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Z:\FORET\Clients\Clients actifs\Edward\GFR de la FRESLONNIERE\Gestion\Subvention\LBC\"/>
    </mc:Choice>
  </mc:AlternateContent>
  <xr:revisionPtr revIDLastSave="0" documentId="13_ncr:1_{179C6363-73A5-44DF-94AC-C62EC4C73488}" xr6:coauthVersionLast="47" xr6:coauthVersionMax="47" xr10:uidLastSave="{00000000-0000-0000-0000-000000000000}"/>
  <bookViews>
    <workbookView xWindow="-109" yWindow="-109" windowWidth="26301" windowHeight="14169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EC4" i="2"/>
  <c r="GL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X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W21" i="2"/>
  <c r="EB21" i="2"/>
  <c r="EV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W22" i="2"/>
  <c r="HG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HH24" i="2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C28" i="2"/>
  <c r="FS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EW33" i="2"/>
  <c r="HH33" i="2"/>
  <c r="HG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CM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H38" i="2"/>
  <c r="EA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V57" i="2"/>
  <c r="HG57" i="2"/>
  <c r="FS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A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W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EB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V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I113" i="2"/>
  <c r="EB113" i="2"/>
  <c r="HG113" i="2"/>
  <c r="EC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H130" i="2"/>
  <c r="EX130" i="2"/>
  <c r="EB130" i="2"/>
  <c r="HI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G140" i="2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EB145" i="2"/>
  <c r="EX145" i="2"/>
  <c r="FR145" i="2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H149" i="2"/>
  <c r="EX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V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A155" i="2"/>
  <c r="EW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FS156" i="2"/>
  <c r="DH156" i="2"/>
  <c r="HI156" i="2"/>
  <c r="HG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H160" i="2"/>
  <c r="HG160" i="2"/>
  <c r="EC160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A161" i="2"/>
  <c r="HH161" i="2"/>
  <c r="EB161" i="2"/>
  <c r="EX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HG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HI163" i="2"/>
  <c r="HH163" i="2"/>
  <c r="EV163" i="2"/>
  <c r="EY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FR164" i="2" l="1"/>
  <c r="DH164" i="2"/>
  <c r="HH164" i="2"/>
  <c r="EX164" i="2"/>
  <c r="EV164" i="2"/>
  <c r="DI163" i="2"/>
  <c r="FS164" i="2"/>
  <c r="EA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EX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R167" i="2"/>
  <c r="DG167" i="2"/>
  <c r="HH167" i="2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EC168" i="2"/>
  <c r="HI168" i="2"/>
  <c r="DG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FS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W172" i="2"/>
  <c r="EV172" i="2"/>
  <c r="EA172" i="2"/>
  <c r="HI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HH173" i="2"/>
  <c r="HJ172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W175" i="2" l="1"/>
  <c r="FS175" i="2"/>
  <c r="EA175" i="2"/>
  <c r="HI175" i="2"/>
  <c r="EB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EC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HH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EY179" i="2" s="1"/>
  <c r="DF179" i="2"/>
  <c r="EA179" i="2"/>
  <c r="ED179" i="2" s="1"/>
  <c r="HG179" i="2"/>
  <c r="EB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/>
  <c r="EA185" i="2" l="1"/>
  <c r="EV185" i="2"/>
  <c r="HH185" i="2"/>
  <c r="EW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HH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HH189" i="2"/>
  <c r="EV189" i="2"/>
  <c r="AA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G190" i="2" l="1"/>
  <c r="HH190" i="2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W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HG195" i="2"/>
  <c r="EX195" i="2"/>
  <c r="HI195" i="2"/>
  <c r="EA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EW197" i="2"/>
  <c r="EA197" i="2"/>
  <c r="EC197" i="2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EV198" i="2"/>
  <c r="EY198" i="2" s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EA199" i="2"/>
  <c r="HH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/>
  <c r="HG201" i="2" l="1"/>
  <c r="FS201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EX202" i="2"/>
  <c r="FR202" i="2"/>
  <c r="HI202" i="2"/>
  <c r="FS202" i="2"/>
  <c r="EW202" i="2"/>
  <c r="HG202" i="2"/>
  <c r="HJ202" i="2" s="1"/>
  <c r="FZ6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82" i="2" a="1"/>
  <c r="BC82" i="2" s="1"/>
  <c r="BC181" i="2" a="1"/>
  <c r="BC181" i="2" s="1"/>
  <c r="GT133" i="2" a="1"/>
  <c r="GT133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41" i="2" a="1"/>
  <c r="DN41" i="2" s="1"/>
  <c r="DN25" i="2" a="1"/>
  <c r="DN25" i="2" s="1"/>
  <c r="DN170" i="2" a="1"/>
  <c r="DN170" i="2" s="1"/>
  <c r="DN86" i="2" a="1"/>
  <c r="DN86" i="2" s="1"/>
  <c r="DN150" i="2" a="1"/>
  <c r="DN150" i="2" s="1"/>
  <c r="CS116" i="2" a="1"/>
  <c r="CS116" i="2" s="1"/>
  <c r="EI195" i="2" a="1"/>
  <c r="EI195" i="2" s="1"/>
  <c r="AH199" i="2" a="1"/>
  <c r="AH199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84" i="2" a="1"/>
  <c r="BC84" i="2" s="1"/>
  <c r="BC143" i="2" a="1"/>
  <c r="BC143" i="2" s="1"/>
  <c r="BC7" i="2" a="1"/>
  <c r="BC7" i="2" s="1"/>
  <c r="BC83" i="2" a="1"/>
  <c r="BC83" i="2" s="1"/>
  <c r="BC18" i="2" a="1"/>
  <c r="BC18" i="2" s="1"/>
  <c r="GT21" i="2" a="1"/>
  <c r="GT21" i="2" s="1"/>
  <c r="GT74" i="2" a="1"/>
  <c r="GT74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135" i="2" a="1"/>
  <c r="DN135" i="2" s="1"/>
  <c r="DN49" i="2" a="1"/>
  <c r="DN49" i="2" s="1"/>
  <c r="DN16" i="2" a="1"/>
  <c r="DN16" i="2" s="1"/>
  <c r="DN31" i="2" a="1"/>
  <c r="DN31" i="2" s="1"/>
  <c r="DN55" i="2" a="1"/>
  <c r="DN55" i="2" s="1"/>
  <c r="DN65" i="2" a="1"/>
  <c r="DN65" i="2" s="1"/>
  <c r="DN190" i="2" a="1"/>
  <c r="DN190" i="2" s="1"/>
  <c r="DN6" i="2" a="1"/>
  <c r="DN6" i="2" s="1"/>
  <c r="DO6" i="2" s="1"/>
  <c r="DN30" i="2" a="1"/>
  <c r="DN30" i="2" s="1"/>
  <c r="DN45" i="2" a="1"/>
  <c r="DN45" i="2" s="1"/>
  <c r="BX107" i="2" a="1"/>
  <c r="BX107" i="2" s="1"/>
  <c r="FD82" i="2" a="1"/>
  <c r="FD82" i="2" s="1"/>
  <c r="DN187" i="2" a="1"/>
  <c r="DN187" i="2" s="1"/>
  <c r="AX200" i="2"/>
  <c r="CS72" i="2" l="1" a="1"/>
  <c r="CS72" i="2" s="1"/>
  <c r="CS185" i="2" a="1"/>
  <c r="CS185" i="2" s="1"/>
  <c r="AH166" i="2" a="1"/>
  <c r="AH166" i="2" s="1"/>
  <c r="AH19" i="2" a="1"/>
  <c r="AH19" i="2" s="1"/>
  <c r="CS134" i="2" a="1"/>
  <c r="CS134" i="2" s="1"/>
  <c r="CS38" i="2" a="1"/>
  <c r="CS38" i="2" s="1"/>
  <c r="AH90" i="2" a="1"/>
  <c r="AH90" i="2" s="1"/>
  <c r="CS105" i="2" a="1"/>
  <c r="CS105" i="2" s="1"/>
  <c r="CS77" i="2" a="1"/>
  <c r="CS77" i="2" s="1"/>
  <c r="CS24" i="2" a="1"/>
  <c r="CS24" i="2" s="1"/>
  <c r="CS161" i="2" a="1"/>
  <c r="CS161" i="2" s="1"/>
  <c r="AH151" i="2" a="1"/>
  <c r="AH151" i="2" s="1"/>
  <c r="CS114" i="2" a="1"/>
  <c r="CS114" i="2" s="1"/>
  <c r="AH163" i="2" a="1"/>
  <c r="AH163" i="2" s="1"/>
  <c r="CS137" i="2" a="1"/>
  <c r="CS137" i="2" s="1"/>
  <c r="CS129" i="2" a="1"/>
  <c r="CS129" i="2" s="1"/>
  <c r="AH92" i="2" a="1"/>
  <c r="AH92" i="2" s="1"/>
  <c r="CS56" i="2" a="1"/>
  <c r="CS56" i="2" s="1"/>
  <c r="CS120" i="2" a="1"/>
  <c r="CS120" i="2" s="1"/>
  <c r="AH62" i="2" a="1"/>
  <c r="AH62" i="2" s="1"/>
  <c r="CS52" i="2" a="1"/>
  <c r="CS52" i="2" s="1"/>
  <c r="BP203" i="2"/>
  <c r="BC164" i="2" a="1"/>
  <c r="BC164" i="2" s="1"/>
  <c r="DN103" i="2" a="1"/>
  <c r="DN103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124" i="2" a="1"/>
  <c r="DN124" i="2" s="1"/>
  <c r="DN56" i="2" a="1"/>
  <c r="DN56" i="2" s="1"/>
  <c r="BC114" i="2" a="1"/>
  <c r="BC114" i="2" s="1"/>
  <c r="BC68" i="2" a="1"/>
  <c r="BC68" i="2" s="1"/>
  <c r="HG203" i="2"/>
  <c r="DN46" i="2" a="1"/>
  <c r="DN46" i="2" s="1"/>
  <c r="DN133" i="2" a="1"/>
  <c r="DN133" i="2" s="1"/>
  <c r="DN110" i="2" a="1"/>
  <c r="DN110" i="2" s="1"/>
  <c r="DN162" i="2" a="1"/>
  <c r="DN162" i="2" s="1"/>
  <c r="DN38" i="2" a="1"/>
  <c r="DN38" i="2" s="1"/>
  <c r="GT190" i="2" a="1"/>
  <c r="GT190" i="2" s="1"/>
  <c r="DN63" i="2" a="1"/>
  <c r="DN63" i="2" s="1"/>
  <c r="BC151" i="2" a="1"/>
  <c r="BC151" i="2" s="1"/>
  <c r="BC31" i="2" a="1"/>
  <c r="BC31" i="2" s="1"/>
  <c r="BC192" i="2" a="1"/>
  <c r="BC192" i="2" s="1"/>
  <c r="DN188" i="2" a="1"/>
  <c r="DN188" i="2" s="1"/>
  <c r="DN153" i="2" a="1"/>
  <c r="DN153" i="2" s="1"/>
  <c r="DN113" i="2" a="1"/>
  <c r="DN113" i="2" s="1"/>
  <c r="DN29" i="2" a="1"/>
  <c r="DN29" i="2" s="1"/>
  <c r="DN137" i="2" a="1"/>
  <c r="DN137" i="2" s="1"/>
  <c r="GT102" i="2" a="1"/>
  <c r="GT102" i="2" s="1"/>
  <c r="BC117" i="2" a="1"/>
  <c r="BC117" i="2" s="1"/>
  <c r="BC126" i="2" a="1"/>
  <c r="BC126" i="2" s="1"/>
  <c r="BC58" i="2" a="1"/>
  <c r="BC58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BC38" i="2" a="1"/>
  <c r="BC38" i="2" s="1"/>
  <c r="BC185" i="2" a="1"/>
  <c r="BC185" i="2" s="1"/>
  <c r="BC32" i="2" a="1"/>
  <c r="BC32" i="2" s="1"/>
  <c r="BC130" i="2" a="1"/>
  <c r="BC130" i="2" s="1"/>
  <c r="DN114" i="2" a="1"/>
  <c r="DN114" i="2" s="1"/>
  <c r="DN123" i="2" a="1"/>
  <c r="DN123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GT68" i="2" a="1"/>
  <c r="GT68" i="2" s="1"/>
  <c r="BC65" i="2" a="1"/>
  <c r="BC65" i="2" s="1"/>
  <c r="BC47" i="2" a="1"/>
  <c r="BC47" i="2" s="1"/>
  <c r="GT12" i="2" a="1"/>
  <c r="GT12" i="2" s="1"/>
  <c r="GT38" i="2" a="1"/>
  <c r="GT38" i="2" s="1"/>
  <c r="GT152" i="2" a="1"/>
  <c r="GT152" i="2" s="1"/>
  <c r="GT122" i="2" a="1"/>
  <c r="GT122" i="2" s="1"/>
  <c r="GT184" i="2" a="1"/>
  <c r="GT184" i="2" s="1"/>
  <c r="GT138" i="2" a="1"/>
  <c r="GT138" i="2" s="1"/>
  <c r="GT178" i="2" a="1"/>
  <c r="GT178" i="2" s="1"/>
  <c r="GT107" i="2" a="1"/>
  <c r="GT107" i="2" s="1"/>
  <c r="GT189" i="2" a="1"/>
  <c r="GT189" i="2" s="1"/>
  <c r="GT174" i="2" a="1"/>
  <c r="GT174" i="2" s="1"/>
  <c r="GT126" i="2" a="1"/>
  <c r="GT126" i="2" s="1"/>
  <c r="GT198" i="2" a="1"/>
  <c r="GT198" i="2" s="1"/>
  <c r="GT11" i="2" a="1"/>
  <c r="GT11" i="2" s="1"/>
  <c r="GT33" i="2" a="1"/>
  <c r="GT33" i="2" s="1"/>
  <c r="GT51" i="2" a="1"/>
  <c r="GT51" i="2" s="1"/>
  <c r="GT115" i="2" a="1"/>
  <c r="GT115" i="2" s="1"/>
  <c r="FR203" i="2"/>
  <c r="GT191" i="2" a="1"/>
  <c r="GT191" i="2" s="1"/>
  <c r="GT147" i="2" a="1"/>
  <c r="GT147" i="2" s="1"/>
  <c r="GT121" i="2" a="1"/>
  <c r="GT121" i="2" s="1"/>
  <c r="GT181" i="2" a="1"/>
  <c r="GT181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<sst xmlns="http://schemas.openxmlformats.org/spreadsheetml/2006/main" count="1170" uniqueCount="324">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</sst>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1.5400307348131401</c:v>
                </c:pt>
                <c:pt idx="2">
                  <c:v>1.9357053065690577</c:v>
                </c:pt>
                <c:pt idx="3">
                  <c:v>2.4334461376859782</c:v>
                </c:pt>
                <c:pt idx="4">
                  <c:v>3.0596810645916706</c:v>
                </c:pt>
                <c:pt idx="5">
                  <c:v>3.8477049803476291</c:v>
                </c:pt>
                <c:pt idx="6">
                  <c:v>4.8394700295237332</c:v>
                </c:pt>
                <c:pt idx="7">
                  <c:v>6.0878439054661726</c:v>
                </c:pt>
                <c:pt idx="8">
                  <c:v>7.6594589892747225</c:v>
                </c:pt>
                <c:pt idx="9">
                  <c:v>9.6383073341716479</c:v>
                </c:pt>
                <c:pt idx="10">
                  <c:v>12.130277264070466</c:v>
                </c:pt>
                <c:pt idx="11">
                  <c:v>15.268878865392209</c:v>
                </c:pt>
                <c:pt idx="12">
                  <c:v>19.222470744538054</c:v>
                </c:pt>
                <c:pt idx="13">
                  <c:v>24.203382688862039</c:v>
                </c:pt>
                <c:pt idx="14">
                  <c:v>30.479432845419648</c:v>
                </c:pt>
                <c:pt idx="15">
                  <c:v>38.388469459941412</c:v>
                </c:pt>
                <c:pt idx="16">
                  <c:v>48.356733359681947</c:v>
                </c:pt>
                <c:pt idx="17">
                  <c:v>60.922047403204175</c:v>
                </c:pt>
                <c:pt idx="18">
                  <c:v>76.76310467735783</c:v>
                </c:pt>
                <c:pt idx="19">
                  <c:v>96.736462996820421</c:v>
                </c:pt>
                <c:pt idx="20">
                  <c:v>121.9232778531174</c:v>
                </c:pt>
                <c:pt idx="21">
                  <c:v>42.867322291822234</c:v>
                </c:pt>
                <c:pt idx="22">
                  <c:v>59.194676379503932</c:v>
                </c:pt>
                <c:pt idx="23">
                  <c:v>75.403475375149</c:v>
                </c:pt>
                <c:pt idx="24">
                  <c:v>91.523057576446433</c:v>
                </c:pt>
                <c:pt idx="25">
                  <c:v>107.57143676329487</c:v>
                </c:pt>
                <c:pt idx="26">
                  <c:v>123.56076610518873</c:v>
                </c:pt>
                <c:pt idx="27">
                  <c:v>139.49977841647276</c:v>
                </c:pt>
                <c:pt idx="28">
                  <c:v>155.39503993343251</c:v>
                </c:pt>
                <c:pt idx="29">
                  <c:v>171.25165998446087</c:v>
                </c:pt>
                <c:pt idx="30">
                  <c:v>187.07372242622978</c:v>
                </c:pt>
                <c:pt idx="31">
                  <c:v>150.50851984377377</c:v>
                </c:pt>
                <c:pt idx="32">
                  <c:v>162.7180141901425</c:v>
                </c:pt>
                <c:pt idx="33">
                  <c:v>174.90584046860872</c:v>
                </c:pt>
                <c:pt idx="34">
                  <c:v>187.07372242622978</c:v>
                </c:pt>
                <c:pt idx="35">
                  <c:v>199.22314097441142</c:v>
                </c:pt>
                <c:pt idx="36">
                  <c:v>211.35538144796087</c:v>
                </c:pt>
                <c:pt idx="37">
                  <c:v>223.47156942353161</c:v>
                </c:pt>
                <c:pt idx="38">
                  <c:v>235.57269835021728</c:v>
                </c:pt>
                <c:pt idx="39">
                  <c:v>247.65965119723435</c:v>
                </c:pt>
                <c:pt idx="40">
                  <c:v>259.73321764902863</c:v>
                </c:pt>
                <c:pt idx="41">
                  <c:v>221.75604673904505</c:v>
                </c:pt>
                <c:pt idx="42">
                  <c:v>234.16164647127161</c:v>
                </c:pt>
                <c:pt idx="43">
                  <c:v>246.55224917263016</c:v>
                </c:pt>
                <c:pt idx="44">
                  <c:v>258.92871505777629</c:v>
                </c:pt>
                <c:pt idx="45">
                  <c:v>271.29181534136131</c:v>
                </c:pt>
                <c:pt idx="46">
                  <c:v>283.64224516951555</c:v>
                </c:pt>
                <c:pt idx="47">
                  <c:v>295.98063417932605</c:v>
                </c:pt>
                <c:pt idx="48">
                  <c:v>308.30755520417853</c:v>
                </c:pt>
                <c:pt idx="49">
                  <c:v>320.62353151316773</c:v>
                </c:pt>
                <c:pt idx="50">
                  <c:v>332.92904287941286</c:v>
                </c:pt>
                <c:pt idx="51">
                  <c:v>293.77462584615444</c:v>
                </c:pt>
                <c:pt idx="52">
                  <c:v>306.70468323071304</c:v>
                </c:pt>
                <c:pt idx="53">
                  <c:v>319.62262964231496</c:v>
                </c:pt>
                <c:pt idx="54">
                  <c:v>332.52902362704918</c:v>
                </c:pt>
                <c:pt idx="55">
                  <c:v>345.42437682332121</c:v>
                </c:pt>
                <c:pt idx="56">
                  <c:v>358.30915954248547</c:v>
                </c:pt>
                <c:pt idx="57">
                  <c:v>371.18380550457056</c:v>
                </c:pt>
                <c:pt idx="58">
                  <c:v>384.04871588248352</c:v>
                </c:pt>
                <c:pt idx="59">
                  <c:v>396.90426277592229</c:v>
                </c:pt>
                <c:pt idx="60">
                  <c:v>409.75079221165828</c:v>
                </c:pt>
                <c:pt idx="61">
                  <c:v>368.68949166770886</c:v>
                </c:pt>
                <c:pt idx="62">
                  <c:v>381.45655322808375</c:v>
                </c:pt>
                <c:pt idx="63">
                  <c:v>394.21432426135431</c:v>
                </c:pt>
                <c:pt idx="64">
                  <c:v>406.96314781746378</c:v>
                </c:pt>
                <c:pt idx="65">
                  <c:v>419.70334369809893</c:v>
                </c:pt>
                <c:pt idx="66">
                  <c:v>432.43521070499838</c:v>
                </c:pt>
                <c:pt idx="67">
                  <c:v>445.15902860966594</c:v>
                </c:pt>
                <c:pt idx="68">
                  <c:v>457.87505988614549</c:v>
                </c:pt>
                <c:pt idx="69">
                  <c:v>470.58355124128479</c:v>
                </c:pt>
                <c:pt idx="70">
                  <c:v>483.28473497109491</c:v>
                </c:pt>
                <c:pt idx="71">
                  <c:v>442.57514157002362</c:v>
                </c:pt>
                <c:pt idx="72">
                  <c:v>455.49138558575515</c:v>
                </c:pt>
                <c:pt idx="73">
                  <c:v>468.39980563500791</c:v>
                </c:pt>
                <c:pt idx="74">
                  <c:v>481.30064769410069</c:v>
                </c:pt>
                <c:pt idx="75">
                  <c:v>494.19414347908742</c:v>
                </c:pt>
                <c:pt idx="76">
                  <c:v>507.08051163078693</c:v>
                </c:pt>
                <c:pt idx="77">
                  <c:v>519.95995877310202</c:v>
                </c:pt>
                <c:pt idx="78">
                  <c:v>532.83268046104365</c:v>
                </c:pt>
                <c:pt idx="79">
                  <c:v>545.69886203239605</c:v>
                </c:pt>
                <c:pt idx="80">
                  <c:v>558.55867937490257</c:v>
                </c:pt>
                <c:pt idx="81">
                  <c:v>518.17705616178989</c:v>
                </c:pt>
                <c:pt idx="82">
                  <c:v>532.23870019072854</c:v>
                </c:pt>
                <c:pt idx="83">
                  <c:v>546.29253083723358</c:v>
                </c:pt>
                <c:pt idx="84">
                  <c:v>560.33877735260626</c:v>
                </c:pt>
                <c:pt idx="85">
                  <c:v>574.37765656188219</c:v>
                </c:pt>
                <c:pt idx="86">
                  <c:v>588.40937383096241</c:v>
                </c:pt>
                <c:pt idx="87">
                  <c:v>602.43412393673054</c:v>
                </c:pt>
                <c:pt idx="88">
                  <c:v>616.45209185197029</c:v>
                </c:pt>
                <c:pt idx="89">
                  <c:v>630.46345345520592</c:v>
                </c:pt>
                <c:pt idx="90">
                  <c:v>644.4683761741976</c:v>
                </c:pt>
                <c:pt idx="91">
                  <c:v>601.84166736128952</c:v>
                </c:pt>
                <c:pt idx="92">
                  <c:v>615.46512925306013</c:v>
                </c:pt>
                <c:pt idx="93">
                  <c:v>629.08234038462558</c:v>
                </c:pt>
                <c:pt idx="94">
                  <c:v>642.69345505999638</c:v>
                </c:pt>
                <c:pt idx="95">
                  <c:v>656.29862051784403</c:v>
                </c:pt>
                <c:pt idx="96">
                  <c:v>669.89797739781613</c:v>
                </c:pt>
                <c:pt idx="97">
                  <c:v>683.49166016703714</c:v>
                </c:pt>
                <c:pt idx="98">
                  <c:v>697.07979751093978</c:v>
                </c:pt>
                <c:pt idx="99">
                  <c:v>710.66251269205395</c:v>
                </c:pt>
                <c:pt idx="100">
                  <c:v>724.23992387996213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1907536"/>
        <c:axId val="179824168"/>
      </c:scatterChart>
      <c:valAx>
        <c:axId val="28190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24168"/>
        <c:crosses val="autoZero"/>
        <c:crossBetween val="midCat"/>
      </c:valAx>
      <c:valAx>
        <c:axId val="179824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8190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388480"/>
        <c:axId val="396388872"/>
      </c:scatterChart>
      <c:valAx>
        <c:axId val="396388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388872"/>
        <c:crosses val="autoZero"/>
        <c:crossBetween val="midCat"/>
      </c:valAx>
      <c:valAx>
        <c:axId val="396388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388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21944"/>
        <c:axId val="396122336"/>
      </c:scatterChart>
      <c:valAx>
        <c:axId val="396121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122336"/>
        <c:crosses val="autoZero"/>
        <c:crossBetween val="midCat"/>
      </c:valAx>
      <c:valAx>
        <c:axId val="39612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121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23120"/>
        <c:axId val="395902944"/>
      </c:scatterChart>
      <c:valAx>
        <c:axId val="396123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2944"/>
        <c:crosses val="autoZero"/>
        <c:crossBetween val="midCat"/>
      </c:valAx>
      <c:valAx>
        <c:axId val="39590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123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903728"/>
        <c:axId val="395904120"/>
      </c:scatterChart>
      <c:valAx>
        <c:axId val="395903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4120"/>
        <c:crosses val="autoZero"/>
        <c:crossBetween val="midCat"/>
      </c:valAx>
      <c:valAx>
        <c:axId val="395904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3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904904"/>
        <c:axId val="395905296"/>
      </c:scatterChart>
      <c:valAx>
        <c:axId val="395904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5296"/>
        <c:crosses val="autoZero"/>
        <c:crossBetween val="midCat"/>
      </c:valAx>
      <c:valAx>
        <c:axId val="39590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4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906080"/>
        <c:axId val="395906472"/>
      </c:scatterChart>
      <c:valAx>
        <c:axId val="395906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6472"/>
        <c:crosses val="autoZero"/>
        <c:crossBetween val="midCat"/>
      </c:valAx>
      <c:valAx>
        <c:axId val="395906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6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095184"/>
        <c:axId val="396095576"/>
      </c:scatterChart>
      <c:valAx>
        <c:axId val="396095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5576"/>
        <c:crosses val="autoZero"/>
        <c:crossBetween val="midCat"/>
      </c:valAx>
      <c:valAx>
        <c:axId val="396095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5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096360"/>
        <c:axId val="396096752"/>
      </c:scatterChart>
      <c:valAx>
        <c:axId val="396096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6752"/>
        <c:crosses val="autoZero"/>
        <c:crossBetween val="midCat"/>
      </c:valAx>
      <c:valAx>
        <c:axId val="39609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6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097536"/>
        <c:axId val="396097928"/>
      </c:scatterChart>
      <c:valAx>
        <c:axId val="39609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7928"/>
        <c:crosses val="autoZero"/>
        <c:crossBetween val="midCat"/>
      </c:valAx>
      <c:valAx>
        <c:axId val="3960979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3" x14ac:dyDescent="0.25"/>
  <cols>
    <col min="1" max="1" width="6.75" customWidth="1"/>
    <col min="2" max="13" width="15.875" customWidth="1"/>
  </cols>
  <sheetData>
    <row r="12" spans="2:13" ht="14.9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4.9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4.9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.1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.1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.1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.1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.1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.1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.1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.1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.1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.1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.1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.1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.1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.1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80" zoomScaleNormal="80" workbookViewId="0">
      <selection activeCell="H27" sqref="H27"/>
    </sheetView>
  </sheetViews>
  <sheetFormatPr baseColWidth="10" defaultColWidth="11.375" defaultRowHeight="14.3" x14ac:dyDescent="0.25"/>
  <cols>
    <col min="1" max="1" width="13.75" style="23" customWidth="1"/>
    <col min="2" max="2" width="36.125" style="23" customWidth="1"/>
    <col min="3" max="3" width="14.875" style="23" bestFit="1" customWidth="1"/>
    <col min="4" max="4" width="16.375" style="23" customWidth="1"/>
    <col min="5" max="5" width="23.25" style="23" customWidth="1"/>
    <col min="6" max="6" width="28.875" style="23" bestFit="1" customWidth="1"/>
    <col min="7" max="8" width="14.75" style="23" customWidth="1"/>
    <col min="9" max="9" width="17" style="23" customWidth="1"/>
    <col min="10" max="10" width="13.875" style="23" customWidth="1"/>
    <col min="11" max="16384" width="11.37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8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35" x14ac:dyDescent="0.25">
      <c r="A5" s="268" t="s">
        <v>231</v>
      </c>
      <c r="B5" s="268"/>
      <c r="C5" s="24">
        <v>3.6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ht="14.95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3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164</v>
      </c>
      <c r="C9" s="32">
        <v>1</v>
      </c>
      <c r="D9" s="33">
        <f t="shared" ref="D9:D18" si="0">C9*$C$5</f>
        <v>3.6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ht="14.95" x14ac:dyDescent="0.2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ht="14.95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ht="14.95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ht="14.95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ht="14.95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ht="14.95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ht="14.95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ht="14.9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ht="14.9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ht="14.95" x14ac:dyDescent="0.25">
      <c r="A19" s="78"/>
      <c r="B19" s="36" t="s">
        <v>175</v>
      </c>
      <c r="C19" s="37">
        <f>SUM(C9:C18)</f>
        <v>1</v>
      </c>
      <c r="D19" s="38">
        <f>SUM(D9:D18)</f>
        <v>3.6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ht="14.9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.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ht="14.9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ht="14.9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ht="14.9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ht="14.9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.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ht="14.9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ht="14.9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ht="14.9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2.8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116</v>
      </c>
      <c r="C36" s="60">
        <v>1</v>
      </c>
      <c r="D36" s="60">
        <v>92</v>
      </c>
      <c r="E36" s="51"/>
      <c r="F36" s="51"/>
      <c r="G36" s="51">
        <v>1</v>
      </c>
      <c r="H36" s="51"/>
      <c r="I36" s="49">
        <f>IFERROR(B36/A36,"")</f>
        <v>5.8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180</v>
      </c>
      <c r="C37" s="60">
        <v>2</v>
      </c>
      <c r="D37" s="60">
        <v>48</v>
      </c>
      <c r="E37" s="51"/>
      <c r="F37" s="51">
        <v>0.2</v>
      </c>
      <c r="G37" s="51">
        <v>0.8</v>
      </c>
      <c r="H37" s="51"/>
      <c r="I37" s="53">
        <f t="shared" ref="I37:I55" si="1">IF(A37&lt;&gt;0,(B37-(B36-D36))/(A37-A36),"")</f>
        <v>15.6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252</v>
      </c>
      <c r="C38" s="60">
        <v>3</v>
      </c>
      <c r="D38" s="60">
        <v>50</v>
      </c>
      <c r="E38" s="51"/>
      <c r="F38" s="51">
        <v>0.6</v>
      </c>
      <c r="G38" s="51">
        <v>0.4</v>
      </c>
      <c r="H38" s="51"/>
      <c r="I38" s="53">
        <f t="shared" si="1"/>
        <v>12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325</v>
      </c>
      <c r="C39" s="60">
        <v>4</v>
      </c>
      <c r="D39" s="60">
        <v>52</v>
      </c>
      <c r="E39" s="51">
        <v>0.2</v>
      </c>
      <c r="F39" s="51">
        <v>0.6</v>
      </c>
      <c r="G39" s="51">
        <v>0.2</v>
      </c>
      <c r="H39" s="51"/>
      <c r="I39" s="49">
        <f t="shared" si="1"/>
        <v>12.3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402</v>
      </c>
      <c r="C40" s="60">
        <v>5</v>
      </c>
      <c r="D40" s="60">
        <v>54</v>
      </c>
      <c r="E40" s="51">
        <v>0.4</v>
      </c>
      <c r="F40" s="51">
        <v>0.5</v>
      </c>
      <c r="G40" s="51">
        <v>0.1</v>
      </c>
      <c r="H40" s="51"/>
      <c r="I40" s="49">
        <f t="shared" si="1"/>
        <v>12.9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476</v>
      </c>
      <c r="C41" s="60">
        <v>6</v>
      </c>
      <c r="D41" s="60">
        <v>54</v>
      </c>
      <c r="E41" s="51">
        <v>0.5</v>
      </c>
      <c r="F41" s="51">
        <v>0.5</v>
      </c>
      <c r="G41" s="51"/>
      <c r="H41" s="51"/>
      <c r="I41" s="53">
        <f t="shared" si="1"/>
        <v>12.8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552</v>
      </c>
      <c r="C42" s="60">
        <v>7</v>
      </c>
      <c r="D42" s="60">
        <v>55</v>
      </c>
      <c r="E42" s="51">
        <v>0.6</v>
      </c>
      <c r="F42" s="51">
        <v>0.4</v>
      </c>
      <c r="G42" s="51"/>
      <c r="H42" s="51"/>
      <c r="I42" s="53">
        <f t="shared" si="1"/>
        <v>13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639</v>
      </c>
      <c r="C43" s="60">
        <v>8</v>
      </c>
      <c r="D43" s="60">
        <v>57</v>
      </c>
      <c r="E43" s="51">
        <v>0.7</v>
      </c>
      <c r="F43" s="51">
        <v>0.3</v>
      </c>
      <c r="G43" s="51"/>
      <c r="H43" s="51"/>
      <c r="I43" s="49">
        <f t="shared" si="1"/>
        <v>14.2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720</v>
      </c>
      <c r="C44" s="60">
        <v>9</v>
      </c>
      <c r="D44" s="60">
        <v>720</v>
      </c>
      <c r="E44" s="51">
        <v>0.9</v>
      </c>
      <c r="F44" s="51">
        <v>0.1</v>
      </c>
      <c r="G44" s="51"/>
      <c r="H44" s="51"/>
      <c r="I44" s="49">
        <f t="shared" si="1"/>
        <v>13.8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2.8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2.8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2.8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2.8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2.8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2.8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2.8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2.8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2.8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9" sqref="B9"/>
    </sheetView>
  </sheetViews>
  <sheetFormatPr baseColWidth="10" defaultColWidth="11.375" defaultRowHeight="14.3" x14ac:dyDescent="0.25"/>
  <cols>
    <col min="1" max="1" width="5.875" style="1" customWidth="1"/>
    <col min="2" max="2" width="14.125" style="1" customWidth="1"/>
    <col min="3" max="3" width="62.125" style="1" customWidth="1"/>
    <col min="4" max="5" width="4.25" style="1" customWidth="1"/>
    <col min="6" max="6" width="14.25" style="1" customWidth="1"/>
    <col min="7" max="7" width="73.25" style="1" bestFit="1" customWidth="1"/>
    <col min="8" max="10" width="11.375" style="1"/>
    <col min="11" max="11" width="12.625" style="1" customWidth="1"/>
    <col min="12" max="16384" width="11.375" style="1"/>
  </cols>
  <sheetData>
    <row r="1" spans="1:38" ht="15.8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14.95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ht="14.95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ht="14.95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350000000000001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350000000000001" customHeight="1" x14ac:dyDescent="0.2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350000000000001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ht="14.95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ht="14.95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.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.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ht="14.95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ht="14.9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14.9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14.9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14.9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14.9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14.9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14.9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14.9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14.9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14.9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14.9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14.9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ht="14.9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ht="14.9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75" defaultRowHeight="14.3" x14ac:dyDescent="0.25"/>
  <cols>
    <col min="1" max="1" width="6.875" style="4" bestFit="1" customWidth="1"/>
    <col min="2" max="4" width="11.375" style="4"/>
    <col min="5" max="5" width="9.625" style="4" customWidth="1"/>
    <col min="6" max="7" width="11.375" style="4"/>
    <col min="8" max="8" width="10.75" style="4" customWidth="1"/>
    <col min="9" max="9" width="9.375" style="4" customWidth="1"/>
    <col min="10" max="11" width="10.625" style="4" bestFit="1" customWidth="1"/>
    <col min="12" max="12" width="14" style="4" bestFit="1" customWidth="1"/>
    <col min="13" max="13" width="14" style="4" customWidth="1"/>
    <col min="14" max="23" width="11.375" style="4"/>
    <col min="24" max="24" width="11.75" style="4" bestFit="1" customWidth="1"/>
    <col min="25" max="25" width="14.625" style="4" bestFit="1" customWidth="1"/>
    <col min="26" max="26" width="12.375" style="4" bestFit="1" customWidth="1"/>
    <col min="27" max="27" width="9.75" style="4" bestFit="1" customWidth="1"/>
    <col min="28" max="28" width="11" style="4" bestFit="1" customWidth="1"/>
    <col min="29" max="29" width="9.375" style="4" bestFit="1" customWidth="1"/>
    <col min="30" max="31" width="9.375" style="4" customWidth="1"/>
    <col min="32" max="32" width="11.375" style="4"/>
    <col min="33" max="34" width="14" style="4" bestFit="1" customWidth="1"/>
    <col min="35" max="35" width="10.625" style="4" bestFit="1" customWidth="1"/>
    <col min="36" max="36" width="9.375" style="4" bestFit="1" customWidth="1"/>
    <col min="37" max="38" width="10.625" style="4" bestFit="1" customWidth="1"/>
    <col min="39" max="41" width="10.625" style="4" customWidth="1"/>
    <col min="42" max="42" width="9" style="4" bestFit="1" customWidth="1"/>
    <col min="43" max="43" width="10.625" style="4" bestFit="1" customWidth="1"/>
    <col min="44" max="44" width="9.25" style="4" bestFit="1" customWidth="1"/>
    <col min="45" max="45" width="11.75" style="4" bestFit="1" customWidth="1"/>
    <col min="46" max="46" width="8.375" style="4" bestFit="1" customWidth="1"/>
    <col min="47" max="47" width="9.375" style="4" bestFit="1" customWidth="1"/>
    <col min="48" max="48" width="9.75" style="4" bestFit="1" customWidth="1"/>
    <col min="49" max="49" width="11" style="4" bestFit="1" customWidth="1"/>
    <col min="50" max="50" width="9.375" style="4" bestFit="1" customWidth="1"/>
    <col min="51" max="52" width="9.375" style="4" customWidth="1"/>
    <col min="53" max="53" width="10.625" style="4" bestFit="1" customWidth="1"/>
    <col min="54" max="54" width="14.25" style="4" customWidth="1"/>
    <col min="55" max="55" width="14" style="4" customWidth="1"/>
    <col min="56" max="56" width="10.625" style="4" bestFit="1" customWidth="1"/>
    <col min="57" max="57" width="9.375" style="4" bestFit="1" customWidth="1"/>
    <col min="58" max="59" width="10.625" style="4" bestFit="1" customWidth="1"/>
    <col min="60" max="62" width="10.625" style="4" customWidth="1"/>
    <col min="63" max="63" width="9" style="4" bestFit="1" customWidth="1"/>
    <col min="64" max="64" width="10.625" style="4" bestFit="1" customWidth="1"/>
    <col min="65" max="65" width="9.25" style="4" bestFit="1" customWidth="1"/>
    <col min="66" max="66" width="11.75" style="4" bestFit="1" customWidth="1"/>
    <col min="67" max="67" width="8.375" style="4" bestFit="1" customWidth="1"/>
    <col min="68" max="68" width="9.375" style="4" bestFit="1" customWidth="1"/>
    <col min="69" max="69" width="9.75" style="4" bestFit="1" customWidth="1"/>
    <col min="70" max="70" width="11" style="4" bestFit="1" customWidth="1"/>
    <col min="71" max="71" width="9.375" style="4" bestFit="1" customWidth="1"/>
    <col min="72" max="73" width="9.375" style="4" customWidth="1"/>
    <col min="74" max="74" width="10.625" style="4" bestFit="1" customWidth="1"/>
    <col min="75" max="75" width="14" style="4" bestFit="1" customWidth="1"/>
    <col min="76" max="76" width="13.875" style="4" customWidth="1"/>
    <col min="77" max="77" width="10.625" style="4" bestFit="1" customWidth="1"/>
    <col min="78" max="78" width="9.375" style="4" bestFit="1" customWidth="1"/>
    <col min="79" max="80" width="10.625" style="4" bestFit="1" customWidth="1"/>
    <col min="81" max="83" width="10.625" style="4" customWidth="1"/>
    <col min="84" max="84" width="11.375" style="4"/>
    <col min="85" max="85" width="10.625" style="4" bestFit="1" customWidth="1"/>
    <col min="86" max="86" width="9.25" style="4" bestFit="1" customWidth="1"/>
    <col min="87" max="87" width="11.75" style="4" bestFit="1" customWidth="1"/>
    <col min="88" max="88" width="8.375" style="4" bestFit="1" customWidth="1"/>
    <col min="89" max="89" width="9.375" style="4" bestFit="1" customWidth="1"/>
    <col min="90" max="90" width="9.75" style="4" bestFit="1" customWidth="1"/>
    <col min="91" max="91" width="11" style="4" bestFit="1" customWidth="1"/>
    <col min="92" max="92" width="9.375" style="4" bestFit="1" customWidth="1"/>
    <col min="93" max="94" width="9.375" style="4" customWidth="1"/>
    <col min="95" max="95" width="11.375" style="4"/>
    <col min="96" max="97" width="14" style="4" customWidth="1"/>
    <col min="98" max="98" width="10.625" style="4" bestFit="1" customWidth="1"/>
    <col min="99" max="99" width="9.375" style="4" bestFit="1" customWidth="1"/>
    <col min="100" max="101" width="10.625" style="4" bestFit="1" customWidth="1"/>
    <col min="102" max="104" width="10.625" style="4" customWidth="1"/>
    <col min="105" max="105" width="9" style="4" bestFit="1" customWidth="1"/>
    <col min="106" max="106" width="10.625" style="4" bestFit="1" customWidth="1"/>
    <col min="107" max="107" width="9.25" style="4" bestFit="1" customWidth="1"/>
    <col min="108" max="108" width="11.75" style="4" bestFit="1" customWidth="1"/>
    <col min="109" max="109" width="8.375" style="4" bestFit="1" customWidth="1"/>
    <col min="110" max="110" width="9.375" style="4" bestFit="1" customWidth="1"/>
    <col min="111" max="111" width="9.75" style="4" bestFit="1" customWidth="1"/>
    <col min="112" max="112" width="11" style="4" bestFit="1" customWidth="1"/>
    <col min="113" max="113" width="9.375" style="4" bestFit="1" customWidth="1"/>
    <col min="114" max="115" width="9.375" style="4" customWidth="1"/>
    <col min="116" max="116" width="10.625" style="4" bestFit="1" customWidth="1"/>
    <col min="117" max="117" width="14.25" style="4" customWidth="1"/>
    <col min="118" max="118" width="14" style="4" bestFit="1" customWidth="1"/>
    <col min="119" max="119" width="10.625" style="4" bestFit="1" customWidth="1"/>
    <col min="120" max="120" width="9.375" style="4" bestFit="1" customWidth="1"/>
    <col min="121" max="122" width="10.625" style="4" bestFit="1" customWidth="1"/>
    <col min="123" max="125" width="10.625" style="4" customWidth="1"/>
    <col min="126" max="126" width="9" style="4" bestFit="1" customWidth="1"/>
    <col min="127" max="127" width="10.625" style="4" bestFit="1" customWidth="1"/>
    <col min="128" max="128" width="9.25" style="4" bestFit="1" customWidth="1"/>
    <col min="129" max="129" width="11.75" style="4" bestFit="1" customWidth="1"/>
    <col min="130" max="130" width="8.375" style="4" bestFit="1" customWidth="1"/>
    <col min="131" max="131" width="9.375" style="4" bestFit="1" customWidth="1"/>
    <col min="132" max="132" width="9.75" style="4" bestFit="1" customWidth="1"/>
    <col min="133" max="133" width="11" style="4" bestFit="1" customWidth="1"/>
    <col min="134" max="134" width="9.375" style="4" bestFit="1" customWidth="1"/>
    <col min="135" max="136" width="9.375" style="4" customWidth="1"/>
    <col min="137" max="137" width="10.625" style="4" bestFit="1" customWidth="1"/>
    <col min="138" max="139" width="14" style="4" customWidth="1"/>
    <col min="140" max="140" width="10.625" style="4" bestFit="1" customWidth="1"/>
    <col min="141" max="141" width="9.375" style="4" bestFit="1" customWidth="1"/>
    <col min="142" max="143" width="10.625" style="4" bestFit="1" customWidth="1"/>
    <col min="144" max="146" width="10.625" style="4" customWidth="1"/>
    <col min="147" max="147" width="9" style="4" bestFit="1" customWidth="1"/>
    <col min="148" max="148" width="10.625" style="4" bestFit="1" customWidth="1"/>
    <col min="149" max="149" width="9.25" style="4" bestFit="1" customWidth="1"/>
    <col min="150" max="150" width="11.75" style="4" bestFit="1" customWidth="1"/>
    <col min="151" max="151" width="8.375" style="4" bestFit="1" customWidth="1"/>
    <col min="152" max="152" width="9.375" style="4" bestFit="1" customWidth="1"/>
    <col min="153" max="153" width="9.75" style="4" bestFit="1" customWidth="1"/>
    <col min="154" max="154" width="11" style="4" bestFit="1" customWidth="1"/>
    <col min="155" max="155" width="9.375" style="4" bestFit="1" customWidth="1"/>
    <col min="156" max="157" width="9.375" style="4" customWidth="1"/>
    <col min="158" max="158" width="11.375" style="4"/>
    <col min="159" max="160" width="14" style="4" bestFit="1" customWidth="1"/>
    <col min="161" max="161" width="10.625" style="4" bestFit="1" customWidth="1"/>
    <col min="162" max="162" width="9.375" style="4" bestFit="1" customWidth="1"/>
    <col min="163" max="164" width="10.625" style="4" bestFit="1" customWidth="1"/>
    <col min="165" max="167" width="10.625" style="4" customWidth="1"/>
    <col min="168" max="168" width="9" style="4" bestFit="1" customWidth="1"/>
    <col min="169" max="169" width="10.625" style="4" bestFit="1" customWidth="1"/>
    <col min="170" max="170" width="9.25" style="4" bestFit="1" customWidth="1"/>
    <col min="171" max="171" width="11.75" style="4" bestFit="1" customWidth="1"/>
    <col min="172" max="172" width="8.125" style="4" bestFit="1" customWidth="1"/>
    <col min="173" max="173" width="9.375" style="4" bestFit="1" customWidth="1"/>
    <col min="174" max="174" width="9.75" style="4" bestFit="1" customWidth="1"/>
    <col min="175" max="175" width="11" style="4" bestFit="1" customWidth="1"/>
    <col min="176" max="176" width="9.375" style="4" bestFit="1" customWidth="1"/>
    <col min="177" max="178" width="9.375" style="4" customWidth="1"/>
    <col min="179" max="179" width="10.625" style="4" bestFit="1" customWidth="1"/>
    <col min="180" max="181" width="14" style="4" bestFit="1" customWidth="1"/>
    <col min="182" max="182" width="10.625" style="4" bestFit="1" customWidth="1"/>
    <col min="183" max="183" width="9.375" style="4" bestFit="1" customWidth="1"/>
    <col min="184" max="185" width="10.625" style="4" bestFit="1" customWidth="1"/>
    <col min="186" max="188" width="10.625" style="4" customWidth="1"/>
    <col min="189" max="189" width="9" style="4" bestFit="1" customWidth="1"/>
    <col min="190" max="190" width="10.625" style="4" bestFit="1" customWidth="1"/>
    <col min="191" max="191" width="9.25" style="4" bestFit="1" customWidth="1"/>
    <col min="192" max="192" width="11.375" style="4"/>
    <col min="193" max="193" width="8.375" style="4" bestFit="1" customWidth="1"/>
    <col min="194" max="194" width="9.375" style="4" bestFit="1" customWidth="1"/>
    <col min="195" max="195" width="9.75" style="4" bestFit="1" customWidth="1"/>
    <col min="196" max="196" width="11" style="4" bestFit="1" customWidth="1"/>
    <col min="197" max="197" width="9.375" style="4" bestFit="1" customWidth="1"/>
    <col min="198" max="199" width="9.375" style="4" customWidth="1"/>
    <col min="200" max="200" width="10.625" style="4" bestFit="1" customWidth="1"/>
    <col min="201" max="201" width="14" style="4" customWidth="1"/>
    <col min="202" max="202" width="14.25" style="4" customWidth="1"/>
    <col min="203" max="203" width="10.625" style="4" bestFit="1" customWidth="1"/>
    <col min="204" max="204" width="9.375" style="4" bestFit="1" customWidth="1"/>
    <col min="205" max="206" width="10.625" style="4" bestFit="1" customWidth="1"/>
    <col min="207" max="209" width="10.625" style="4" customWidth="1"/>
    <col min="210" max="210" width="9" style="4" bestFit="1" customWidth="1"/>
    <col min="211" max="211" width="10.625" style="4" bestFit="1" customWidth="1"/>
    <col min="212" max="212" width="9.25" style="4" bestFit="1" customWidth="1"/>
    <col min="213" max="213" width="11.75" style="4" bestFit="1" customWidth="1"/>
    <col min="214" max="214" width="8.375" style="4" bestFit="1" customWidth="1"/>
    <col min="215" max="215" width="9.375" style="4" bestFit="1" customWidth="1"/>
    <col min="216" max="216" width="9.75" style="4" bestFit="1" customWidth="1"/>
    <col min="217" max="217" width="11" style="4" bestFit="1" customWidth="1"/>
    <col min="218" max="218" width="9.375" style="4" bestFit="1" customWidth="1"/>
    <col min="219" max="16384" width="11.375" style="4"/>
  </cols>
  <sheetData>
    <row r="1" spans="1:218" ht="26.5" thickBot="1" x14ac:dyDescent="0.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ht="14.95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283.69036991773601</v>
      </c>
      <c r="T3" s="59">
        <f>IF('Données projet'!E9&gt;30,$R$33-$H$33,LOOKUP('Données projet'!$E$9,$A$3:$A$203,R3:R203)-LOOKUP('Données projet'!$E$9,$A$3:$A$203,$H$3:$H$203))</f>
        <v>185.71711000275525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ht="14.95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258.08783604613262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5.8</v>
      </c>
      <c r="N4" s="13">
        <f>IF('Données projet'!$A$36&gt;35,N3+M4-V3,IF(A4&lt;'Données projet'!$A$36,$K$205^A4,IF(A4='Données projet'!$A$36,'Données projet'!$B$36,N3+M4-V3)))</f>
        <v>1.2683026488017477</v>
      </c>
      <c r="O4" s="13">
        <f>N4*VLOOKUP('Données projet'!$B$9,Paramètres!$A$1:$I$89,3,0)*VLOOKUP('Données projet'!$B$9,Paramètres!$A$1:$I$89,5,0)</f>
        <v>0.59356563963921793</v>
      </c>
      <c r="P4" s="13">
        <f>EXP(-1.0587+0.8836*LN(O4)+0.284)</f>
        <v>0.29066253345923576</v>
      </c>
      <c r="Q4" s="20">
        <f t="shared" ref="Q4:Q34" si="2">(O4+P4)*0.475*44/12</f>
        <v>1.5400307348131401</v>
      </c>
      <c r="R4" s="59">
        <f t="shared" si="0"/>
        <v>259.42891962370197</v>
      </c>
      <c r="S4" s="59">
        <f ca="1">AVERAGE(OFFSET($R$3,0,0,'Données projet'!$E$9+1,1))-AVERAGE(OFFSET($H$3,0,0,'Données projet'!$E$9+1,1))</f>
        <v>283.69036991773601</v>
      </c>
      <c r="T4" s="59">
        <f>$T$3</f>
        <v>185.71711000275525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ht="14.95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259.43610890414124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5.8</v>
      </c>
      <c r="N5" s="13">
        <f>IF('Données projet'!$A$36&gt;35,N4+M5-V4,IF(A5&lt;'Données projet'!$A$36,$K$205^A5,IF(A5='Données projet'!$A$36,'Données projet'!$B$36,N4+M5-V4)))</f>
        <v>1.6085916089575294</v>
      </c>
      <c r="O5" s="13">
        <f>N5*VLOOKUP('Données projet'!$B$9,Paramètres!$A$1:$I$89,3,0)*VLOOKUP('Données projet'!$B$9,Paramètres!$A$1:$I$89,5,0)</f>
        <v>0.75282087299212375</v>
      </c>
      <c r="P5" s="13">
        <f t="shared" ref="P5:P68" si="33">EXP(-1.0587+0.8836*LN(O5)+0.284)</f>
        <v>0.35858887240637832</v>
      </c>
      <c r="Q5" s="20">
        <f t="shared" si="2"/>
        <v>1.9357053065690577</v>
      </c>
      <c r="R5" s="59">
        <f t="shared" si="0"/>
        <v>261.04681641768019</v>
      </c>
      <c r="S5" s="59">
        <f ca="1">AVERAGE(OFFSET($R$3,0,0,'Données projet'!$E$9+1,1))-AVERAGE(OFFSET($H$3,0,0,'Données projet'!$E$9+1,1))</f>
        <v>283.69036991773601</v>
      </c>
      <c r="T5" s="59">
        <f t="shared" ref="T5:T68" si="34">$T$3</f>
        <v>185.71711000275525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ht="14.95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260.7608398448956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5.8</v>
      </c>
      <c r="N6" s="13">
        <f>IF('Données projet'!$A$36&gt;35,N5+M6-V5,IF(A6&lt;'Données projet'!$A$36,$K$205^A6,IF(A6='Données projet'!$A$36,'Données projet'!$B$36,N5+M6-V5)))</f>
        <v>2.0401809984810995</v>
      </c>
      <c r="O6" s="13">
        <f>N6*VLOOKUP('Données projet'!$B$9,Paramètres!$A$1:$I$89,3,0)*VLOOKUP('Données projet'!$B$9,Paramètres!$A$1:$I$89,5,0)</f>
        <v>0.95480470728915456</v>
      </c>
      <c r="P6" s="13">
        <f t="shared" si="33"/>
        <v>0.44238924736308166</v>
      </c>
      <c r="Q6" s="20">
        <f t="shared" si="2"/>
        <v>2.4334461376859782</v>
      </c>
      <c r="R6" s="59">
        <f t="shared" si="0"/>
        <v>262.76677947101928</v>
      </c>
      <c r="S6" s="59">
        <f ca="1">AVERAGE(OFFSET($R$3,0,0,'Données projet'!$E$9+1,1))-AVERAGE(OFFSET($H$3,0,0,'Données projet'!$E$9+1,1))</f>
        <v>283.69036991773601</v>
      </c>
      <c r="T6" s="59">
        <f t="shared" si="34"/>
        <v>185.71711000275525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ht="14.95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262.07105900009446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5.8</v>
      </c>
      <c r="N7" s="13">
        <f>IF('Données projet'!$A$36&gt;35,N6+M7-V6,IF(A7&lt;'Données projet'!$A$36,$K$205^A7,IF(A7='Données projet'!$A$36,'Données projet'!$B$36,N6+M7-V6)))</f>
        <v>2.5875669644085733</v>
      </c>
      <c r="O7" s="13">
        <f>N7*VLOOKUP('Données projet'!$B$9,Paramètres!$A$1:$I$89,3,0)*VLOOKUP('Données projet'!$B$9,Paramètres!$A$1:$I$89,5,0)</f>
        <v>1.2109813393432123</v>
      </c>
      <c r="P7" s="13">
        <f t="shared" si="33"/>
        <v>0.54577333889124002</v>
      </c>
      <c r="Q7" s="20">
        <f t="shared" si="2"/>
        <v>3.0596810645916706</v>
      </c>
      <c r="R7" s="59">
        <f t="shared" si="0"/>
        <v>264.61523662014719</v>
      </c>
      <c r="S7" s="59">
        <f ca="1">AVERAGE(OFFSET($R$3,0,0,'Données projet'!$E$9+1,1))-AVERAGE(OFFSET($H$3,0,0,'Données projet'!$E$9+1,1))</f>
        <v>283.69036991773601</v>
      </c>
      <c r="T7" s="59">
        <f t="shared" si="34"/>
        <v>185.71711000275525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ht="14.95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263.37085912145096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5.8</v>
      </c>
      <c r="N8" s="13">
        <f>IF('Données projet'!$A$36&gt;35,N7+M8-V7,IF(A8&lt;'Données projet'!$A$36,$K$205^A8,IF(A8='Données projet'!$A$36,'Données projet'!$B$36,N7+M8-V7)))</f>
        <v>3.2818180349112911</v>
      </c>
      <c r="O8" s="13">
        <f>N8*VLOOKUP('Données projet'!$B$9,Paramètres!$A$1:$I$89,3,0)*VLOOKUP('Données projet'!$B$9,Paramètres!$A$1:$I$89,5,0)</f>
        <v>1.5358908403384843</v>
      </c>
      <c r="P8" s="13">
        <f t="shared" si="33"/>
        <v>0.67331776081804928</v>
      </c>
      <c r="Q8" s="20">
        <f t="shared" si="2"/>
        <v>3.8477049803476291</v>
      </c>
      <c r="R8" s="59">
        <f t="shared" si="0"/>
        <v>266.62548275812537</v>
      </c>
      <c r="S8" s="59">
        <f ca="1">AVERAGE(OFFSET($R$3,0,0,'Données projet'!$E$9+1,1))-AVERAGE(OFFSET($H$3,0,0,'Données projet'!$E$9+1,1))</f>
        <v>283.69036991773601</v>
      </c>
      <c r="T8" s="59">
        <f t="shared" si="34"/>
        <v>185.71711000275525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ht="14.95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264.66257488541947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5.8</v>
      </c>
      <c r="N9" s="13">
        <f>IF('Données projet'!$A$36&gt;35,N8+M9-V8,IF(A9&lt;'Données projet'!$A$36,$K$205^A9,IF(A9='Données projet'!$A$36,'Données projet'!$B$36,N8+M9-V8)))</f>
        <v>4.1623385065633371</v>
      </c>
      <c r="O9" s="13">
        <f>N9*VLOOKUP('Données projet'!$B$9,Paramètres!$A$1:$I$89,3,0)*VLOOKUP('Données projet'!$B$9,Paramètres!$A$1:$I$89,5,0)</f>
        <v>1.9479744210716416</v>
      </c>
      <c r="P9" s="13">
        <f t="shared" si="33"/>
        <v>0.83066865808074086</v>
      </c>
      <c r="Q9" s="20">
        <f t="shared" si="2"/>
        <v>4.8394700295237332</v>
      </c>
      <c r="R9" s="59">
        <f t="shared" si="0"/>
        <v>268.83947002952374</v>
      </c>
      <c r="S9" s="59">
        <f ca="1">AVERAGE(OFFSET($R$3,0,0,'Données projet'!$E$9+1,1))-AVERAGE(OFFSET($H$3,0,0,'Données projet'!$E$9+1,1))</f>
        <v>283.69036991773601</v>
      </c>
      <c r="T9" s="59">
        <f t="shared" si="34"/>
        <v>185.71711000275525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ht="14.95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265.94771136763848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5.8</v>
      </c>
      <c r="N10" s="13">
        <f>IF('Données projet'!$A$36&gt;35,N9+M10-V9,IF(A10&lt;'Données projet'!$A$36,$K$205^A10,IF(A10='Données projet'!$A$36,'Données projet'!$B$36,N9+M10-V9)))</f>
        <v>5.2791049530837908</v>
      </c>
      <c r="O10" s="13">
        <f>N10*VLOOKUP('Données projet'!$B$9,Paramètres!$A$1:$I$89,3,0)*VLOOKUP('Données projet'!$B$9,Paramètres!$A$1:$I$89,5,0)</f>
        <v>2.4706211180432143</v>
      </c>
      <c r="P10" s="13">
        <f t="shared" si="33"/>
        <v>1.0247916506454973</v>
      </c>
      <c r="Q10" s="20">
        <f t="shared" si="2"/>
        <v>6.0878439054661726</v>
      </c>
      <c r="R10" s="59">
        <f t="shared" si="0"/>
        <v>271.3100661276884</v>
      </c>
      <c r="S10" s="59">
        <f ca="1">AVERAGE(OFFSET($R$3,0,0,'Données projet'!$E$9+1,1))-AVERAGE(OFFSET($H$3,0,0,'Données projet'!$E$9+1,1))</f>
        <v>283.69036991773601</v>
      </c>
      <c r="T10" s="59">
        <f t="shared" si="34"/>
        <v>185.71711000275525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ht="14.95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267.22731691271065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5.8</v>
      </c>
      <c r="N11" s="13">
        <f>IF('Données projet'!$A$36&gt;35,N10+M11-V10,IF(A11&lt;'Données projet'!$A$36,$K$205^A11,IF(A11='Données projet'!$A$36,'Données projet'!$B$36,N10+M11-V10)))</f>
        <v>6.6955027952985988</v>
      </c>
      <c r="O11" s="13">
        <f>N11*VLOOKUP('Données projet'!$B$9,Paramètres!$A$1:$I$89,3,0)*VLOOKUP('Données projet'!$B$9,Paramètres!$A$1:$I$89,5,0)</f>
        <v>3.1334953081997443</v>
      </c>
      <c r="P11" s="13">
        <f t="shared" si="33"/>
        <v>1.264280188034546</v>
      </c>
      <c r="Q11" s="20">
        <f t="shared" si="2"/>
        <v>7.6594589892747225</v>
      </c>
      <c r="R11" s="59">
        <f t="shared" si="0"/>
        <v>274.10390343371915</v>
      </c>
      <c r="S11" s="59">
        <f ca="1">AVERAGE(OFFSET($R$3,0,0,'Données projet'!$E$9+1,1))-AVERAGE(OFFSET($H$3,0,0,'Données projet'!$E$9+1,1))</f>
        <v>283.69036991773601</v>
      </c>
      <c r="T11" s="59">
        <f t="shared" si="34"/>
        <v>185.71711000275525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ht="14.95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268.5021620672548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5.8</v>
      </c>
      <c r="N12" s="13">
        <f>IF('Données projet'!$A$36&gt;35,N11+M12-V11,IF(A12&lt;'Données projet'!$A$36,$K$205^A12,IF(A12='Données projet'!$A$36,'Données projet'!$B$36,N11+M12-V11)))</f>
        <v>8.4919239303367196</v>
      </c>
      <c r="O12" s="13">
        <f>N12*VLOOKUP('Données projet'!$B$9,Paramètres!$A$1:$I$89,3,0)*VLOOKUP('Données projet'!$B$9,Paramètres!$A$1:$I$89,5,0)</f>
        <v>3.9742203993975846</v>
      </c>
      <c r="P12" s="13">
        <f t="shared" si="33"/>
        <v>1.5597359647201083</v>
      </c>
      <c r="Q12" s="20">
        <f t="shared" si="2"/>
        <v>9.6383073341716479</v>
      </c>
      <c r="R12" s="59">
        <f t="shared" si="0"/>
        <v>277.30497400083834</v>
      </c>
      <c r="S12" s="59">
        <f ca="1">AVERAGE(OFFSET($R$3,0,0,'Données projet'!$E$9+1,1))-AVERAGE(OFFSET($H$3,0,0,'Données projet'!$E$9+1,1))</f>
        <v>283.69036991773601</v>
      </c>
      <c r="T12" s="59">
        <f t="shared" si="34"/>
        <v>185.71711000275525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ht="14.95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269.77283609992622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5.8</v>
      </c>
      <c r="N13" s="13">
        <f>IF('Données projet'!$A$36&gt;35,N12+M13-V12,IF(A13&lt;'Données projet'!$A$36,$K$205^A13,IF(A13='Données projet'!$A$36,'Données projet'!$B$36,N12+M13-V12)))</f>
        <v>10.770329614269009</v>
      </c>
      <c r="O13" s="13">
        <f>N13*VLOOKUP('Données projet'!$B$9,Paramètres!$A$1:$I$89,3,0)*VLOOKUP('Données projet'!$B$9,Paramètres!$A$1:$I$89,5,0)</f>
        <v>5.0405142594778969</v>
      </c>
      <c r="P13" s="13">
        <f t="shared" si="33"/>
        <v>1.924238236639118</v>
      </c>
      <c r="Q13" s="20">
        <f t="shared" si="2"/>
        <v>12.130277264070466</v>
      </c>
      <c r="R13" s="59">
        <f t="shared" si="0"/>
        <v>281.01916615295931</v>
      </c>
      <c r="S13" s="59">
        <f ca="1">AVERAGE(OFFSET($R$3,0,0,'Données projet'!$E$9+1,1))-AVERAGE(OFFSET($H$3,0,0,'Données projet'!$E$9+1,1))</f>
        <v>283.69036991773601</v>
      </c>
      <c r="T13" s="59">
        <f t="shared" si="34"/>
        <v>185.71711000275525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ht="14.95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271.03980360576855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5.8</v>
      </c>
      <c r="N14" s="13">
        <f>IF('Données projet'!$A$36&gt;35,N13+M14-V13,IF(A14&lt;'Données projet'!$A$36,$K$205^A14,IF(A14='Données projet'!$A$36,'Données projet'!$B$36,N13+M14-V13)))</f>
        <v>13.660037578245287</v>
      </c>
      <c r="O14" s="13">
        <f>N14*VLOOKUP('Données projet'!$B$9,Paramètres!$A$1:$I$89,3,0)*VLOOKUP('Données projet'!$B$9,Paramètres!$A$1:$I$89,5,0)</f>
        <v>6.392897586618794</v>
      </c>
      <c r="P14" s="13">
        <f t="shared" si="33"/>
        <v>2.3739228145633358</v>
      </c>
      <c r="Q14" s="20">
        <f t="shared" si="2"/>
        <v>15.268878865392209</v>
      </c>
      <c r="R14" s="59">
        <f t="shared" si="0"/>
        <v>285.37998997650334</v>
      </c>
      <c r="S14" s="59">
        <f ca="1">AVERAGE(OFFSET($R$3,0,0,'Données projet'!$E$9+1,1))-AVERAGE(OFFSET($H$3,0,0,'Données projet'!$E$9+1,1))</f>
        <v>283.69036991773601</v>
      </c>
      <c r="T14" s="59">
        <f t="shared" si="34"/>
        <v>185.71711000275525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ht="14.95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272.30343986297339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5.8</v>
      </c>
      <c r="N15" s="13">
        <f>IF('Données projet'!$A$36&gt;35,N14+M15-V14,IF(A15&lt;'Données projet'!$A$36,$K$205^A15,IF(A15='Données projet'!$A$36,'Données projet'!$B$36,N14+M15-V14)))</f>
        <v>17.325061843219913</v>
      </c>
      <c r="O15" s="13">
        <f>N15*VLOOKUP('Données projet'!$B$9,Paramètres!$A$1:$I$89,3,0)*VLOOKUP('Données projet'!$B$9,Paramètres!$A$1:$I$89,5,0)</f>
        <v>8.1081289426269194</v>
      </c>
      <c r="P15" s="13">
        <f t="shared" si="33"/>
        <v>2.9286963652418212</v>
      </c>
      <c r="Q15" s="20">
        <f t="shared" si="2"/>
        <v>19.222470744538054</v>
      </c>
      <c r="R15" s="59">
        <f t="shared" si="0"/>
        <v>290.55580407787136</v>
      </c>
      <c r="S15" s="59">
        <f ca="1">AVERAGE(OFFSET($R$3,0,0,'Données projet'!$E$9+1,1))-AVERAGE(OFFSET($H$3,0,0,'Données projet'!$E$9+1,1))</f>
        <v>283.69036991773601</v>
      </c>
      <c r="T15" s="59">
        <f t="shared" si="34"/>
        <v>185.71711000275525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ht="14.95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273.56405403670931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5.8</v>
      </c>
      <c r="N16" s="13">
        <f>IF('Données projet'!$A$36&gt;35,N15+M16-V15,IF(A16&lt;'Données projet'!$A$36,$K$205^A16,IF(A16='Données projet'!$A$36,'Données projet'!$B$36,N15+M16-V15)))</f>
        <v>21.973421826409904</v>
      </c>
      <c r="O16" s="13">
        <f>N16*VLOOKUP('Données projet'!$B$9,Paramètres!$A$1:$I$89,3,0)*VLOOKUP('Données projet'!$B$9,Paramètres!$A$1:$I$89,5,0)</f>
        <v>10.283561414759836</v>
      </c>
      <c r="P16" s="13">
        <f t="shared" si="33"/>
        <v>3.613117641046121</v>
      </c>
      <c r="Q16" s="20">
        <f t="shared" si="2"/>
        <v>24.203382688862039</v>
      </c>
      <c r="R16" s="59">
        <f t="shared" si="0"/>
        <v>296.75893824441761</v>
      </c>
      <c r="S16" s="59">
        <f ca="1">AVERAGE(OFFSET($R$3,0,0,'Données projet'!$E$9+1,1))-AVERAGE(OFFSET($H$3,0,0,'Données projet'!$E$9+1,1))</f>
        <v>283.69036991773601</v>
      </c>
      <c r="T16" s="59">
        <f t="shared" si="34"/>
        <v>185.71711000275525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ht="14.95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274.82190502633887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5.8</v>
      </c>
      <c r="N17" s="13">
        <f>IF('Données projet'!$A$36&gt;35,N16+M17-V16,IF(A17&lt;'Données projet'!$A$36,$K$205^A17,IF(A17='Données projet'!$A$36,'Données projet'!$B$36,N16+M17-V16)))</f>
        <v>27.868949105673821</v>
      </c>
      <c r="O17" s="13">
        <f>N17*VLOOKUP('Données projet'!$B$9,Paramètres!$A$1:$I$89,3,0)*VLOOKUP('Données projet'!$B$9,Paramètres!$A$1:$I$89,5,0)</f>
        <v>13.042668181455348</v>
      </c>
      <c r="P17" s="13">
        <f t="shared" si="33"/>
        <v>4.4574846484506701</v>
      </c>
      <c r="Q17" s="20">
        <f t="shared" si="2"/>
        <v>30.479432845419648</v>
      </c>
      <c r="R17" s="59">
        <f t="shared" si="0"/>
        <v>304.25721062319741</v>
      </c>
      <c r="S17" s="59">
        <f ca="1">AVERAGE(OFFSET($R$3,0,0,'Données projet'!$E$9+1,1))-AVERAGE(OFFSET($H$3,0,0,'Données projet'!$E$9+1,1))</f>
        <v>283.69036991773601</v>
      </c>
      <c r="T17" s="59">
        <f t="shared" si="34"/>
        <v>185.71711000275525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ht="14.95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276.07721264982155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5.8</v>
      </c>
      <c r="N18" s="13">
        <f>IF('Données projet'!$A$36&gt;35,N17+M18-V17,IF(A18&lt;'Données projet'!$A$36,$K$205^A18,IF(A18='Données projet'!$A$36,'Données projet'!$B$36,N17+M18-V17)))</f>
        <v>35.346261970047202</v>
      </c>
      <c r="O18" s="13">
        <f>N18*VLOOKUP('Données projet'!$B$9,Paramètres!$A$1:$I$89,3,0)*VLOOKUP('Données projet'!$B$9,Paramètres!$A$1:$I$89,5,0)</f>
        <v>16.542050601982091</v>
      </c>
      <c r="P18" s="13">
        <f t="shared" si="33"/>
        <v>5.4991758821947965</v>
      </c>
      <c r="Q18" s="20">
        <f t="shared" si="2"/>
        <v>38.388469459941412</v>
      </c>
      <c r="R18" s="59">
        <f t="shared" si="0"/>
        <v>313.3884694599414</v>
      </c>
      <c r="S18" s="59">
        <f ca="1">AVERAGE(OFFSET($R$3,0,0,'Données projet'!$E$9+1,1))-AVERAGE(OFFSET($H$3,0,0,'Données projet'!$E$9+1,1))</f>
        <v>283.69036991773601</v>
      </c>
      <c r="T18" s="59">
        <f t="shared" si="34"/>
        <v>185.71711000275525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ht="14.95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277.33016575790663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5.8</v>
      </c>
      <c r="N19" s="13">
        <f>IF('Données projet'!$A$36&gt;35,N18+M19-V18,IF(A19&lt;'Données projet'!$A$36,$K$205^A19,IF(A19='Données projet'!$A$36,'Données projet'!$B$36,N18+M19-V18)))</f>
        <v>44.829757681851348</v>
      </c>
      <c r="O19" s="13">
        <f>N19*VLOOKUP('Données projet'!$B$9,Paramètres!$A$1:$I$89,3,0)*VLOOKUP('Données projet'!$B$9,Paramètres!$A$1:$I$89,5,0)</f>
        <v>20.98032659510643</v>
      </c>
      <c r="P19" s="13">
        <f t="shared" si="33"/>
        <v>6.7843049989693283</v>
      </c>
      <c r="Q19" s="20">
        <f t="shared" si="2"/>
        <v>48.356733359681947</v>
      </c>
      <c r="R19" s="59">
        <f t="shared" si="0"/>
        <v>324.57895558190415</v>
      </c>
      <c r="S19" s="59">
        <f ca="1">AVERAGE(OFFSET($R$3,0,0,'Données projet'!$E$9+1,1))-AVERAGE(OFFSET($H$3,0,0,'Données projet'!$E$9+1,1))</f>
        <v>283.69036991773601</v>
      </c>
      <c r="T19" s="59">
        <f t="shared" si="34"/>
        <v>185.71711000275525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ht="14.95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278.58092826076489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5.8</v>
      </c>
      <c r="N20" s="13">
        <f>IF('Données projet'!$A$36&gt;35,N19+M20-V19,IF(A20&lt;'Données projet'!$A$36,$K$205^A20,IF(A20='Données projet'!$A$36,'Données projet'!$B$36,N19+M20-V19)))</f>
        <v>56.857700413032561</v>
      </c>
      <c r="O20" s="13">
        <f>N20*VLOOKUP('Données projet'!$B$9,Paramètres!$A$1:$I$89,3,0)*VLOOKUP('Données projet'!$B$9,Paramètres!$A$1:$I$89,5,0)</f>
        <v>26.609403793299236</v>
      </c>
      <c r="P20" s="13">
        <f t="shared" si="33"/>
        <v>8.3697621798323496</v>
      </c>
      <c r="Q20" s="20">
        <f t="shared" si="2"/>
        <v>60.922047403204175</v>
      </c>
      <c r="R20" s="59">
        <f t="shared" si="0"/>
        <v>338.3664918476486</v>
      </c>
      <c r="S20" s="59">
        <f ca="1">AVERAGE(OFFSET($R$3,0,0,'Données projet'!$E$9+1,1))-AVERAGE(OFFSET($H$3,0,0,'Données projet'!$E$9+1,1))</f>
        <v>283.69036991773601</v>
      </c>
      <c r="T20" s="59">
        <f t="shared" si="34"/>
        <v>185.71711000275525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ht="14.95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279.82964369567594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5.8</v>
      </c>
      <c r="N21" s="13">
        <f>IF('Données projet'!$A$36&gt;35,N20+M21-V20,IF(A21&lt;'Données projet'!$A$36,$K$205^A21,IF(A21='Données projet'!$A$36,'Données projet'!$B$36,N20+M21-V20)))</f>
        <v>72.112772038625423</v>
      </c>
      <c r="O21" s="13">
        <f>N21*VLOOKUP('Données projet'!$B$9,Paramètres!$A$1:$I$89,3,0)*VLOOKUP('Données projet'!$B$9,Paramètres!$A$1:$I$89,5,0)</f>
        <v>33.748777314076698</v>
      </c>
      <c r="P21" s="13">
        <f t="shared" si="33"/>
        <v>10.325732548521101</v>
      </c>
      <c r="Q21" s="20">
        <f t="shared" si="2"/>
        <v>76.76310467735783</v>
      </c>
      <c r="R21" s="59">
        <f t="shared" si="0"/>
        <v>355.42977134402452</v>
      </c>
      <c r="S21" s="59">
        <f ca="1">AVERAGE(OFFSET($R$3,0,0,'Données projet'!$E$9+1,1))-AVERAGE(OFFSET($H$3,0,0,'Données projet'!$E$9+1,1))</f>
        <v>283.69036991773601</v>
      </c>
      <c r="T21" s="59">
        <f t="shared" si="34"/>
        <v>185.71711000275525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ht="14.95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281.07643875057323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5.8</v>
      </c>
      <c r="N22" s="13">
        <f>IF('Données projet'!$A$36&gt;35,N21+M22-V21,IF(A22&lt;'Données projet'!$A$36,$K$205^A22,IF(A22='Données projet'!$A$36,'Données projet'!$B$36,N21+M22-V21)))</f>
        <v>91.460819789025223</v>
      </c>
      <c r="O22" s="13">
        <f>N22*VLOOKUP('Données projet'!$B$9,Paramètres!$A$1:$I$89,3,0)*VLOOKUP('Données projet'!$B$9,Paramètres!$A$1:$I$89,5,0)</f>
        <v>42.803663661263805</v>
      </c>
      <c r="P22" s="13">
        <f t="shared" si="33"/>
        <v>12.738803131168973</v>
      </c>
      <c r="Q22" s="20">
        <f t="shared" si="2"/>
        <v>96.736462996820421</v>
      </c>
      <c r="R22" s="59">
        <f t="shared" si="0"/>
        <v>376.62535188570928</v>
      </c>
      <c r="S22" s="59">
        <f ca="1">AVERAGE(OFFSET($R$3,0,0,'Données projet'!$E$9+1,1))-AVERAGE(OFFSET($H$3,0,0,'Données projet'!$E$9+1,1))</f>
        <v>283.69036991773601</v>
      </c>
      <c r="T22" s="59">
        <f t="shared" si="34"/>
        <v>185.71711000275525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ht="14.95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282.32142602462875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116</v>
      </c>
      <c r="L23" s="12">
        <f>VLOOKUP(A23,'Données projet'!$A$35:$I$55,9,0)</f>
        <v>5.8</v>
      </c>
      <c r="M23" s="12">
        <f t="array" ref="M23">INDEX(L:L,MIN(IF(ISNUMBER(L23:L219),ROW(L23:L219),"")))</f>
        <v>5.8</v>
      </c>
      <c r="N23" s="13">
        <f>IF('Données projet'!$A$36&gt;35,N22+M23-V22,IF(A23&lt;'Données projet'!$A$36,$K$205^A23,IF(A23='Données projet'!$A$36,'Données projet'!$B$36,N22+M23-V22)))</f>
        <v>116</v>
      </c>
      <c r="O23" s="13">
        <f>N23*VLOOKUP('Données projet'!$B$9,Paramètres!$A$1:$I$89,3,0)*VLOOKUP('Données projet'!$B$9,Paramètres!$A$1:$I$89,5,0)</f>
        <v>54.287999999999997</v>
      </c>
      <c r="P23" s="13">
        <f t="shared" si="33"/>
        <v>15.715795896526746</v>
      </c>
      <c r="Q23" s="20">
        <f t="shared" si="2"/>
        <v>121.9232778531174</v>
      </c>
      <c r="R23" s="59">
        <f t="shared" si="0"/>
        <v>403.03438896422853</v>
      </c>
      <c r="S23" s="59">
        <f ca="1">AVERAGE(OFFSET($R$3,0,0,'Données projet'!$E$9+1,1))-AVERAGE(OFFSET($H$3,0,0,'Données projet'!$E$9+1,1))</f>
        <v>283.69036991773601</v>
      </c>
      <c r="T23" s="59">
        <f t="shared" si="34"/>
        <v>185.71711000275525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92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1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48.749393802299515</v>
      </c>
      <c r="AC23" s="22">
        <f t="shared" si="3"/>
        <v>48.749393802299515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ht="14.95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283.56470622103035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15.6</v>
      </c>
      <c r="N24" s="13">
        <f>IF('Données projet'!$A$36&gt;35,N23+M24-V23,IF(A24&lt;'Données projet'!$A$36,$K$205^A24,IF(A24='Données projet'!$A$36,'Données projet'!$B$36,N23+M24-V23)))</f>
        <v>39.599999999999994</v>
      </c>
      <c r="O24" s="13">
        <f>N24*VLOOKUP('Données projet'!$B$9,Paramètres!$A$1:$I$89,3,0)*VLOOKUP('Données projet'!$B$9,Paramètres!$A$1:$I$89,5,0)</f>
        <v>18.532799999999995</v>
      </c>
      <c r="P24" s="13">
        <f t="shared" si="33"/>
        <v>6.0800166268835838</v>
      </c>
      <c r="Q24" s="20">
        <f t="shared" si="2"/>
        <v>42.867322291822234</v>
      </c>
      <c r="R24" s="59">
        <f t="shared" si="0"/>
        <v>325.20065562515555</v>
      </c>
      <c r="S24" s="59">
        <f ca="1">AVERAGE(OFFSET($R$3,0,0,'Données projet'!$E$9+1,1))-AVERAGE(OFFSET($H$3,0,0,'Données projet'!$E$9+1,1))</f>
        <v>283.69036991773601</v>
      </c>
      <c r="T24" s="59">
        <f t="shared" si="34"/>
        <v>185.71711000275525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34.471026936339442</v>
      </c>
      <c r="AC24" s="22">
        <f t="shared" si="3"/>
        <v>34.471026936339442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ht="14.95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284.8063699102529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15.6</v>
      </c>
      <c r="N25" s="13">
        <f>IF('Données projet'!$A$36&gt;35,N24+M25-V24,IF(A25&lt;'Données projet'!$A$36,$K$205^A25,IF(A25='Données projet'!$A$36,'Données projet'!$B$36,N24+M25-V24)))</f>
        <v>55.199999999999996</v>
      </c>
      <c r="O25" s="13">
        <f>N25*VLOOKUP('Données projet'!$B$9,Paramètres!$A$1:$I$89,3,0)*VLOOKUP('Données projet'!$B$9,Paramètres!$A$1:$I$89,5,0)</f>
        <v>25.833599999999997</v>
      </c>
      <c r="P25" s="13">
        <f t="shared" si="33"/>
        <v>8.1537739978012986</v>
      </c>
      <c r="Q25" s="20">
        <f t="shared" si="2"/>
        <v>59.194676379503932</v>
      </c>
      <c r="R25" s="59">
        <f t="shared" si="0"/>
        <v>342.75023193505945</v>
      </c>
      <c r="S25" s="59">
        <f ca="1">AVERAGE(OFFSET($R$3,0,0,'Données projet'!$E$9+1,1))-AVERAGE(OFFSET($H$3,0,0,'Données projet'!$E$9+1,1))</f>
        <v>283.69036991773601</v>
      </c>
      <c r="T25" s="59">
        <f t="shared" si="34"/>
        <v>185.71711000275525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24.374696901149761</v>
      </c>
      <c r="AC25" s="22">
        <f t="shared" si="3"/>
        <v>24.374696901149761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ht="14.95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286.04649896367255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15.6</v>
      </c>
      <c r="N26" s="13">
        <f>IF('Données projet'!$A$36&gt;35,N25+M26-V25,IF(A26&lt;'Données projet'!$A$36,$K$205^A26,IF(A26='Données projet'!$A$36,'Données projet'!$B$36,N25+M26-V25)))</f>
        <v>70.8</v>
      </c>
      <c r="O26" s="13">
        <f>N26*VLOOKUP('Données projet'!$B$9,Paramètres!$A$1:$I$89,3,0)*VLOOKUP('Données projet'!$B$9,Paramètres!$A$1:$I$89,5,0)</f>
        <v>33.134399999999999</v>
      </c>
      <c r="P26" s="13">
        <f t="shared" si="33"/>
        <v>10.159461459415697</v>
      </c>
      <c r="Q26" s="20">
        <f t="shared" si="2"/>
        <v>75.403475375149</v>
      </c>
      <c r="R26" s="59">
        <f t="shared" si="0"/>
        <v>360.18125315292679</v>
      </c>
      <c r="S26" s="59">
        <f ca="1">AVERAGE(OFFSET($R$3,0,0,'Données projet'!$E$9+1,1))-AVERAGE(OFFSET($H$3,0,0,'Données projet'!$E$9+1,1))</f>
        <v>283.69036991773601</v>
      </c>
      <c r="T26" s="59">
        <f t="shared" si="34"/>
        <v>185.71711000275525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17.235513468169724</v>
      </c>
      <c r="AC26" s="22">
        <f t="shared" si="3"/>
        <v>17.235513468169724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ht="14.95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287.28516773082151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15.6</v>
      </c>
      <c r="N27" s="13">
        <f>IF('Données projet'!$A$36&gt;35,N26+M27-V26,IF(A27&lt;'Données projet'!$A$36,$K$205^A27,IF(A27='Données projet'!$A$36,'Données projet'!$B$36,N26+M27-V26)))</f>
        <v>86.399999999999991</v>
      </c>
      <c r="O27" s="13">
        <f>N27*VLOOKUP('Données projet'!$B$9,Paramètres!$A$1:$I$89,3,0)*VLOOKUP('Données projet'!$B$9,Paramètres!$A$1:$I$89,5,0)</f>
        <v>40.435199999999995</v>
      </c>
      <c r="P27" s="13">
        <f t="shared" si="33"/>
        <v>12.113923967337671</v>
      </c>
      <c r="Q27" s="20">
        <f t="shared" si="2"/>
        <v>91.523057576446433</v>
      </c>
      <c r="R27" s="59">
        <f t="shared" si="0"/>
        <v>377.52305757644643</v>
      </c>
      <c r="S27" s="59">
        <f ca="1">AVERAGE(OFFSET($R$3,0,0,'Données projet'!$E$9+1,1))-AVERAGE(OFFSET($H$3,0,0,'Données projet'!$E$9+1,1))</f>
        <v>283.69036991773601</v>
      </c>
      <c r="T27" s="59">
        <f t="shared" si="34"/>
        <v>185.71711000275525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12.187348450574882</v>
      </c>
      <c r="AC27" s="22">
        <f t="shared" si="3"/>
        <v>12.187348450574882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ht="14.95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288.52244401490464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15.6</v>
      </c>
      <c r="N28" s="13">
        <f>IF('Données projet'!$A$36&gt;35,N27+M28-V27,IF(A28&lt;'Données projet'!$A$36,$K$205^A28,IF(A28='Données projet'!$A$36,'Données projet'!$B$36,N27+M28-V27)))</f>
        <v>101.99999999999999</v>
      </c>
      <c r="O28" s="13">
        <f>N28*VLOOKUP('Données projet'!$B$9,Paramètres!$A$1:$I$89,3,0)*VLOOKUP('Données projet'!$B$9,Paramètres!$A$1:$I$89,5,0)</f>
        <v>47.73599999999999</v>
      </c>
      <c r="P28" s="13">
        <f t="shared" si="33"/>
        <v>14.027504361700418</v>
      </c>
      <c r="Q28" s="20">
        <f t="shared" si="2"/>
        <v>107.57143676329487</v>
      </c>
      <c r="R28" s="59">
        <f t="shared" si="0"/>
        <v>394.79365898551708</v>
      </c>
      <c r="S28" s="59">
        <f ca="1">AVERAGE(OFFSET($R$3,0,0,'Données projet'!$E$9+1,1))-AVERAGE(OFFSET($H$3,0,0,'Données projet'!$E$9+1,1))</f>
        <v>283.69036991773601</v>
      </c>
      <c r="T28" s="59">
        <f t="shared" si="34"/>
        <v>185.71711000275525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8.6177567340848622</v>
      </c>
      <c r="AC28" s="22">
        <f t="shared" si="3"/>
        <v>8.6177567340848622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289.75838988784039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15.6</v>
      </c>
      <c r="N29" s="13">
        <f>IF('Données projet'!$A$36&gt;35,N28+M29-V28,IF(A29&lt;'Données projet'!$A$36,$K$205^A29,IF(A29='Données projet'!$A$36,'Données projet'!$B$36,N28+M29-V28)))</f>
        <v>117.59999999999998</v>
      </c>
      <c r="O29" s="13">
        <f>N29*VLOOKUP('Données projet'!$B$9,Paramètres!$A$1:$I$89,3,0)*VLOOKUP('Données projet'!$B$9,Paramètres!$A$1:$I$89,5,0)</f>
        <v>55.036799999999992</v>
      </c>
      <c r="P29" s="13">
        <f t="shared" si="33"/>
        <v>15.907180538864338</v>
      </c>
      <c r="Q29" s="20">
        <f t="shared" si="2"/>
        <v>123.56076610518873</v>
      </c>
      <c r="R29" s="59">
        <f t="shared" si="0"/>
        <v>412.0052105496332</v>
      </c>
      <c r="S29" s="59">
        <f ca="1">AVERAGE(OFFSET($R$3,0,0,'Données projet'!$E$9+1,1))-AVERAGE(OFFSET($H$3,0,0,'Données projet'!$E$9+1,1))</f>
        <v>283.69036991773601</v>
      </c>
      <c r="T29" s="59">
        <f t="shared" si="34"/>
        <v>185.71711000275525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6.0936742252874412</v>
      </c>
      <c r="AC29" s="22">
        <f t="shared" si="3"/>
        <v>6.0936742252874412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290.99306237638319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15.6</v>
      </c>
      <c r="N30" s="13">
        <f>IF('Données projet'!$A$36&gt;35,N29+M30-V29,IF(A30&lt;'Données projet'!$A$36,$K$205^A30,IF(A30='Données projet'!$A$36,'Données projet'!$B$36,N29+M30-V29)))</f>
        <v>133.19999999999999</v>
      </c>
      <c r="O30" s="13">
        <f>N30*VLOOKUP('Données projet'!$B$9,Paramètres!$A$1:$I$89,3,0)*VLOOKUP('Données projet'!$B$9,Paramètres!$A$1:$I$89,5,0)</f>
        <v>62.337599999999988</v>
      </c>
      <c r="P30" s="13">
        <f t="shared" si="33"/>
        <v>17.757966554912596</v>
      </c>
      <c r="Q30" s="20">
        <f t="shared" si="2"/>
        <v>139.49977841647276</v>
      </c>
      <c r="R30" s="59">
        <f t="shared" si="0"/>
        <v>429.16644508313948</v>
      </c>
      <c r="S30" s="59">
        <f ca="1">AVERAGE(OFFSET($R$3,0,0,'Données projet'!$E$9+1,1))-AVERAGE(OFFSET($H$3,0,0,'Données projet'!$E$9+1,1))</f>
        <v>283.69036991773601</v>
      </c>
      <c r="T30" s="59">
        <f t="shared" si="34"/>
        <v>185.71711000275525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4.3088783670424311</v>
      </c>
      <c r="AC30" s="22">
        <f t="shared" si="3"/>
        <v>4.3088783670424311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292.22651404374136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15.6</v>
      </c>
      <c r="N31" s="13">
        <f>IF('Données projet'!$A$36&gt;35,N30+M31-V30,IF(A31&lt;'Données projet'!$A$36,$K$205^A31,IF(A31='Données projet'!$A$36,'Données projet'!$B$36,N30+M31-V30)))</f>
        <v>148.79999999999998</v>
      </c>
      <c r="O31" s="13">
        <f>N31*VLOOKUP('Données projet'!$B$9,Paramètres!$A$1:$I$89,3,0)*VLOOKUP('Données projet'!$B$9,Paramètres!$A$1:$I$89,5,0)</f>
        <v>69.63839999999999</v>
      </c>
      <c r="P31" s="13">
        <f t="shared" si="33"/>
        <v>19.583632497664617</v>
      </c>
      <c r="Q31" s="20">
        <f t="shared" si="2"/>
        <v>155.39503993343251</v>
      </c>
      <c r="R31" s="59">
        <f t="shared" si="0"/>
        <v>446.2839288223214</v>
      </c>
      <c r="S31" s="59">
        <f ca="1">AVERAGE(OFFSET($R$3,0,0,'Données projet'!$E$9+1,1))-AVERAGE(OFFSET($H$3,0,0,'Données projet'!$E$9+1,1))</f>
        <v>283.69036991773601</v>
      </c>
      <c r="T31" s="59">
        <f t="shared" si="34"/>
        <v>185.71711000275525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3.0468371126437206</v>
      </c>
      <c r="AC31" s="22">
        <f t="shared" si="3"/>
        <v>3.0468371126437206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293.45879348577108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15.6</v>
      </c>
      <c r="N32" s="13">
        <f>IF('Données projet'!$A$36&gt;35,N31+M32-V31,IF(A32&lt;'Données projet'!$A$36,$K$205^A32,IF(A32='Données projet'!$A$36,'Données projet'!$B$36,N31+M32-V31)))</f>
        <v>164.39999999999998</v>
      </c>
      <c r="O32" s="13">
        <f>N32*VLOOKUP('Données projet'!$B$9,Paramètres!$A$1:$I$89,3,0)*VLOOKUP('Données projet'!$B$9,Paramètres!$A$1:$I$89,5,0)</f>
        <v>76.939199999999985</v>
      </c>
      <c r="P32" s="13">
        <f t="shared" si="33"/>
        <v>21.38711195280052</v>
      </c>
      <c r="Q32" s="20">
        <f t="shared" si="2"/>
        <v>171.25165998446087</v>
      </c>
      <c r="R32" s="59">
        <f t="shared" si="0"/>
        <v>463.36277109557204</v>
      </c>
      <c r="S32" s="59">
        <f ca="1">AVERAGE(OFFSET($R$3,0,0,'Données projet'!$E$9+1,1))-AVERAGE(OFFSET($H$3,0,0,'Données projet'!$E$9+1,1))</f>
        <v>283.69036991773601</v>
      </c>
      <c r="T32" s="59">
        <f t="shared" si="34"/>
        <v>185.71711000275525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2.1544391835212156</v>
      </c>
      <c r="AC32" s="22">
        <f t="shared" si="3"/>
        <v>2.1544391835212156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294.68994575680784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180</v>
      </c>
      <c r="L33" s="12">
        <f>VLOOKUP(A33,'Données projet'!$A$35:$I$55,9,0)</f>
        <v>15.6</v>
      </c>
      <c r="M33" s="12">
        <f t="array" ref="M33">INDEX(L:L,MIN(IF(ISNUMBER(L33:L229),ROW(L33:L229),"")))</f>
        <v>15.6</v>
      </c>
      <c r="N33" s="13">
        <f>IF('Données projet'!$A$36&gt;35,N32+M33-V32,IF(A33&lt;'Données projet'!$A$36,$K$205^A33,IF(A33='Données projet'!$A$36,'Données projet'!$B$36,N32+M33-V32)))</f>
        <v>179.99999999999997</v>
      </c>
      <c r="O33" s="13">
        <f>N33*VLOOKUP('Données projet'!$B$9,Paramètres!$A$1:$I$89,3,0)*VLOOKUP('Données projet'!$B$9,Paramètres!$A$1:$I$89,5,0)</f>
        <v>84.239999999999981</v>
      </c>
      <c r="P33" s="13">
        <f t="shared" si="33"/>
        <v>23.170749718409468</v>
      </c>
      <c r="Q33" s="20">
        <f t="shared" si="2"/>
        <v>187.07372242622978</v>
      </c>
      <c r="R33" s="59">
        <f t="shared" si="0"/>
        <v>480.40705575956309</v>
      </c>
      <c r="S33" s="59">
        <f ca="1">AVERAGE(OFFSET($R$3,0,0,'Données projet'!$E$9+1,1))-AVERAGE(OFFSET($H$3,0,0,'Données projet'!$E$9+1,1))</f>
        <v>283.69036991773601</v>
      </c>
      <c r="T33" s="59">
        <f t="shared" si="34"/>
        <v>185.71711000275525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48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0.11000000000000001</v>
      </c>
      <c r="Y33" s="16">
        <f>IF(ISNA(VLOOKUP(A33,'Données projet'!$A$35:$I$55,7,0)),0%,VLOOKUP(A33,'Données projet'!$A$35:$I$55,7,0))</f>
        <v>0.8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3.2650871212392878</v>
      </c>
      <c r="AB33" s="21">
        <f>EXP(-LN(2)/2)*AB32+(1-EXP(-LN(2)/2))/(LN(2)/2)*V33*Y33*VLOOKUP('Données projet'!$B$9,Paramètres!$A$1:$I$89,3,0)*0.475*44/12</f>
        <v>21.870991621629486</v>
      </c>
      <c r="AC33" s="22">
        <f t="shared" si="3"/>
        <v>25.136078742868772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295.92001273712469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</v>
      </c>
      <c r="N34" s="13">
        <f>IF('Données projet'!$A$36&gt;35,N33+M34-V33,IF(A34&lt;'Données projet'!$A$36,$K$205^A34,IF(A34='Données projet'!$A$36,'Données projet'!$B$36,N33+M34-V33)))</f>
        <v>143.99999999999997</v>
      </c>
      <c r="O34" s="13">
        <f>N34*VLOOKUP('Données projet'!$B$9,Paramètres!$A$1:$I$89,3,0)*VLOOKUP('Données projet'!$B$9,Paramètres!$A$1:$I$89,5,0)</f>
        <v>67.391999999999982</v>
      </c>
      <c r="P34" s="13">
        <f t="shared" si="33"/>
        <v>19.02437502991798</v>
      </c>
      <c r="Q34" s="20">
        <f t="shared" si="2"/>
        <v>150.50851984377377</v>
      </c>
      <c r="R34" s="59">
        <f t="shared" si="0"/>
        <v>443.84185317710705</v>
      </c>
      <c r="S34" s="59">
        <f ca="1">AVERAGE(OFFSET($R$3,0,0,'Données projet'!$E$9+1,1))-AVERAGE(OFFSET($H$3,0,0,'Données projet'!$E$9+1,1))</f>
        <v>283.69036991773601</v>
      </c>
      <c r="T34" s="59">
        <f t="shared" si="34"/>
        <v>185.71711000275525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3.1758031422055302</v>
      </c>
      <c r="AB34" s="21">
        <f>EXP(-LN(2)/2)*AB33+(1-EXP(-LN(2)/2))/(LN(2)/2)*V34*Y34*VLOOKUP('Données projet'!$B$9,Paramètres!$A$1:$I$89,3,0)*0.475*44/12</f>
        <v>15.465126486928376</v>
      </c>
      <c r="AC34" s="22">
        <f t="shared" si="3"/>
        <v>18.640929629133907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297.14903345164504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</v>
      </c>
      <c r="N35" s="13">
        <f>IF('Données projet'!$A$36&gt;35,N34+M35-V34,IF(A35&lt;'Données projet'!$A$36,$K$205^A35,IF(A35='Données projet'!$A$36,'Données projet'!$B$36,N34+M35-V34)))</f>
        <v>155.99999999999997</v>
      </c>
      <c r="O35" s="13">
        <f>N35*VLOOKUP('Données projet'!$B$9,Paramètres!$A$1:$I$89,3,0)*VLOOKUP('Données projet'!$B$9,Paramètres!$A$1:$I$89,5,0)</f>
        <v>73.007999999999996</v>
      </c>
      <c r="P35" s="13">
        <f t="shared" si="33"/>
        <v>20.418611018263636</v>
      </c>
      <c r="Q35" s="20">
        <f t="shared" ref="Q35:Q66" si="53">(O35+P35)*0.475*44/12</f>
        <v>162.7180141901425</v>
      </c>
      <c r="R35" s="59">
        <f t="shared" si="0"/>
        <v>456.05134752347578</v>
      </c>
      <c r="S35" s="59">
        <f ca="1">AVERAGE(OFFSET($R$3,0,0,'Données projet'!$E$9+1,1))-AVERAGE(OFFSET($H$3,0,0,'Données projet'!$E$9+1,1))</f>
        <v>283.69036991773601</v>
      </c>
      <c r="T35" s="59">
        <f t="shared" si="34"/>
        <v>185.71711000275525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3.0889606382736909</v>
      </c>
      <c r="AB35" s="21">
        <f>EXP(-LN(2)/2)*AB34+(1-EXP(-LN(2)/2))/(LN(2)/2)*V35*Y35*VLOOKUP('Données projet'!$B$9,Paramètres!$A$1:$I$89,3,0)*0.475*44/12</f>
        <v>10.935495810814745</v>
      </c>
      <c r="AC35" s="22">
        <f t="shared" si="3"/>
        <v>14.024456449088436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298.37704434769694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</v>
      </c>
      <c r="N36" s="13">
        <f>IF('Données projet'!$A$36&gt;35,N35+M36-V35,IF(A36&lt;'Données projet'!$A$36,$K$205^A36,IF(A36='Données projet'!$A$36,'Données projet'!$B$36,N35+M36-V35)))</f>
        <v>167.99999999999997</v>
      </c>
      <c r="O36" s="13">
        <f>N36*VLOOKUP('Données projet'!$B$9,Paramètres!$A$1:$I$89,3,0)*VLOOKUP('Données projet'!$B$9,Paramètres!$A$1:$I$89,5,0)</f>
        <v>78.623999999999995</v>
      </c>
      <c r="P36" s="13">
        <f t="shared" si="33"/>
        <v>21.800406010684444</v>
      </c>
      <c r="Q36" s="20">
        <f t="shared" si="53"/>
        <v>174.90584046860872</v>
      </c>
      <c r="R36" s="59">
        <f t="shared" si="0"/>
        <v>468.239173801942</v>
      </c>
      <c r="S36" s="59">
        <f ca="1">AVERAGE(OFFSET($R$3,0,0,'Données projet'!$E$9+1,1))-AVERAGE(OFFSET($H$3,0,0,'Données projet'!$E$9+1,1))</f>
        <v>283.69036991773601</v>
      </c>
      <c r="T36" s="59">
        <f t="shared" si="34"/>
        <v>185.71711000275525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3.0044928471787169</v>
      </c>
      <c r="AB36" s="21">
        <f>EXP(-LN(2)/2)*AB35+(1-EXP(-LN(2)/2))/(LN(2)/2)*V36*Y36*VLOOKUP('Données projet'!$B$9,Paramètres!$A$1:$I$89,3,0)*0.475*44/12</f>
        <v>7.7325632434641891</v>
      </c>
      <c r="AC36" s="22">
        <f t="shared" si="3"/>
        <v>10.737056090642906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299.60407953815456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</v>
      </c>
      <c r="N37" s="13">
        <f>IF('Données projet'!$A$36&gt;35,N36+M37-V36,IF(A37&lt;'Données projet'!$A$36,$K$205^A37,IF(A37='Données projet'!$A$36,'Données projet'!$B$36,N36+M37-V36)))</f>
        <v>179.99999999999997</v>
      </c>
      <c r="O37" s="13">
        <f>N37*VLOOKUP('Données projet'!$B$9,Paramètres!$A$1:$I$89,3,0)*VLOOKUP('Données projet'!$B$9,Paramètres!$A$1:$I$89,5,0)</f>
        <v>84.239999999999981</v>
      </c>
      <c r="P37" s="13">
        <f t="shared" si="33"/>
        <v>23.170749718409468</v>
      </c>
      <c r="Q37" s="20">
        <f t="shared" si="53"/>
        <v>187.07372242622978</v>
      </c>
      <c r="R37" s="59">
        <f t="shared" si="0"/>
        <v>480.40705575956309</v>
      </c>
      <c r="S37" s="59">
        <f ca="1">AVERAGE(OFFSET($R$3,0,0,'Données projet'!$E$9+1,1))-AVERAGE(OFFSET($H$3,0,0,'Données projet'!$E$9+1,1))</f>
        <v>283.69036991773601</v>
      </c>
      <c r="T37" s="59">
        <f t="shared" si="34"/>
        <v>185.71711000275525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2.922334832273203</v>
      </c>
      <c r="AB37" s="21">
        <f>EXP(-LN(2)/2)*AB36+(1-EXP(-LN(2)/2))/(LN(2)/2)*V37*Y37*VLOOKUP('Données projet'!$B$9,Paramètres!$A$1:$I$89,3,0)*0.475*44/12</f>
        <v>5.4677479054073732</v>
      </c>
      <c r="AC37" s="22">
        <f t="shared" si="3"/>
        <v>8.3900827376805758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300.83017101517061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</v>
      </c>
      <c r="N38" s="13">
        <f>IF('Données projet'!$A$36&gt;35,N37+M38-V37,IF(A38&lt;'Données projet'!$A$36,$K$205^A38,IF(A38='Données projet'!$A$36,'Données projet'!$B$36,N37+M38-V37)))</f>
        <v>191.99999999999997</v>
      </c>
      <c r="O38" s="13">
        <f>N38*VLOOKUP('Données projet'!$B$9,Paramètres!$A$1:$I$89,3,0)*VLOOKUP('Données projet'!$B$9,Paramètres!$A$1:$I$89,5,0)</f>
        <v>89.855999999999995</v>
      </c>
      <c r="P38" s="13">
        <f t="shared" si="33"/>
        <v>24.5304924254994</v>
      </c>
      <c r="Q38" s="20">
        <f t="shared" si="53"/>
        <v>199.22314097441142</v>
      </c>
      <c r="R38" s="59">
        <f t="shared" si="0"/>
        <v>492.55647430774474</v>
      </c>
      <c r="S38" s="59">
        <f ca="1">AVERAGE(OFFSET($R$3,0,0,'Données projet'!$E$9+1,1))-AVERAGE(OFFSET($H$3,0,0,'Données projet'!$E$9+1,1))</f>
        <v>283.69036991773601</v>
      </c>
      <c r="T38" s="59">
        <f t="shared" si="34"/>
        <v>185.71711000275525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2.8424234326057825</v>
      </c>
      <c r="AB38" s="21">
        <f>EXP(-LN(2)/2)*AB37+(1-EXP(-LN(2)/2))/(LN(2)/2)*V38*Y38*VLOOKUP('Données projet'!$B$9,Paramètres!$A$1:$I$89,3,0)*0.475*44/12</f>
        <v>3.8662816217320954</v>
      </c>
      <c r="AC38" s="22">
        <f t="shared" si="3"/>
        <v>6.7087050543378783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302.05534883879602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</v>
      </c>
      <c r="N39" s="13">
        <f>IF('Données projet'!$A$36&gt;35,N38+M39-V38,IF(A39&lt;'Données projet'!$A$36,$K$205^A39,IF(A39='Données projet'!$A$36,'Données projet'!$B$36,N38+M39-V38)))</f>
        <v>203.99999999999997</v>
      </c>
      <c r="O39" s="13">
        <f>N39*VLOOKUP('Données projet'!$B$9,Paramètres!$A$1:$I$89,3,0)*VLOOKUP('Données projet'!$B$9,Paramètres!$A$1:$I$89,5,0)</f>
        <v>95.47199999999998</v>
      </c>
      <c r="P39" s="13">
        <f t="shared" si="33"/>
        <v>25.880372123231144</v>
      </c>
      <c r="Q39" s="20">
        <f t="shared" si="53"/>
        <v>211.35538144796087</v>
      </c>
      <c r="R39" s="59">
        <f t="shared" si="0"/>
        <v>504.68871478129415</v>
      </c>
      <c r="S39" s="59">
        <f ca="1">AVERAGE(OFFSET($R$3,0,0,'Données projet'!$E$9+1,1))-AVERAGE(OFFSET($H$3,0,0,'Données projet'!$E$9+1,1))</f>
        <v>283.69036991773601</v>
      </c>
      <c r="T39" s="59">
        <f t="shared" si="34"/>
        <v>185.71711000275525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2.7646972143646256</v>
      </c>
      <c r="AB39" s="21">
        <f>EXP(-LN(2)/2)*AB38+(1-EXP(-LN(2)/2))/(LN(2)/2)*V39*Y39*VLOOKUP('Données projet'!$B$9,Paramètres!$A$1:$I$89,3,0)*0.475*44/12</f>
        <v>2.733873952703687</v>
      </c>
      <c r="AC39" s="22">
        <f t="shared" si="3"/>
        <v>5.4985711670683131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303.27964130405229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</v>
      </c>
      <c r="N40" s="13">
        <f>IF('Données projet'!$A$36&gt;35,N39+M40-V39,IF(A40&lt;'Données projet'!$A$36,$K$205^A40,IF(A40='Données projet'!$A$36,'Données projet'!$B$36,N39+M40-V39)))</f>
        <v>215.99999999999997</v>
      </c>
      <c r="O40" s="13">
        <f>N40*VLOOKUP('Données projet'!$B$9,Paramètres!$A$1:$I$89,3,0)*VLOOKUP('Données projet'!$B$9,Paramètres!$A$1:$I$89,5,0)</f>
        <v>101.08799999999999</v>
      </c>
      <c r="P40" s="13">
        <f t="shared" si="33"/>
        <v>27.221035075711939</v>
      </c>
      <c r="Q40" s="20">
        <f t="shared" si="53"/>
        <v>223.47156942353161</v>
      </c>
      <c r="R40" s="59">
        <f t="shared" si="0"/>
        <v>516.80490275686498</v>
      </c>
      <c r="S40" s="59">
        <f ca="1">AVERAGE(OFFSET($R$3,0,0,'Données projet'!$E$9+1,1))-AVERAGE(OFFSET($H$3,0,0,'Données projet'!$E$9+1,1))</f>
        <v>283.69036991773601</v>
      </c>
      <c r="T40" s="59">
        <f t="shared" si="34"/>
        <v>185.71711000275525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2.6890964236487171</v>
      </c>
      <c r="AB40" s="21">
        <f>EXP(-LN(2)/2)*AB39+(1-EXP(-LN(2)/2))/(LN(2)/2)*V40*Y40*VLOOKUP('Données projet'!$B$9,Paramètres!$A$1:$I$89,3,0)*0.475*44/12</f>
        <v>1.9331408108660479</v>
      </c>
      <c r="AC40" s="22">
        <f t="shared" si="3"/>
        <v>4.6222372345147651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304.50307508943433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</v>
      </c>
      <c r="N41" s="13">
        <f>IF('Données projet'!$A$36&gt;35,N40+M41-V40,IF(A41&lt;'Données projet'!$A$36,$K$205^A41,IF(A41='Données projet'!$A$36,'Données projet'!$B$36,N40+M41-V40)))</f>
        <v>227.99999999999997</v>
      </c>
      <c r="O41" s="13">
        <f>N41*VLOOKUP('Données projet'!$B$9,Paramètres!$A$1:$I$89,3,0)*VLOOKUP('Données projet'!$B$9,Paramètres!$A$1:$I$89,5,0)</f>
        <v>106.70399999999998</v>
      </c>
      <c r="P41" s="13">
        <f t="shared" si="33"/>
        <v>28.55305168433533</v>
      </c>
      <c r="Q41" s="20">
        <f t="shared" si="53"/>
        <v>235.57269835021728</v>
      </c>
      <c r="R41" s="59">
        <f t="shared" si="0"/>
        <v>528.90603168355062</v>
      </c>
      <c r="S41" s="59">
        <f ca="1">AVERAGE(OFFSET($R$3,0,0,'Données projet'!$E$9+1,1))-AVERAGE(OFFSET($H$3,0,0,'Données projet'!$E$9+1,1))</f>
        <v>283.69036991773601</v>
      </c>
      <c r="T41" s="59">
        <f t="shared" si="34"/>
        <v>185.71711000275525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2.6155629405306082</v>
      </c>
      <c r="AB41" s="21">
        <f>EXP(-LN(2)/2)*AB40+(1-EXP(-LN(2)/2))/(LN(2)/2)*V41*Y41*VLOOKUP('Données projet'!$B$9,Paramètres!$A$1:$I$89,3,0)*0.475*44/12</f>
        <v>1.3669369763518437</v>
      </c>
      <c r="AC41" s="22">
        <f t="shared" si="3"/>
        <v>3.982499916882452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305.72567538934157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</v>
      </c>
      <c r="N42" s="13">
        <f>IF('Données projet'!$A$36&gt;35,N41+M42-V41,IF(A42&lt;'Données projet'!$A$36,$K$205^A42,IF(A42='Données projet'!$A$36,'Données projet'!$B$36,N41+M42-V41)))</f>
        <v>239.99999999999997</v>
      </c>
      <c r="O42" s="13">
        <f>N42*VLOOKUP('Données projet'!$B$9,Paramètres!$A$1:$I$89,3,0)*VLOOKUP('Données projet'!$B$9,Paramètres!$A$1:$I$89,5,0)</f>
        <v>112.32</v>
      </c>
      <c r="P42" s="13">
        <f t="shared" si="33"/>
        <v>29.87692891707237</v>
      </c>
      <c r="Q42" s="20">
        <f t="shared" si="53"/>
        <v>247.65965119723435</v>
      </c>
      <c r="R42" s="59">
        <f t="shared" si="0"/>
        <v>540.9929845305677</v>
      </c>
      <c r="S42" s="59">
        <f ca="1">AVERAGE(OFFSET($R$3,0,0,'Données projet'!$E$9+1,1))-AVERAGE(OFFSET($H$3,0,0,'Données projet'!$E$9+1,1))</f>
        <v>283.69036991773601</v>
      </c>
      <c r="T42" s="59">
        <f t="shared" si="34"/>
        <v>185.71711000275525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2.5440402343753217</v>
      </c>
      <c r="AB42" s="21">
        <f>EXP(-LN(2)/2)*AB41+(1-EXP(-LN(2)/2))/(LN(2)/2)*V42*Y42*VLOOKUP('Données projet'!$B$9,Paramètres!$A$1:$I$89,3,0)*0.475*44/12</f>
        <v>0.96657040543302408</v>
      </c>
      <c r="AC42" s="22">
        <f t="shared" si="3"/>
        <v>3.5106106398083456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306.9474660325443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252</v>
      </c>
      <c r="L43" s="12">
        <f>VLOOKUP(A43,'Données projet'!$A$35:$I$55,9,0)</f>
        <v>12</v>
      </c>
      <c r="M43" s="12">
        <f t="array" ref="M43">INDEX(L:L,MIN(IF(ISNUMBER(L43:L239),ROW(L43:L239),"")))</f>
        <v>12</v>
      </c>
      <c r="N43" s="13">
        <f>IF('Données projet'!$A$36&gt;35,N42+M43-V42,IF(A43&lt;'Données projet'!$A$36,$K$205^A43,IF(A43='Données projet'!$A$36,'Données projet'!$B$36,N42+M43-V42)))</f>
        <v>251.99999999999997</v>
      </c>
      <c r="O43" s="13">
        <f>N43*VLOOKUP('Données projet'!$B$9,Paramètres!$A$1:$I$89,3,0)*VLOOKUP('Données projet'!$B$9,Paramètres!$A$1:$I$89,5,0)</f>
        <v>117.93599999999998</v>
      </c>
      <c r="P43" s="13">
        <f t="shared" si="33"/>
        <v>31.1931201812605</v>
      </c>
      <c r="Q43" s="20">
        <f t="shared" si="53"/>
        <v>259.73321764902863</v>
      </c>
      <c r="R43" s="59">
        <f t="shared" si="0"/>
        <v>553.06655098236195</v>
      </c>
      <c r="S43" s="59">
        <f ca="1">AVERAGE(OFFSET($R$3,0,0,'Données projet'!$E$9+1,1))-AVERAGE(OFFSET($H$3,0,0,'Données projet'!$E$9+1,1))</f>
        <v>283.69036991773601</v>
      </c>
      <c r="T43" s="59">
        <f t="shared" si="34"/>
        <v>185.71711000275525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50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0.33</v>
      </c>
      <c r="Y43" s="16">
        <f>IF(ISNA(VLOOKUP(A43,'Données projet'!$A$35:$I$55,7,0)),0%,VLOOKUP(A43,'Données projet'!$A$35:$I$55,7,0))</f>
        <v>0.4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12.677870574253838</v>
      </c>
      <c r="AB43" s="21">
        <f>EXP(-LN(2)/2)*AB42+(1-EXP(-LN(2)/2))/(LN(2)/2)*V43*Y43*VLOOKUP('Données projet'!$B$9,Paramètres!$A$1:$I$89,3,0)*0.475*44/12</f>
        <v>11.281162793023642</v>
      </c>
      <c r="AC43" s="22">
        <f t="shared" si="3"/>
        <v>23.959033367277478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308.16846958846969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12.3</v>
      </c>
      <c r="N44" s="13">
        <f>IF('Données projet'!$A$36&gt;35,N43+M44-V43,IF(A44&lt;'Données projet'!$A$36,$K$205^A44,IF(A44='Données projet'!$A$36,'Données projet'!$B$36,N43+M44-V43)))</f>
        <v>214.29999999999995</v>
      </c>
      <c r="O44" s="13">
        <f>N44*VLOOKUP('Données projet'!$B$9,Paramètres!$A$1:$I$89,3,0)*VLOOKUP('Données projet'!$B$9,Paramètres!$A$1:$I$89,5,0)</f>
        <v>100.29239999999999</v>
      </c>
      <c r="P44" s="13">
        <f t="shared" si="33"/>
        <v>27.031645974571337</v>
      </c>
      <c r="Q44" s="20">
        <f t="shared" si="53"/>
        <v>221.75604673904505</v>
      </c>
      <c r="R44" s="59">
        <f t="shared" si="0"/>
        <v>515.08938007237839</v>
      </c>
      <c r="S44" s="59">
        <f ca="1">AVERAGE(OFFSET($R$3,0,0,'Données projet'!$E$9+1,1))-AVERAGE(OFFSET($H$3,0,0,'Données projet'!$E$9+1,1))</f>
        <v>283.69036991773601</v>
      </c>
      <c r="T44" s="59">
        <f t="shared" si="34"/>
        <v>185.71711000275525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12.33119353670063</v>
      </c>
      <c r="AB44" s="21">
        <f>EXP(-LN(2)/2)*AB43+(1-EXP(-LN(2)/2))/(LN(2)/2)*V44*Y44*VLOOKUP('Données projet'!$B$9,Paramètres!$A$1:$I$89,3,0)*0.475*44/12</f>
        <v>7.9769867106163899</v>
      </c>
      <c r="AC44" s="22">
        <f t="shared" si="3"/>
        <v>20.308180247317019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309.38870746282663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12.3</v>
      </c>
      <c r="N45" s="13">
        <f>IF('Données projet'!$A$36&gt;35,N44+M45-V44,IF(A45&lt;'Données projet'!$A$36,$K$205^A45,IF(A45='Données projet'!$A$36,'Données projet'!$B$36,N44+M45-V44)))</f>
        <v>226.59999999999997</v>
      </c>
      <c r="O45" s="13">
        <f>N45*VLOOKUP('Données projet'!$B$9,Paramètres!$A$1:$I$89,3,0)*VLOOKUP('Données projet'!$B$9,Paramètres!$A$1:$I$89,5,0)</f>
        <v>106.04879999999997</v>
      </c>
      <c r="P45" s="13">
        <f t="shared" si="33"/>
        <v>28.398078356711014</v>
      </c>
      <c r="Q45" s="20">
        <f t="shared" si="53"/>
        <v>234.16164647127161</v>
      </c>
      <c r="R45" s="59">
        <f t="shared" si="0"/>
        <v>527.4949798046049</v>
      </c>
      <c r="S45" s="59">
        <f ca="1">AVERAGE(OFFSET($R$3,0,0,'Données projet'!$E$9+1,1))-AVERAGE(OFFSET($H$3,0,0,'Données projet'!$E$9+1,1))</f>
        <v>283.69036991773601</v>
      </c>
      <c r="T45" s="59">
        <f t="shared" si="34"/>
        <v>185.71711000275525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11.993996400970266</v>
      </c>
      <c r="AB45" s="21">
        <f>EXP(-LN(2)/2)*AB44+(1-EXP(-LN(2)/2))/(LN(2)/2)*V45*Y45*VLOOKUP('Données projet'!$B$9,Paramètres!$A$1:$I$89,3,0)*0.475*44/12</f>
        <v>5.6405813965118217</v>
      </c>
      <c r="AC45" s="22">
        <f t="shared" si="3"/>
        <v>17.634577797482088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310.608199983867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12.3</v>
      </c>
      <c r="N46" s="13">
        <f>IF('Données projet'!$A$36&gt;35,N45+M46-V45,IF(A46&lt;'Données projet'!$A$36,$K$205^A46,IF(A46='Données projet'!$A$36,'Données projet'!$B$36,N45+M46-V45)))</f>
        <v>238.89999999999998</v>
      </c>
      <c r="O46" s="13">
        <f>N46*VLOOKUP('Données projet'!$B$9,Paramètres!$A$1:$I$89,3,0)*VLOOKUP('Données projet'!$B$9,Paramètres!$A$1:$I$89,5,0)</f>
        <v>111.80519999999999</v>
      </c>
      <c r="P46" s="13">
        <f t="shared" si="33"/>
        <v>29.75590000342406</v>
      </c>
      <c r="Q46" s="20">
        <f t="shared" si="53"/>
        <v>246.55224917263016</v>
      </c>
      <c r="R46" s="59">
        <f t="shared" si="0"/>
        <v>539.8855825059635</v>
      </c>
      <c r="S46" s="59">
        <f ca="1">AVERAGE(OFFSET($R$3,0,0,'Données projet'!$E$9+1,1))-AVERAGE(OFFSET($H$3,0,0,'Données projet'!$E$9+1,1))</f>
        <v>283.69036991773601</v>
      </c>
      <c r="T46" s="59">
        <f t="shared" si="34"/>
        <v>185.71711000275525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11.666019938648876</v>
      </c>
      <c r="AB46" s="21">
        <f>EXP(-LN(2)/2)*AB45+(1-EXP(-LN(2)/2))/(LN(2)/2)*V46*Y46*VLOOKUP('Données projet'!$B$9,Paramètres!$A$1:$I$89,3,0)*0.475*44/12</f>
        <v>3.9884933553081958</v>
      </c>
      <c r="AC46" s="22">
        <f t="shared" si="3"/>
        <v>15.654513293957072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311.82696648039632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12.3</v>
      </c>
      <c r="N47" s="13">
        <f>IF('Données projet'!$A$36&gt;35,N46+M47-V46,IF(A47&lt;'Données projet'!$A$36,$K$205^A47,IF(A47='Données projet'!$A$36,'Données projet'!$B$36,N46+M47-V46)))</f>
        <v>251.2</v>
      </c>
      <c r="O47" s="13">
        <f>N47*VLOOKUP('Données projet'!$B$9,Paramètres!$A$1:$I$89,3,0)*VLOOKUP('Données projet'!$B$9,Paramètres!$A$1:$I$89,5,0)</f>
        <v>117.56159999999998</v>
      </c>
      <c r="P47" s="13">
        <f t="shared" si="33"/>
        <v>31.105604817861984</v>
      </c>
      <c r="Q47" s="20">
        <f t="shared" si="53"/>
        <v>258.92871505777629</v>
      </c>
      <c r="R47" s="59">
        <f t="shared" si="0"/>
        <v>552.2620483911096</v>
      </c>
      <c r="S47" s="59">
        <f ca="1">AVERAGE(OFFSET($R$3,0,0,'Données projet'!$E$9+1,1))-AVERAGE(OFFSET($H$3,0,0,'Données projet'!$E$9+1,1))</f>
        <v>283.69036991773601</v>
      </c>
      <c r="T47" s="59">
        <f t="shared" si="34"/>
        <v>185.71711000275525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11.347012009937197</v>
      </c>
      <c r="AB47" s="21">
        <f>EXP(-LN(2)/2)*AB46+(1-EXP(-LN(2)/2))/(LN(2)/2)*V47*Y47*VLOOKUP('Données projet'!$B$9,Paramètres!$A$1:$I$89,3,0)*0.475*44/12</f>
        <v>2.8202906982559113</v>
      </c>
      <c r="AC47" s="22">
        <f t="shared" si="3"/>
        <v>14.167302708193109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313.04502535249287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12.3</v>
      </c>
      <c r="N48" s="13">
        <f>IF('Données projet'!$A$36&gt;35,N47+M48-V47,IF(A48&lt;'Données projet'!$A$36,$K$205^A48,IF(A48='Données projet'!$A$36,'Données projet'!$B$36,N47+M48-V47)))</f>
        <v>263.5</v>
      </c>
      <c r="O48" s="13">
        <f>N48*VLOOKUP('Données projet'!$B$9,Paramètres!$A$1:$I$89,3,0)*VLOOKUP('Données projet'!$B$9,Paramètres!$A$1:$I$89,5,0)</f>
        <v>123.318</v>
      </c>
      <c r="P48" s="13">
        <f t="shared" si="33"/>
        <v>32.44763560269552</v>
      </c>
      <c r="Q48" s="20">
        <f t="shared" si="53"/>
        <v>271.29181534136131</v>
      </c>
      <c r="R48" s="59">
        <f t="shared" si="0"/>
        <v>564.62514867469463</v>
      </c>
      <c r="S48" s="59">
        <f ca="1">AVERAGE(OFFSET($R$3,0,0,'Données projet'!$E$9+1,1))-AVERAGE(OFFSET($H$3,0,0,'Données projet'!$E$9+1,1))</f>
        <v>283.69036991773601</v>
      </c>
      <c r="T48" s="59">
        <f t="shared" si="34"/>
        <v>185.71711000275525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11.036727369812036</v>
      </c>
      <c r="AB48" s="21">
        <f>EXP(-LN(2)/2)*AB47+(1-EXP(-LN(2)/2))/(LN(2)/2)*V48*Y48*VLOOKUP('Données projet'!$B$9,Paramètres!$A$1:$I$89,3,0)*0.475*44/12</f>
        <v>1.9942466776540981</v>
      </c>
      <c r="AC48" s="22">
        <f t="shared" si="3"/>
        <v>13.030974047466135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314.26239413576309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12.3</v>
      </c>
      <c r="N49" s="13">
        <f>IF('Données projet'!$A$36&gt;35,N48+M49-V48,IF(A49&lt;'Données projet'!$A$36,$K$205^A49,IF(A49='Données projet'!$A$36,'Données projet'!$B$36,N48+M49-V48)))</f>
        <v>275.8</v>
      </c>
      <c r="O49" s="13">
        <f>N49*VLOOKUP('Données projet'!$B$9,Paramètres!$A$1:$I$89,3,0)*VLOOKUP('Données projet'!$B$9,Paramètres!$A$1:$I$89,5,0)</f>
        <v>129.0744</v>
      </c>
      <c r="P49" s="13">
        <f t="shared" si="33"/>
        <v>33.782391484889324</v>
      </c>
      <c r="Q49" s="20">
        <f t="shared" si="53"/>
        <v>283.64224516951555</v>
      </c>
      <c r="R49" s="59">
        <f t="shared" si="0"/>
        <v>576.97557850284886</v>
      </c>
      <c r="S49" s="59">
        <f ca="1">AVERAGE(OFFSET($R$3,0,0,'Données projet'!$E$9+1,1))-AVERAGE(OFFSET($H$3,0,0,'Données projet'!$E$9+1,1))</f>
        <v>283.69036991773601</v>
      </c>
      <c r="T49" s="59">
        <f t="shared" si="34"/>
        <v>185.71711000275525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10.734927479488258</v>
      </c>
      <c r="AB49" s="21">
        <f>EXP(-LN(2)/2)*AB48+(1-EXP(-LN(2)/2))/(LN(2)/2)*V49*Y49*VLOOKUP('Données projet'!$B$9,Paramètres!$A$1:$I$89,3,0)*0.475*44/12</f>
        <v>1.4101453491279559</v>
      </c>
      <c r="AC49" s="22">
        <f t="shared" si="3"/>
        <v>12.145072828616215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315.47908955985213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12.3</v>
      </c>
      <c r="N50" s="13">
        <f>IF('Données projet'!$A$36&gt;35,N49+M50-V49,IF(A50&lt;'Données projet'!$A$36,$K$205^A50,IF(A50='Données projet'!$A$36,'Données projet'!$B$36,N49+M50-V49)))</f>
        <v>288.10000000000002</v>
      </c>
      <c r="O50" s="13">
        <f>N50*VLOOKUP('Données projet'!$B$9,Paramètres!$A$1:$I$89,3,0)*VLOOKUP('Données projet'!$B$9,Paramètres!$A$1:$I$89,5,0)</f>
        <v>134.83080000000001</v>
      </c>
      <c r="P50" s="13">
        <f t="shared" si="33"/>
        <v>35.110233978560416</v>
      </c>
      <c r="Q50" s="20">
        <f t="shared" si="53"/>
        <v>295.98063417932605</v>
      </c>
      <c r="R50" s="59">
        <f t="shared" si="0"/>
        <v>589.31396751265936</v>
      </c>
      <c r="S50" s="59">
        <f ca="1">AVERAGE(OFFSET($R$3,0,0,'Données projet'!$E$9+1,1))-AVERAGE(OFFSET($H$3,0,0,'Données projet'!$E$9+1,1))</f>
        <v>283.69036991773601</v>
      </c>
      <c r="T50" s="59">
        <f t="shared" si="34"/>
        <v>185.71711000275525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10.44138032303635</v>
      </c>
      <c r="AB50" s="21">
        <f>EXP(-LN(2)/2)*AB49+(1-EXP(-LN(2)/2))/(LN(2)/2)*V50*Y50*VLOOKUP('Données projet'!$B$9,Paramètres!$A$1:$I$89,3,0)*0.475*44/12</f>
        <v>0.99712333882704918</v>
      </c>
      <c r="AC50" s="22">
        <f t="shared" si="3"/>
        <v>11.438503661863399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316.69512760183437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12.3</v>
      </c>
      <c r="N51" s="13">
        <f>IF('Données projet'!$A$36&gt;35,N50+M51-V50,IF(A51&lt;'Données projet'!$A$36,$K$205^A51,IF(A51='Données projet'!$A$36,'Données projet'!$B$36,N50+M51-V50)))</f>
        <v>300.40000000000003</v>
      </c>
      <c r="O51" s="13">
        <f>N51*VLOOKUP('Données projet'!$B$9,Paramètres!$A$1:$I$89,3,0)*VLOOKUP('Données projet'!$B$9,Paramètres!$A$1:$I$89,5,0)</f>
        <v>140.58720000000002</v>
      </c>
      <c r="P51" s="13">
        <f t="shared" si="33"/>
        <v>36.431491983260372</v>
      </c>
      <c r="Q51" s="20">
        <f t="shared" si="53"/>
        <v>308.30755520417853</v>
      </c>
      <c r="R51" s="59">
        <f t="shared" si="0"/>
        <v>601.64088853751184</v>
      </c>
      <c r="S51" s="59">
        <f ca="1">AVERAGE(OFFSET($R$3,0,0,'Données projet'!$E$9+1,1))-AVERAGE(OFFSET($H$3,0,0,'Données projet'!$E$9+1,1))</f>
        <v>283.69036991773601</v>
      </c>
      <c r="T51" s="59">
        <f t="shared" si="34"/>
        <v>185.71711000275525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10.155860229014595</v>
      </c>
      <c r="AB51" s="21">
        <f>EXP(-LN(2)/2)*AB50+(1-EXP(-LN(2)/2))/(LN(2)/2)*V51*Y51*VLOOKUP('Données projet'!$B$9,Paramètres!$A$1:$I$89,3,0)*0.475*44/12</f>
        <v>0.70507267456397804</v>
      </c>
      <c r="AC51" s="22">
        <f t="shared" si="3"/>
        <v>10.860932903578572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317.91052353502909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12.3</v>
      </c>
      <c r="N52" s="13">
        <f>IF('Données projet'!$A$36&gt;35,N51+M52-V51,IF(A52&lt;'Données projet'!$A$36,$K$205^A52,IF(A52='Données projet'!$A$36,'Données projet'!$B$36,N51+M52-V51)))</f>
        <v>312.70000000000005</v>
      </c>
      <c r="O52" s="13">
        <f>N52*VLOOKUP('Données projet'!$B$9,Paramètres!$A$1:$I$89,3,0)*VLOOKUP('Données projet'!$B$9,Paramètres!$A$1:$I$89,5,0)</f>
        <v>146.34360000000004</v>
      </c>
      <c r="P52" s="13">
        <f t="shared" si="33"/>
        <v>37.746465940574744</v>
      </c>
      <c r="Q52" s="20">
        <f t="shared" si="53"/>
        <v>320.62353151316773</v>
      </c>
      <c r="R52" s="59">
        <f t="shared" si="0"/>
        <v>613.95686484650105</v>
      </c>
      <c r="S52" s="59">
        <f ca="1">AVERAGE(OFFSET($R$3,0,0,'Données projet'!$E$9+1,1))-AVERAGE(OFFSET($H$3,0,0,'Données projet'!$E$9+1,1))</f>
        <v>283.69036991773601</v>
      </c>
      <c r="T52" s="59">
        <f t="shared" si="34"/>
        <v>185.71711000275525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9.8781476969787132</v>
      </c>
      <c r="AB52" s="21">
        <f>EXP(-LN(2)/2)*AB51+(1-EXP(-LN(2)/2))/(LN(2)/2)*V52*Y52*VLOOKUP('Données projet'!$B$9,Paramètres!$A$1:$I$89,3,0)*0.475*44/12</f>
        <v>0.4985616694135247</v>
      </c>
      <c r="AC52" s="22">
        <f t="shared" si="3"/>
        <v>10.376709366392237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319.12529197371839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325</v>
      </c>
      <c r="L53" s="12">
        <f>VLOOKUP(A53,'Données projet'!$A$35:$I$55,9,0)</f>
        <v>12.3</v>
      </c>
      <c r="M53" s="12">
        <f t="array" ref="M53">INDEX(L:L,MIN(IF(ISNUMBER(L53:L249),ROW(L53:L249),"")))</f>
        <v>12.3</v>
      </c>
      <c r="N53" s="13">
        <f>IF('Données projet'!$A$36&gt;35,N52+M53-V52,IF(A53&lt;'Données projet'!$A$36,$K$205^A53,IF(A53='Données projet'!$A$36,'Données projet'!$B$36,N52+M53-V52)))</f>
        <v>325.00000000000006</v>
      </c>
      <c r="O53" s="13">
        <f>N53*VLOOKUP('Données projet'!$B$9,Paramètres!$A$1:$I$89,3,0)*VLOOKUP('Données projet'!$B$9,Paramètres!$A$1:$I$89,5,0)</f>
        <v>152.10000000000002</v>
      </c>
      <c r="P53" s="13">
        <f t="shared" si="33"/>
        <v>39.05543131832313</v>
      </c>
      <c r="Q53" s="20">
        <f t="shared" si="53"/>
        <v>332.92904287941286</v>
      </c>
      <c r="R53" s="59">
        <f t="shared" si="0"/>
        <v>626.26237621274618</v>
      </c>
      <c r="S53" s="59">
        <f ca="1">AVERAGE(OFFSET($R$3,0,0,'Données projet'!$E$9+1,1))-AVERAGE(OFFSET($H$3,0,0,'Données projet'!$E$9+1,1))</f>
        <v>283.69036991773601</v>
      </c>
      <c r="T53" s="59">
        <f t="shared" si="34"/>
        <v>185.71711000275525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52</v>
      </c>
      <c r="W53" s="16">
        <f>IF(ISNA(VLOOKUP(A53,'Données projet'!$A$35:$I$55,5,0)),0%,VLOOKUP(A53,'Données projet'!$A$35:$I$55,5,0)*VLOOKUP('Données projet'!$B$9,Paramètres!$A$1:$I$89,7,0))</f>
        <v>0.11000000000000001</v>
      </c>
      <c r="X53" s="16">
        <f>IF(ISNA(VLOOKUP(A53,'Données projet'!$A$35:$I$55,6,0)),0%,VLOOKUP(A53,'Données projet'!$A$35:$I$55,6,0)*VLOOKUP('Données projet'!$B$9,Paramètres!$A$1:$I$89,7,0))</f>
        <v>0.33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3.5511599846334323</v>
      </c>
      <c r="AA53" s="21">
        <f>EXP(-LN(2)/25)*AA52+(1-EXP(-LN(2)/25))/(LN(2)/25)*Calculateur!V53*Calculateur!X53*VLOOKUP('Données projet'!$B$9,Paramètres!$A$1:$I$89,3,0)*0.475*44/12</f>
        <v>20.219562372763299</v>
      </c>
      <c r="AB53" s="21">
        <f>EXP(-LN(2)/2)*AB52+(1-EXP(-LN(2)/2))/(LN(2)/2)*V53*Y53*VLOOKUP('Données projet'!$B$9,Paramètres!$A$1:$I$89,3,0)*0.475*44/12</f>
        <v>5.8633373758028027</v>
      </c>
      <c r="AC53" s="22">
        <f t="shared" si="3"/>
        <v>29.634059733199535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320.33944691418702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12.9</v>
      </c>
      <c r="N54" s="13">
        <f>IF('Données projet'!$A$36&gt;35,N53+M54-V53,IF(A54&lt;'Données projet'!$A$36,$K$205^A54,IF(A54='Données projet'!$A$36,'Données projet'!$B$36,N53+M54-V53)))</f>
        <v>285.90000000000003</v>
      </c>
      <c r="O54" s="13">
        <f>N54*VLOOKUP('Données projet'!$B$9,Paramètres!$A$1:$I$89,3,0)*VLOOKUP('Données projet'!$B$9,Paramètres!$A$1:$I$89,5,0)</f>
        <v>133.80120000000002</v>
      </c>
      <c r="P54" s="13">
        <f t="shared" si="33"/>
        <v>34.873226323150838</v>
      </c>
      <c r="Q54" s="20">
        <f t="shared" si="53"/>
        <v>293.77462584615444</v>
      </c>
      <c r="R54" s="59">
        <f t="shared" si="0"/>
        <v>587.10795917948781</v>
      </c>
      <c r="S54" s="59">
        <f ca="1">AVERAGE(OFFSET($R$3,0,0,'Données projet'!$E$9+1,1))-AVERAGE(OFFSET($H$3,0,0,'Données projet'!$E$9+1,1))</f>
        <v>283.69036991773601</v>
      </c>
      <c r="T54" s="59">
        <f t="shared" si="34"/>
        <v>185.71711000275525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3.4815239033284873</v>
      </c>
      <c r="AA54" s="21">
        <f>EXP(-LN(2)/25)*AA53+(1-EXP(-LN(2)/25))/(LN(2)/25)*Calculateur!V54*Calculateur!X54*VLOOKUP('Données projet'!$B$9,Paramètres!$A$1:$I$89,3,0)*0.475*44/12</f>
        <v>19.666657376379515</v>
      </c>
      <c r="AB54" s="21">
        <f>EXP(-LN(2)/2)*AB53+(1-EXP(-LN(2)/2))/(LN(2)/2)*V54*Y54*VLOOKUP('Données projet'!$B$9,Paramètres!$A$1:$I$89,3,0)*0.475*44/12</f>
        <v>4.1460056188146988</v>
      </c>
      <c r="AC54" s="22">
        <f t="shared" si="3"/>
        <v>27.2941868985227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321.55300177245209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12.9</v>
      </c>
      <c r="N55" s="13">
        <f>IF('Données projet'!$A$36&gt;35,N54+M55-V54,IF(A55&lt;'Données projet'!$A$36,$K$205^A55,IF(A55='Données projet'!$A$36,'Données projet'!$B$36,N54+M55-V54)))</f>
        <v>298.8</v>
      </c>
      <c r="O55" s="13">
        <f>N55*VLOOKUP('Données projet'!$B$9,Paramètres!$A$1:$I$89,3,0)*VLOOKUP('Données projet'!$B$9,Paramètres!$A$1:$I$89,5,0)</f>
        <v>139.83840000000001</v>
      </c>
      <c r="P55" s="13">
        <f t="shared" si="33"/>
        <v>36.259982716198863</v>
      </c>
      <c r="Q55" s="20">
        <f t="shared" si="53"/>
        <v>306.70468323071304</v>
      </c>
      <c r="R55" s="59">
        <f t="shared" si="0"/>
        <v>600.0380165640463</v>
      </c>
      <c r="S55" s="59">
        <f ca="1">AVERAGE(OFFSET($R$3,0,0,'Données projet'!$E$9+1,1))-AVERAGE(OFFSET($H$3,0,0,'Données projet'!$E$9+1,1))</f>
        <v>283.69036991773601</v>
      </c>
      <c r="T55" s="59">
        <f t="shared" si="34"/>
        <v>185.71711000275525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3.4132533431041163</v>
      </c>
      <c r="AA55" s="21">
        <f>EXP(-LN(2)/25)*AA54+(1-EXP(-LN(2)/25))/(LN(2)/25)*Calculateur!V55*Calculateur!X55*VLOOKUP('Données projet'!$B$9,Paramètres!$A$1:$I$89,3,0)*0.475*44/12</f>
        <v>19.128871596197854</v>
      </c>
      <c r="AB55" s="21">
        <f>EXP(-LN(2)/2)*AB54+(1-EXP(-LN(2)/2))/(LN(2)/2)*V55*Y55*VLOOKUP('Données projet'!$B$9,Paramètres!$A$1:$I$89,3,0)*0.475*44/12</f>
        <v>2.9316686879014018</v>
      </c>
      <c r="AC55" s="22">
        <f t="shared" si="3"/>
        <v>25.473793627203371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322.76596941900885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12.9</v>
      </c>
      <c r="N56" s="13">
        <f>IF('Données projet'!$A$36&gt;35,N55+M56-V55,IF(A56&lt;'Données projet'!$A$36,$K$205^A56,IF(A56='Données projet'!$A$36,'Données projet'!$B$36,N55+M56-V55)))</f>
        <v>311.7</v>
      </c>
      <c r="O56" s="13">
        <f>N56*VLOOKUP('Données projet'!$B$9,Paramètres!$A$1:$I$89,3,0)*VLOOKUP('Données projet'!$B$9,Paramètres!$A$1:$I$89,5,0)</f>
        <v>145.87559999999999</v>
      </c>
      <c r="P56" s="13">
        <f t="shared" si="33"/>
        <v>37.639785440563628</v>
      </c>
      <c r="Q56" s="20">
        <f t="shared" si="53"/>
        <v>319.62262964231496</v>
      </c>
      <c r="R56" s="59">
        <f t="shared" si="0"/>
        <v>612.95596297564828</v>
      </c>
      <c r="S56" s="59">
        <f ca="1">AVERAGE(OFFSET($R$3,0,0,'Données projet'!$E$9+1,1))-AVERAGE(OFFSET($H$3,0,0,'Données projet'!$E$9+1,1))</f>
        <v>283.69036991773601</v>
      </c>
      <c r="T56" s="59">
        <f t="shared" si="34"/>
        <v>185.71711000275525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3.3463215269248154</v>
      </c>
      <c r="AA56" s="21">
        <f>EXP(-LN(2)/25)*AA55+(1-EXP(-LN(2)/25))/(LN(2)/25)*Calculateur!V56*Calculateur!X56*VLOOKUP('Données projet'!$B$9,Paramètres!$A$1:$I$89,3,0)*0.475*44/12</f>
        <v>18.605791596456186</v>
      </c>
      <c r="AB56" s="21">
        <f>EXP(-LN(2)/2)*AB55+(1-EXP(-LN(2)/2))/(LN(2)/2)*V56*Y56*VLOOKUP('Données projet'!$B$9,Paramètres!$A$1:$I$89,3,0)*0.475*44/12</f>
        <v>2.0730028094073494</v>
      </c>
      <c r="AC56" s="22">
        <f t="shared" si="3"/>
        <v>24.025115932788349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323.97836221087948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12.9</v>
      </c>
      <c r="N57" s="13">
        <f>IF('Données projet'!$A$36&gt;35,N56+M57-V56,IF(A57&lt;'Données projet'!$A$36,$K$205^A57,IF(A57='Données projet'!$A$36,'Données projet'!$B$36,N56+M57-V56)))</f>
        <v>324.59999999999997</v>
      </c>
      <c r="O57" s="13">
        <f>N57*VLOOKUP('Données projet'!$B$9,Paramètres!$A$1:$I$89,3,0)*VLOOKUP('Données projet'!$B$9,Paramètres!$A$1:$I$89,5,0)</f>
        <v>151.91279999999998</v>
      </c>
      <c r="P57" s="13">
        <f t="shared" si="33"/>
        <v>39.012955192564156</v>
      </c>
      <c r="Q57" s="20">
        <f t="shared" si="53"/>
        <v>332.52902362704918</v>
      </c>
      <c r="R57" s="59">
        <f t="shared" si="0"/>
        <v>625.8623569603825</v>
      </c>
      <c r="S57" s="59">
        <f ca="1">AVERAGE(OFFSET($R$3,0,0,'Données projet'!$E$9+1,1))-AVERAGE(OFFSET($H$3,0,0,'Données projet'!$E$9+1,1))</f>
        <v>283.69036991773601</v>
      </c>
      <c r="T57" s="59">
        <f t="shared" si="34"/>
        <v>185.71711000275525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3.2807022028364137</v>
      </c>
      <c r="AA57" s="21">
        <f>EXP(-LN(2)/25)*AA56+(1-EXP(-LN(2)/25))/(LN(2)/25)*Calculateur!V57*Calculateur!X57*VLOOKUP('Données projet'!$B$9,Paramètres!$A$1:$I$89,3,0)*0.475*44/12</f>
        <v>18.097015246815037</v>
      </c>
      <c r="AB57" s="21">
        <f>EXP(-LN(2)/2)*AB56+(1-EXP(-LN(2)/2))/(LN(2)/2)*V57*Y57*VLOOKUP('Données projet'!$B$9,Paramètres!$A$1:$I$89,3,0)*0.475*44/12</f>
        <v>1.4658343439507009</v>
      </c>
      <c r="AC57" s="22">
        <f t="shared" si="3"/>
        <v>22.843551793602149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325.19019202122132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12.9</v>
      </c>
      <c r="N58" s="13">
        <f>IF('Données projet'!$A$36&gt;35,N57+M58-V57,IF(A58&lt;'Données projet'!$A$36,$K$205^A58,IF(A58='Données projet'!$A$36,'Données projet'!$B$36,N57+M58-V57)))</f>
        <v>337.49999999999994</v>
      </c>
      <c r="O58" s="13">
        <f>N58*VLOOKUP('Données projet'!$B$9,Paramètres!$A$1:$I$89,3,0)*VLOOKUP('Données projet'!$B$9,Paramètres!$A$1:$I$89,5,0)</f>
        <v>157.94999999999996</v>
      </c>
      <c r="P58" s="13">
        <f t="shared" si="33"/>
        <v>40.379785735878301</v>
      </c>
      <c r="Q58" s="20">
        <f t="shared" si="53"/>
        <v>345.42437682332121</v>
      </c>
      <c r="R58" s="59">
        <f t="shared" si="0"/>
        <v>638.75771015665453</v>
      </c>
      <c r="S58" s="59">
        <f ca="1">AVERAGE(OFFSET($R$3,0,0,'Données projet'!$E$9+1,1))-AVERAGE(OFFSET($H$3,0,0,'Données projet'!$E$9+1,1))</f>
        <v>283.69036991773601</v>
      </c>
      <c r="T58" s="59">
        <f t="shared" si="34"/>
        <v>185.71711000275525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3.21636963366955</v>
      </c>
      <c r="AA58" s="21">
        <f>EXP(-LN(2)/25)*AA57+(1-EXP(-LN(2)/25))/(LN(2)/25)*Calculateur!V58*Calculateur!X58*VLOOKUP('Données projet'!$B$9,Paramètres!$A$1:$I$89,3,0)*0.475*44/12</f>
        <v>17.602151413210208</v>
      </c>
      <c r="AB58" s="21">
        <f>EXP(-LN(2)/2)*AB57+(1-EXP(-LN(2)/2))/(LN(2)/2)*V58*Y58*VLOOKUP('Données projet'!$B$9,Paramètres!$A$1:$I$89,3,0)*0.475*44/12</f>
        <v>1.0365014047036747</v>
      </c>
      <c r="AC58" s="22">
        <f t="shared" si="3"/>
        <v>21.855022451583434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326.40147026672037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12.9</v>
      </c>
      <c r="N59" s="13">
        <f>IF('Données projet'!$A$36&gt;35,N58+M59-V58,IF(A59&lt;'Données projet'!$A$36,$K$205^A59,IF(A59='Données projet'!$A$36,'Données projet'!$B$36,N58+M59-V58)))</f>
        <v>350.39999999999992</v>
      </c>
      <c r="O59" s="13">
        <f>N59*VLOOKUP('Données projet'!$B$9,Paramètres!$A$1:$I$89,3,0)*VLOOKUP('Données projet'!$B$9,Paramètres!$A$1:$I$89,5,0)</f>
        <v>163.98719999999994</v>
      </c>
      <c r="P59" s="13">
        <f t="shared" si="33"/>
        <v>41.740547105733356</v>
      </c>
      <c r="Q59" s="20">
        <f t="shared" si="53"/>
        <v>358.30915954248547</v>
      </c>
      <c r="R59" s="59">
        <f t="shared" si="0"/>
        <v>651.64249287581879</v>
      </c>
      <c r="S59" s="59">
        <f ca="1">AVERAGE(OFFSET($R$3,0,0,'Données projet'!$E$9+1,1))-AVERAGE(OFFSET($H$3,0,0,'Données projet'!$E$9+1,1))</f>
        <v>283.69036991773601</v>
      </c>
      <c r="T59" s="59">
        <f t="shared" si="34"/>
        <v>185.71711000275525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3.1532985869450556</v>
      </c>
      <c r="AA59" s="21">
        <f>EXP(-LN(2)/25)*AA58+(1-EXP(-LN(2)/25))/(LN(2)/25)*Calculateur!V59*Calculateur!X59*VLOOKUP('Données projet'!$B$9,Paramètres!$A$1:$I$89,3,0)*0.475*44/12</f>
        <v>17.120819657159064</v>
      </c>
      <c r="AB59" s="21">
        <f>EXP(-LN(2)/2)*AB58+(1-EXP(-LN(2)/2))/(LN(2)/2)*V59*Y59*VLOOKUP('Données projet'!$B$9,Paramètres!$A$1:$I$89,3,0)*0.475*44/12</f>
        <v>0.73291717197535045</v>
      </c>
      <c r="AC59" s="22">
        <f t="shared" si="3"/>
        <v>21.007035416079471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327.61220793297304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12.9</v>
      </c>
      <c r="N60" s="13">
        <f>IF('Données projet'!$A$36&gt;35,N59+M60-V59,IF(A60&lt;'Données projet'!$A$36,$K$205^A60,IF(A60='Données projet'!$A$36,'Données projet'!$B$36,N59+M60-V59)))</f>
        <v>363.2999999999999</v>
      </c>
      <c r="O60" s="13">
        <f>N60*VLOOKUP('Données projet'!$B$9,Paramètres!$A$1:$I$89,3,0)*VLOOKUP('Données projet'!$B$9,Paramètres!$A$1:$I$89,5,0)</f>
        <v>170.02439999999996</v>
      </c>
      <c r="P60" s="13">
        <f t="shared" si="33"/>
        <v>43.095488327983141</v>
      </c>
      <c r="Q60" s="20">
        <f t="shared" si="53"/>
        <v>371.18380550457056</v>
      </c>
      <c r="R60" s="59">
        <f t="shared" si="0"/>
        <v>664.51713883790387</v>
      </c>
      <c r="S60" s="59">
        <f ca="1">AVERAGE(OFFSET($R$3,0,0,'Données projet'!$E$9+1,1))-AVERAGE(OFFSET($H$3,0,0,'Données projet'!$E$9+1,1))</f>
        <v>283.69036991773601</v>
      </c>
      <c r="T60" s="59">
        <f t="shared" si="34"/>
        <v>185.71711000275525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3.0914643249772888</v>
      </c>
      <c r="AA60" s="21">
        <f>EXP(-LN(2)/25)*AA59+(1-EXP(-LN(2)/25))/(LN(2)/25)*Calculateur!V60*Calculateur!X60*VLOOKUP('Données projet'!$B$9,Paramètres!$A$1:$I$89,3,0)*0.475*44/12</f>
        <v>16.652649943289273</v>
      </c>
      <c r="AB60" s="21">
        <f>EXP(-LN(2)/2)*AB59+(1-EXP(-LN(2)/2))/(LN(2)/2)*V60*Y60*VLOOKUP('Données projet'!$B$9,Paramètres!$A$1:$I$89,3,0)*0.475*44/12</f>
        <v>0.51825070235183734</v>
      </c>
      <c r="AC60" s="22">
        <f t="shared" si="3"/>
        <v>20.2623649706184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328.82241559803606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12.9</v>
      </c>
      <c r="N61" s="13">
        <f>IF('Données projet'!$A$36&gt;35,N60+M61-V60,IF(A61&lt;'Données projet'!$A$36,$K$205^A61,IF(A61='Données projet'!$A$36,'Données projet'!$B$36,N60+M61-V60)))</f>
        <v>376.19999999999987</v>
      </c>
      <c r="O61" s="13">
        <f>N61*VLOOKUP('Données projet'!$B$9,Paramètres!$A$1:$I$89,3,0)*VLOOKUP('Données projet'!$B$9,Paramètres!$A$1:$I$89,5,0)</f>
        <v>176.06159999999994</v>
      </c>
      <c r="P61" s="13">
        <f t="shared" si="33"/>
        <v>44.444839741138928</v>
      </c>
      <c r="Q61" s="20">
        <f t="shared" si="53"/>
        <v>384.04871588248352</v>
      </c>
      <c r="R61" s="59">
        <f t="shared" si="0"/>
        <v>677.38204921581678</v>
      </c>
      <c r="S61" s="59">
        <f ca="1">AVERAGE(OFFSET($R$3,0,0,'Données projet'!$E$9+1,1))-AVERAGE(OFFSET($H$3,0,0,'Données projet'!$E$9+1,1))</f>
        <v>283.69036991773601</v>
      </c>
      <c r="T61" s="59">
        <f t="shared" si="34"/>
        <v>185.71711000275525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3.0308425951715341</v>
      </c>
      <c r="AA61" s="21">
        <f>EXP(-LN(2)/25)*AA60+(1-EXP(-LN(2)/25))/(LN(2)/25)*Calculateur!V61*Calculateur!X61*VLOOKUP('Données projet'!$B$9,Paramètres!$A$1:$I$89,3,0)*0.475*44/12</f>
        <v>16.197282354865226</v>
      </c>
      <c r="AB61" s="21">
        <f>EXP(-LN(2)/2)*AB60+(1-EXP(-LN(2)/2))/(LN(2)/2)*V61*Y61*VLOOKUP('Données projet'!$B$9,Paramètres!$A$1:$I$89,3,0)*0.475*44/12</f>
        <v>0.36645858598767522</v>
      </c>
      <c r="AC61" s="22">
        <f t="shared" si="3"/>
        <v>19.594583536024437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330.03210345430642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12.9</v>
      </c>
      <c r="N62" s="13">
        <f>IF('Données projet'!$A$36&gt;35,N61+M62-V61,IF(A62&lt;'Données projet'!$A$36,$K$205^A62,IF(A62='Données projet'!$A$36,'Données projet'!$B$36,N61+M62-V61)))</f>
        <v>389.09999999999985</v>
      </c>
      <c r="O62" s="13">
        <f>N62*VLOOKUP('Données projet'!$B$9,Paramètres!$A$1:$I$89,3,0)*VLOOKUP('Données projet'!$B$9,Paramètres!$A$1:$I$89,5,0)</f>
        <v>182.09879999999993</v>
      </c>
      <c r="P62" s="13">
        <f t="shared" si="33"/>
        <v>45.78881499096024</v>
      </c>
      <c r="Q62" s="20">
        <f t="shared" si="53"/>
        <v>396.90426277592229</v>
      </c>
      <c r="R62" s="59">
        <f t="shared" si="0"/>
        <v>690.23759610925561</v>
      </c>
      <c r="S62" s="59">
        <f ca="1">AVERAGE(OFFSET($R$3,0,0,'Données projet'!$E$9+1,1))-AVERAGE(OFFSET($H$3,0,0,'Données projet'!$E$9+1,1))</f>
        <v>283.69036991773601</v>
      </c>
      <c r="T62" s="59">
        <f t="shared" si="34"/>
        <v>185.71711000275525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2.971409620511666</v>
      </c>
      <c r="AA62" s="21">
        <f>EXP(-LN(2)/25)*AA61+(1-EXP(-LN(2)/25))/(LN(2)/25)*Calculateur!V62*Calculateur!X62*VLOOKUP('Données projet'!$B$9,Paramètres!$A$1:$I$89,3,0)*0.475*44/12</f>
        <v>15.754366817093377</v>
      </c>
      <c r="AB62" s="21">
        <f>EXP(-LN(2)/2)*AB61+(1-EXP(-LN(2)/2))/(LN(2)/2)*V62*Y62*VLOOKUP('Données projet'!$B$9,Paramètres!$A$1:$I$89,3,0)*0.475*44/12</f>
        <v>0.25912535117591867</v>
      </c>
      <c r="AC62" s="22">
        <f t="shared" si="3"/>
        <v>18.984901788780959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331.24128132887591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402</v>
      </c>
      <c r="L63" s="12">
        <f>VLOOKUP(A63,'Données projet'!$A$35:$I$55,9,0)</f>
        <v>12.9</v>
      </c>
      <c r="M63" s="12">
        <f t="array" ref="M63">INDEX(L:L,MIN(IF(ISNUMBER(L63:L259),ROW(L63:L259),"")))</f>
        <v>12.9</v>
      </c>
      <c r="N63" s="13">
        <f>IF('Données projet'!$A$36&gt;35,N62+M63-V62,IF(A63&lt;'Données projet'!$A$36,$K$205^A63,IF(A63='Données projet'!$A$36,'Données projet'!$B$36,N62+M63-V62)))</f>
        <v>401.99999999999983</v>
      </c>
      <c r="O63" s="13">
        <f>N63*VLOOKUP('Données projet'!$B$9,Paramètres!$A$1:$I$89,3,0)*VLOOKUP('Données projet'!$B$9,Paramètres!$A$1:$I$89,5,0)</f>
        <v>188.13599999999994</v>
      </c>
      <c r="P63" s="13">
        <f t="shared" si="33"/>
        <v>47.127612753105289</v>
      </c>
      <c r="Q63" s="20">
        <f t="shared" si="53"/>
        <v>409.75079221165828</v>
      </c>
      <c r="R63" s="59">
        <f t="shared" si="0"/>
        <v>703.08412554499159</v>
      </c>
      <c r="S63" s="59">
        <f ca="1">AVERAGE(OFFSET($R$3,0,0,'Données projet'!$E$9+1,1))-AVERAGE(OFFSET($H$3,0,0,'Données projet'!$E$9+1,1))</f>
        <v>283.69036991773601</v>
      </c>
      <c r="T63" s="59">
        <f t="shared" si="34"/>
        <v>185.71711000275525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54</v>
      </c>
      <c r="W63" s="16">
        <f>IF(ISNA(VLOOKUP(A63,'Données projet'!$A$35:$I$55,5,0)),0%,VLOOKUP(A63,'Données projet'!$A$35:$I$55,5,0)*VLOOKUP('Données projet'!$B$9,Paramètres!$A$1:$I$89,7,0))</f>
        <v>0.22000000000000003</v>
      </c>
      <c r="X63" s="16">
        <f>IF(ISNA(VLOOKUP(A63,'Données projet'!$A$35:$I$55,6,0)),0%,VLOOKUP(A63,'Données projet'!$A$35:$I$55,6,0)*VLOOKUP('Données projet'!$B$9,Paramètres!$A$1:$I$89,7,0))</f>
        <v>0.27500000000000002</v>
      </c>
      <c r="Y63" s="16">
        <f>IF(ISNA(VLOOKUP(A63,'Données projet'!$A$35:$I$55,7,0)),0%,VLOOKUP(A63,'Données projet'!$A$35:$I$55,7,0))</f>
        <v>0.1</v>
      </c>
      <c r="Z63" s="21">
        <f>EXP(-LN(2)/35)*Z62+(1-EXP(-LN(2)/35))/(LN(2)/35)*V63*W63*VLOOKUP('Données projet'!$B$9,Paramètres!$A$1:$I$89,3,0)*0.475*44/12</f>
        <v>10.288628212165317</v>
      </c>
      <c r="AA63" s="21">
        <f>EXP(-LN(2)/25)*AA62+(1-EXP(-LN(2)/25))/(LN(2)/25)*Calculateur!V63*Calculateur!X63*VLOOKUP('Données projet'!$B$9,Paramètres!$A$1:$I$89,3,0)*0.475*44/12</f>
        <v>24.50662035647931</v>
      </c>
      <c r="AB63" s="21">
        <f>EXP(-LN(2)/2)*AB62+(1-EXP(-LN(2)/2))/(LN(2)/2)*V63*Y63*VLOOKUP('Données projet'!$B$9,Paramètres!$A$1:$I$89,3,0)*0.475*44/12</f>
        <v>3.0446067553027225</v>
      </c>
      <c r="AC63" s="22">
        <f t="shared" si="3"/>
        <v>37.839855323947347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332.44995870249011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12.8</v>
      </c>
      <c r="N64" s="13">
        <f>IF('Données projet'!$A$36&gt;35,N63+M64-V63,IF(A64&lt;'Données projet'!$A$36,$K$205^A64,IF(A64='Données projet'!$A$36,'Données projet'!$B$36,N63+M64-V63)))</f>
        <v>360.79999999999984</v>
      </c>
      <c r="O64" s="13">
        <f>N64*VLOOKUP('Données projet'!$B$9,Paramètres!$A$1:$I$89,3,0)*VLOOKUP('Données projet'!$B$9,Paramètres!$A$1:$I$89,5,0)</f>
        <v>168.85439999999994</v>
      </c>
      <c r="P64" s="13">
        <f t="shared" si="33"/>
        <v>42.833346412081703</v>
      </c>
      <c r="Q64" s="20">
        <f t="shared" si="53"/>
        <v>368.68949166770886</v>
      </c>
      <c r="R64" s="59">
        <f t="shared" si="0"/>
        <v>662.02282500104218</v>
      </c>
      <c r="S64" s="59">
        <f ca="1">AVERAGE(OFFSET($R$3,0,0,'Données projet'!$E$9+1,1))-AVERAGE(OFFSET($H$3,0,0,'Données projet'!$E$9+1,1))</f>
        <v>283.69036991773601</v>
      </c>
      <c r="T64" s="59">
        <f t="shared" si="34"/>
        <v>185.71711000275525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10.086874488368316</v>
      </c>
      <c r="AA64" s="21">
        <f>EXP(-LN(2)/25)*AA63+(1-EXP(-LN(2)/25))/(LN(2)/25)*Calculateur!V64*Calculateur!X64*VLOOKUP('Données projet'!$B$9,Paramètres!$A$1:$I$89,3,0)*0.475*44/12</f>
        <v>23.836485534084229</v>
      </c>
      <c r="AB64" s="21">
        <f>EXP(-LN(2)/2)*AB63+(1-EXP(-LN(2)/2))/(LN(2)/2)*V64*Y64*VLOOKUP('Données projet'!$B$9,Paramètres!$A$1:$I$89,3,0)*0.475*44/12</f>
        <v>2.1528620827209268</v>
      </c>
      <c r="AC64" s="22">
        <f t="shared" si="3"/>
        <v>36.076222105173471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333.65814472722889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12.8</v>
      </c>
      <c r="N65" s="13">
        <f>IF('Données projet'!$A$36&gt;35,N64+M65-V64,IF(A65&lt;'Données projet'!$A$36,$K$205^A65,IF(A65='Données projet'!$A$36,'Données projet'!$B$36,N64+M65-V64)))</f>
        <v>373.59999999999985</v>
      </c>
      <c r="O65" s="13">
        <f>N65*VLOOKUP('Données projet'!$B$9,Paramètres!$A$1:$I$89,3,0)*VLOOKUP('Données projet'!$B$9,Paramètres!$A$1:$I$89,5,0)</f>
        <v>174.84479999999994</v>
      </c>
      <c r="P65" s="13">
        <f t="shared" si="33"/>
        <v>44.17331668598117</v>
      </c>
      <c r="Q65" s="20">
        <f t="shared" si="53"/>
        <v>381.45655322808375</v>
      </c>
      <c r="R65" s="59">
        <f t="shared" si="0"/>
        <v>674.78988656141701</v>
      </c>
      <c r="S65" s="59">
        <f ca="1">AVERAGE(OFFSET($R$3,0,0,'Données projet'!$E$9+1,1))-AVERAGE(OFFSET($H$3,0,0,'Données projet'!$E$9+1,1))</f>
        <v>283.69036991773601</v>
      </c>
      <c r="T65" s="59">
        <f t="shared" si="34"/>
        <v>185.71711000275525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9.8890770320373544</v>
      </c>
      <c r="AA65" s="21">
        <f>EXP(-LN(2)/25)*AA64+(1-EXP(-LN(2)/25))/(LN(2)/25)*Calculateur!V65*Calculateur!X65*VLOOKUP('Données projet'!$B$9,Paramètres!$A$1:$I$89,3,0)*0.475*44/12</f>
        <v>23.184675583648399</v>
      </c>
      <c r="AB65" s="21">
        <f>EXP(-LN(2)/2)*AB64+(1-EXP(-LN(2)/2))/(LN(2)/2)*V65*Y65*VLOOKUP('Données projet'!$B$9,Paramètres!$A$1:$I$89,3,0)*0.475*44/12</f>
        <v>1.5223033776513615</v>
      </c>
      <c r="AC65" s="22">
        <f t="shared" si="3"/>
        <v>34.596055993337117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334.86584824301428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12.8</v>
      </c>
      <c r="N66" s="13">
        <f>IF('Données projet'!$A$36&gt;35,N65+M66-V65,IF(A66&lt;'Données projet'!$A$36,$K$205^A66,IF(A66='Données projet'!$A$36,'Données projet'!$B$36,N65+M66-V65)))</f>
        <v>386.39999999999986</v>
      </c>
      <c r="O66" s="13">
        <f>N66*VLOOKUP('Données projet'!$B$9,Paramètres!$A$1:$I$89,3,0)*VLOOKUP('Données projet'!$B$9,Paramètres!$A$1:$I$89,5,0)</f>
        <v>180.83519999999996</v>
      </c>
      <c r="P66" s="13">
        <f t="shared" si="33"/>
        <v>45.507952685945142</v>
      </c>
      <c r="Q66" s="20">
        <f t="shared" si="53"/>
        <v>394.21432426135431</v>
      </c>
      <c r="R66" s="59">
        <f t="shared" si="0"/>
        <v>687.54765759468762</v>
      </c>
      <c r="S66" s="59">
        <f ca="1">AVERAGE(OFFSET($R$3,0,0,'Données projet'!$E$9+1,1))-AVERAGE(OFFSET($H$3,0,0,'Données projet'!$E$9+1,1))</f>
        <v>283.69036991773601</v>
      </c>
      <c r="T66" s="59">
        <f t="shared" si="34"/>
        <v>185.71711000275525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9.695158263180506</v>
      </c>
      <c r="AA66" s="21">
        <f>EXP(-LN(2)/25)*AA65+(1-EXP(-LN(2)/25))/(LN(2)/25)*Calculateur!V66*Calculateur!X66*VLOOKUP('Données projet'!$B$9,Paramètres!$A$1:$I$89,3,0)*0.475*44/12</f>
        <v>22.550689410584432</v>
      </c>
      <c r="AB66" s="21">
        <f>EXP(-LN(2)/2)*AB65+(1-EXP(-LN(2)/2))/(LN(2)/2)*V66*Y66*VLOOKUP('Données projet'!$B$9,Paramètres!$A$1:$I$89,3,0)*0.475*44/12</f>
        <v>1.0764310413604636</v>
      </c>
      <c r="AC66" s="22">
        <f t="shared" si="3"/>
        <v>33.322278715125407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336.07307779303983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12.8</v>
      </c>
      <c r="N67" s="13">
        <f>IF('Données projet'!$A$36&gt;35,N66+M67-V66,IF(A67&lt;'Données projet'!$A$36,$K$205^A67,IF(A67='Données projet'!$A$36,'Données projet'!$B$36,N66+M67-V66)))</f>
        <v>399.19999999999987</v>
      </c>
      <c r="O67" s="13">
        <f>N67*VLOOKUP('Données projet'!$B$9,Paramètres!$A$1:$I$89,3,0)*VLOOKUP('Données projet'!$B$9,Paramètres!$A$1:$I$89,5,0)</f>
        <v>186.82559999999995</v>
      </c>
      <c r="P67" s="13">
        <f t="shared" si="33"/>
        <v>46.837451378448172</v>
      </c>
      <c r="Q67" s="20">
        <f t="shared" ref="Q67:Q98" si="54">(O67+P67)*0.475*44/12</f>
        <v>406.96314781746378</v>
      </c>
      <c r="R67" s="59">
        <f t="shared" ref="R67:R130" si="55">Q67+(I67+J67)*44/12</f>
        <v>700.29648115079704</v>
      </c>
      <c r="S67" s="59">
        <f ca="1">AVERAGE(OFFSET($R$3,0,0,'Données projet'!$E$9+1,1))-AVERAGE(OFFSET($H$3,0,0,'Données projet'!$E$9+1,1))</f>
        <v>283.69036991773601</v>
      </c>
      <c r="T67" s="59">
        <f t="shared" si="34"/>
        <v>185.71711000275525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9.5050421231021716</v>
      </c>
      <c r="AA67" s="21">
        <f>EXP(-LN(2)/25)*AA66+(1-EXP(-LN(2)/25))/(LN(2)/25)*Calculateur!V67*Calculateur!X67*VLOOKUP('Données projet'!$B$9,Paramètres!$A$1:$I$89,3,0)*0.475*44/12</f>
        <v>21.934039622762786</v>
      </c>
      <c r="AB67" s="21">
        <f>EXP(-LN(2)/2)*AB66+(1-EXP(-LN(2)/2))/(LN(2)/2)*V67*Y67*VLOOKUP('Données projet'!$B$9,Paramètres!$A$1:$I$89,3,0)*0.475*44/12</f>
        <v>0.76115168882568085</v>
      </c>
      <c r="AC67" s="22">
        <f t="shared" si="3"/>
        <v>32.200233434690638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337.27984163820884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12.8</v>
      </c>
      <c r="N68" s="13">
        <f>IF('Données projet'!$A$36&gt;35,N67+M68-V67,IF(A68&lt;'Données projet'!$A$36,$K$205^A68,IF(A68='Données projet'!$A$36,'Données projet'!$B$36,N67+M68-V67)))</f>
        <v>411.99999999999989</v>
      </c>
      <c r="O68" s="13">
        <f>N68*VLOOKUP('Données projet'!$B$9,Paramètres!$A$1:$I$89,3,0)*VLOOKUP('Données projet'!$B$9,Paramètres!$A$1:$I$89,5,0)</f>
        <v>192.81599999999997</v>
      </c>
      <c r="P68" s="13">
        <f t="shared" si="33"/>
        <v>48.161996381683636</v>
      </c>
      <c r="Q68" s="20">
        <f t="shared" si="54"/>
        <v>419.70334369809893</v>
      </c>
      <c r="R68" s="59">
        <f t="shared" si="55"/>
        <v>713.03667703143219</v>
      </c>
      <c r="S68" s="59">
        <f ca="1">AVERAGE(OFFSET($R$3,0,0,'Données projet'!$E$9+1,1))-AVERAGE(OFFSET($H$3,0,0,'Données projet'!$E$9+1,1))</f>
        <v>283.69036991773601</v>
      </c>
      <c r="T68" s="59">
        <f t="shared" si="34"/>
        <v>185.71711000275525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9.3186540445713764</v>
      </c>
      <c r="AA68" s="21">
        <f>EXP(-LN(2)/25)*AA67+(1-EXP(-LN(2)/25))/(LN(2)/25)*Calculateur!V68*Calculateur!X68*VLOOKUP('Données projet'!$B$9,Paramètres!$A$1:$I$89,3,0)*0.475*44/12</f>
        <v>21.334252155817325</v>
      </c>
      <c r="AB68" s="21">
        <f>EXP(-LN(2)/2)*AB67+(1-EXP(-LN(2)/2))/(LN(2)/2)*V68*Y68*VLOOKUP('Données projet'!$B$9,Paramètres!$A$1:$I$89,3,0)*0.475*44/12</f>
        <v>0.53821552068023182</v>
      </c>
      <c r="AC68" s="22">
        <f t="shared" ref="AC68:AC131" si="57">SUM(Z68:AB68)</f>
        <v>31.191121721068932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338.48614777065865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12.8</v>
      </c>
      <c r="N69" s="13">
        <f>IF('Données projet'!$A$36&gt;35,N68+M69-V68,IF(A69&lt;'Données projet'!$A$36,$K$205^A69,IF(A69='Données projet'!$A$36,'Données projet'!$B$36,N68+M69-V68)))</f>
        <v>424.7999999999999</v>
      </c>
      <c r="O69" s="13">
        <f>N69*VLOOKUP('Données projet'!$B$9,Paramètres!$A$1:$I$89,3,0)*VLOOKUP('Données projet'!$B$9,Paramètres!$A$1:$I$89,5,0)</f>
        <v>198.80639999999997</v>
      </c>
      <c r="P69" s="13">
        <f t="shared" ref="P69:P132" si="87">EXP(-1.0587+0.8836*LN(O69)+0.284)</f>
        <v>49.481759256458474</v>
      </c>
      <c r="Q69" s="20">
        <f t="shared" si="54"/>
        <v>432.43521070499838</v>
      </c>
      <c r="R69" s="59">
        <f t="shared" si="55"/>
        <v>725.7685440383317</v>
      </c>
      <c r="S69" s="59">
        <f ca="1">AVERAGE(OFFSET($R$3,0,0,'Données projet'!$E$9+1,1))-AVERAGE(OFFSET($H$3,0,0,'Données projet'!$E$9+1,1))</f>
        <v>283.69036991773601</v>
      </c>
      <c r="T69" s="59">
        <f t="shared" ref="T69:T132" si="88">$T$3</f>
        <v>185.71711000275525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9.1359209225750693</v>
      </c>
      <c r="AA69" s="21">
        <f>EXP(-LN(2)/25)*AA68+(1-EXP(-LN(2)/25))/(LN(2)/25)*Calculateur!V69*Calculateur!X69*VLOOKUP('Données projet'!$B$9,Paramètres!$A$1:$I$89,3,0)*0.475*44/12</f>
        <v>20.750865908696937</v>
      </c>
      <c r="AB69" s="21">
        <f>EXP(-LN(2)/2)*AB68+(1-EXP(-LN(2)/2))/(LN(2)/2)*V69*Y69*VLOOKUP('Données projet'!$B$9,Paramètres!$A$1:$I$89,3,0)*0.475*44/12</f>
        <v>0.38057584441284042</v>
      </c>
      <c r="AC69" s="22">
        <f t="shared" si="57"/>
        <v>30.267362675684844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339.69200392644217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12.8</v>
      </c>
      <c r="N70" s="13">
        <f>IF('Données projet'!$A$36&gt;35,N69+M70-V69,IF(A70&lt;'Données projet'!$A$36,$K$205^A70,IF(A70='Données projet'!$A$36,'Données projet'!$B$36,N69+M70-V69)))</f>
        <v>437.59999999999991</v>
      </c>
      <c r="O70" s="13">
        <f>N70*VLOOKUP('Données projet'!$B$9,Paramètres!$A$1:$I$89,3,0)*VLOOKUP('Données projet'!$B$9,Paramètres!$A$1:$I$89,5,0)</f>
        <v>204.79679999999996</v>
      </c>
      <c r="P70" s="13">
        <f t="shared" si="87"/>
        <v>50.796900637128793</v>
      </c>
      <c r="Q70" s="20">
        <f t="shared" si="54"/>
        <v>445.15902860966594</v>
      </c>
      <c r="R70" s="59">
        <f t="shared" si="55"/>
        <v>738.4923619429992</v>
      </c>
      <c r="S70" s="59">
        <f ca="1">AVERAGE(OFFSET($R$3,0,0,'Données projet'!$E$9+1,1))-AVERAGE(OFFSET($H$3,0,0,'Données projet'!$E$9+1,1))</f>
        <v>283.69036991773601</v>
      </c>
      <c r="T70" s="59">
        <f t="shared" si="88"/>
        <v>185.71711000275525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8.9567710856449096</v>
      </c>
      <c r="AA70" s="21">
        <f>EXP(-LN(2)/25)*AA69+(1-EXP(-LN(2)/25))/(LN(2)/25)*Calculateur!V70*Calculateur!X70*VLOOKUP('Données projet'!$B$9,Paramètres!$A$1:$I$89,3,0)*0.475*44/12</f>
        <v>20.183432389183007</v>
      </c>
      <c r="AB70" s="21">
        <f>EXP(-LN(2)/2)*AB69+(1-EXP(-LN(2)/2))/(LN(2)/2)*V70*Y70*VLOOKUP('Données projet'!$B$9,Paramètres!$A$1:$I$89,3,0)*0.475*44/12</f>
        <v>0.26910776034011591</v>
      </c>
      <c r="AC70" s="22">
        <f t="shared" si="57"/>
        <v>29.409311235168033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340.89741759743021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12.8</v>
      </c>
      <c r="N71" s="13">
        <f>IF('Données projet'!$A$36&gt;35,N70+M71-V70,IF(A71&lt;'Données projet'!$A$36,$K$205^A71,IF(A71='Données projet'!$A$36,'Données projet'!$B$36,N70+M71-V70)))</f>
        <v>450.39999999999992</v>
      </c>
      <c r="O71" s="13">
        <f>N71*VLOOKUP('Données projet'!$B$9,Paramètres!$A$1:$I$89,3,0)*VLOOKUP('Données projet'!$B$9,Paramètres!$A$1:$I$89,5,0)</f>
        <v>210.78719999999998</v>
      </c>
      <c r="P71" s="13">
        <f t="shared" si="87"/>
        <v>52.107571226495061</v>
      </c>
      <c r="Q71" s="20">
        <f t="shared" si="54"/>
        <v>457.87505988614549</v>
      </c>
      <c r="R71" s="59">
        <f t="shared" si="55"/>
        <v>751.20839321947881</v>
      </c>
      <c r="S71" s="59">
        <f ca="1">AVERAGE(OFFSET($R$3,0,0,'Données projet'!$E$9+1,1))-AVERAGE(OFFSET($H$3,0,0,'Données projet'!$E$9+1,1))</f>
        <v>283.69036991773601</v>
      </c>
      <c r="T71" s="59">
        <f t="shared" si="88"/>
        <v>185.71711000275525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8.7811342677463404</v>
      </c>
      <c r="AA71" s="21">
        <f>EXP(-LN(2)/25)*AA70+(1-EXP(-LN(2)/25))/(LN(2)/25)*Calculateur!V71*Calculateur!X71*VLOOKUP('Données projet'!$B$9,Paramètres!$A$1:$I$89,3,0)*0.475*44/12</f>
        <v>19.631515369100217</v>
      </c>
      <c r="AB71" s="21">
        <f>EXP(-LN(2)/2)*AB70+(1-EXP(-LN(2)/2))/(LN(2)/2)*V71*Y71*VLOOKUP('Données projet'!$B$9,Paramètres!$A$1:$I$89,3,0)*0.475*44/12</f>
        <v>0.19028792220642021</v>
      </c>
      <c r="AC71" s="22">
        <f t="shared" si="57"/>
        <v>28.602937559052979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342.10239604249472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12.8</v>
      </c>
      <c r="N72" s="13">
        <f>IF('Données projet'!$A$36&gt;35,N71+M72-V71,IF(A72&lt;'Données projet'!$A$36,$K$205^A72,IF(A72='Données projet'!$A$36,'Données projet'!$B$36,N71+M72-V71)))</f>
        <v>463.19999999999993</v>
      </c>
      <c r="O72" s="13">
        <f>N72*VLOOKUP('Données projet'!$B$9,Paramètres!$A$1:$I$89,3,0)*VLOOKUP('Données projet'!$B$9,Paramètres!$A$1:$I$89,5,0)</f>
        <v>216.77759999999998</v>
      </c>
      <c r="P72" s="13">
        <f t="shared" si="87"/>
        <v>53.413912674421944</v>
      </c>
      <c r="Q72" s="20">
        <f t="shared" si="54"/>
        <v>470.58355124128479</v>
      </c>
      <c r="R72" s="59">
        <f t="shared" si="55"/>
        <v>763.91688457461805</v>
      </c>
      <c r="S72" s="59">
        <f ca="1">AVERAGE(OFFSET($R$3,0,0,'Données projet'!$E$9+1,1))-AVERAGE(OFFSET($H$3,0,0,'Données projet'!$E$9+1,1))</f>
        <v>283.69036991773601</v>
      </c>
      <c r="T72" s="59">
        <f t="shared" si="88"/>
        <v>185.71711000275525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8.6089415807188807</v>
      </c>
      <c r="AA72" s="21">
        <f>EXP(-LN(2)/25)*AA71+(1-EXP(-LN(2)/25))/(LN(2)/25)*Calculateur!V72*Calculateur!X72*VLOOKUP('Données projet'!$B$9,Paramètres!$A$1:$I$89,3,0)*0.475*44/12</f>
        <v>19.094690548955647</v>
      </c>
      <c r="AB72" s="21">
        <f>EXP(-LN(2)/2)*AB71+(1-EXP(-LN(2)/2))/(LN(2)/2)*V72*Y72*VLOOKUP('Données projet'!$B$9,Paramètres!$A$1:$I$89,3,0)*0.475*44/12</f>
        <v>0.13455388017005795</v>
      </c>
      <c r="AC72" s="22">
        <f t="shared" si="57"/>
        <v>27.838186009844584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343.30694629802451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476</v>
      </c>
      <c r="L73" s="12">
        <f>VLOOKUP(A73,'Données projet'!$A$35:$I$55,9,0)</f>
        <v>12.8</v>
      </c>
      <c r="M73" s="12">
        <f t="array" ref="M73">INDEX(L:L,MIN(IF(ISNUMBER(L73:L269),ROW(L73:L269),"")))</f>
        <v>12.8</v>
      </c>
      <c r="N73" s="13">
        <f>IF('Données projet'!$A$36&gt;35,N72+M73-V72,IF(A73&lt;'Données projet'!$A$36,$K$205^A73,IF(A73='Données projet'!$A$36,'Données projet'!$B$36,N72+M73-V72)))</f>
        <v>475.99999999999994</v>
      </c>
      <c r="O73" s="13">
        <f>N73*VLOOKUP('Données projet'!$B$9,Paramètres!$A$1:$I$89,3,0)*VLOOKUP('Données projet'!$B$9,Paramètres!$A$1:$I$89,5,0)</f>
        <v>222.768</v>
      </c>
      <c r="P73" s="13">
        <f t="shared" si="87"/>
        <v>54.716058356609508</v>
      </c>
      <c r="Q73" s="20">
        <f t="shared" si="54"/>
        <v>483.28473497109491</v>
      </c>
      <c r="R73" s="59">
        <f t="shared" si="55"/>
        <v>776.61806830442822</v>
      </c>
      <c r="S73" s="59">
        <f ca="1">AVERAGE(OFFSET($R$3,0,0,'Données projet'!$E$9+1,1))-AVERAGE(OFFSET($H$3,0,0,'Données projet'!$E$9+1,1))</f>
        <v>283.69036991773601</v>
      </c>
      <c r="T73" s="59">
        <f t="shared" si="88"/>
        <v>185.71711000275525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54</v>
      </c>
      <c r="W73" s="16">
        <f>IF(ISNA(VLOOKUP(A73,'Données projet'!$A$35:$I$55,5,0)),0%,VLOOKUP(A73,'Données projet'!$A$35:$I$55,5,0)*VLOOKUP('Données projet'!$B$9,Paramètres!$A$1:$I$89,7,0))</f>
        <v>0.27500000000000002</v>
      </c>
      <c r="X73" s="16">
        <f>IF(ISNA(VLOOKUP(A73,'Données projet'!$A$35:$I$55,6,0)),0%,VLOOKUP(A73,'Données projet'!$A$35:$I$55,6,0)*VLOOKUP('Données projet'!$B$9,Paramètres!$A$1:$I$89,7,0))</f>
        <v>0.27500000000000002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17.659483139670577</v>
      </c>
      <c r="AA73" s="21">
        <f>EXP(-LN(2)/25)*AA72+(1-EXP(-LN(2)/25))/(LN(2)/25)*Calculateur!V73*Calculateur!X73*VLOOKUP('Données projet'!$B$9,Paramètres!$A$1:$I$89,3,0)*0.475*44/12</f>
        <v>27.755602760233817</v>
      </c>
      <c r="AB73" s="21">
        <f>EXP(-LN(2)/2)*AB72+(1-EXP(-LN(2)/2))/(LN(2)/2)*V73*Y73*VLOOKUP('Données projet'!$B$9,Paramètres!$A$1:$I$89,3,0)*0.475*44/12</f>
        <v>9.5143961103210106E-2</v>
      </c>
      <c r="AC73" s="22">
        <f t="shared" si="57"/>
        <v>45.510229861007609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344.51107518782362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13</v>
      </c>
      <c r="N74" s="13">
        <f>IF('Données projet'!$A$36&gt;35,N73+M74-V73,IF(A74&lt;'Données projet'!$A$36,$K$205^A74,IF(A74='Données projet'!$A$36,'Données projet'!$B$36,N73+M74-V73)))</f>
        <v>434.99999999999994</v>
      </c>
      <c r="O74" s="13">
        <f>N74*VLOOKUP('Données projet'!$B$9,Paramètres!$A$1:$I$89,3,0)*VLOOKUP('Données projet'!$B$9,Paramètres!$A$1:$I$89,5,0)</f>
        <v>203.57999999999996</v>
      </c>
      <c r="P74" s="13">
        <f t="shared" si="87"/>
        <v>50.530129131114101</v>
      </c>
      <c r="Q74" s="20">
        <f t="shared" si="54"/>
        <v>442.57514157002362</v>
      </c>
      <c r="R74" s="59">
        <f t="shared" si="55"/>
        <v>735.90847490335693</v>
      </c>
      <c r="S74" s="59">
        <f ca="1">AVERAGE(OFFSET($R$3,0,0,'Données projet'!$E$9+1,1))-AVERAGE(OFFSET($H$3,0,0,'Données projet'!$E$9+1,1))</f>
        <v>283.69036991773601</v>
      </c>
      <c r="T74" s="59">
        <f t="shared" si="88"/>
        <v>185.71711000275525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17.313191446522783</v>
      </c>
      <c r="AA74" s="21">
        <f>EXP(-LN(2)/25)*AA73+(1-EXP(-LN(2)/25))/(LN(2)/25)*Calculateur!V74*Calculateur!X74*VLOOKUP('Données projet'!$B$9,Paramètres!$A$1:$I$89,3,0)*0.475*44/12</f>
        <v>26.99662434315151</v>
      </c>
      <c r="AB74" s="21">
        <f>EXP(-LN(2)/2)*AB73+(1-EXP(-LN(2)/2))/(LN(2)/2)*V74*Y74*VLOOKUP('Données projet'!$B$9,Paramètres!$A$1:$I$89,3,0)*0.475*44/12</f>
        <v>6.7276940085028977E-2</v>
      </c>
      <c r="AC74" s="22">
        <f t="shared" si="57"/>
        <v>44.377092729759319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345.71478933243532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13</v>
      </c>
      <c r="N75" s="13">
        <f>IF('Données projet'!$A$36&gt;35,N74+M75-V74,IF(A75&lt;'Données projet'!$A$36,$K$205^A75,IF(A75='Données projet'!$A$36,'Données projet'!$B$36,N74+M75-V74)))</f>
        <v>447.99999999999994</v>
      </c>
      <c r="O75" s="13">
        <f>N75*VLOOKUP('Données projet'!$B$9,Paramètres!$A$1:$I$89,3,0)*VLOOKUP('Données projet'!$B$9,Paramètres!$A$1:$I$89,5,0)</f>
        <v>209.66399999999996</v>
      </c>
      <c r="P75" s="13">
        <f t="shared" si="87"/>
        <v>51.862154403304487</v>
      </c>
      <c r="Q75" s="20">
        <f t="shared" si="54"/>
        <v>455.49138558575515</v>
      </c>
      <c r="R75" s="59">
        <f t="shared" si="55"/>
        <v>748.82471891908847</v>
      </c>
      <c r="S75" s="59">
        <f ca="1">AVERAGE(OFFSET($R$3,0,0,'Données projet'!$E$9+1,1))-AVERAGE(OFFSET($H$3,0,0,'Données projet'!$E$9+1,1))</f>
        <v>283.69036991773601</v>
      </c>
      <c r="T75" s="59">
        <f t="shared" si="88"/>
        <v>185.71711000275525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16.973690322260541</v>
      </c>
      <c r="AA75" s="21">
        <f>EXP(-LN(2)/25)*AA74+(1-EXP(-LN(2)/25))/(LN(2)/25)*Calculateur!V75*Calculateur!X75*VLOOKUP('Données projet'!$B$9,Paramètres!$A$1:$I$89,3,0)*0.475*44/12</f>
        <v>26.25840023079726</v>
      </c>
      <c r="AB75" s="21">
        <f>EXP(-LN(2)/2)*AB74+(1-EXP(-LN(2)/2))/(LN(2)/2)*V75*Y75*VLOOKUP('Données projet'!$B$9,Paramètres!$A$1:$I$89,3,0)*0.475*44/12</f>
        <v>4.7571980551605053E-2</v>
      </c>
      <c r="AC75" s="22">
        <f t="shared" si="57"/>
        <v>43.279662533609404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346.9180951579346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13</v>
      </c>
      <c r="N76" s="13">
        <f>IF('Données projet'!$A$36&gt;35,N75+M76-V75,IF(A76&lt;'Données projet'!$A$36,$K$205^A76,IF(A76='Données projet'!$A$36,'Données projet'!$B$36,N75+M76-V75)))</f>
        <v>460.99999999999994</v>
      </c>
      <c r="O76" s="13">
        <f>N76*VLOOKUP('Données projet'!$B$9,Paramètres!$A$1:$I$89,3,0)*VLOOKUP('Données projet'!$B$9,Paramètres!$A$1:$I$89,5,0)</f>
        <v>215.74799999999999</v>
      </c>
      <c r="P76" s="13">
        <f t="shared" si="87"/>
        <v>53.189687445937594</v>
      </c>
      <c r="Q76" s="20">
        <f t="shared" si="54"/>
        <v>468.39980563500791</v>
      </c>
      <c r="R76" s="59">
        <f t="shared" si="55"/>
        <v>761.73313896834122</v>
      </c>
      <c r="S76" s="59">
        <f ca="1">AVERAGE(OFFSET($R$3,0,0,'Données projet'!$E$9+1,1))-AVERAGE(OFFSET($H$3,0,0,'Données projet'!$E$9+1,1))</f>
        <v>283.69036991773601</v>
      </c>
      <c r="T76" s="59">
        <f t="shared" si="88"/>
        <v>185.71711000275525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16.640846607969841</v>
      </c>
      <c r="AA76" s="21">
        <f>EXP(-LN(2)/25)*AA75+(1-EXP(-LN(2)/25))/(LN(2)/25)*Calculateur!V76*Calculateur!X76*VLOOKUP('Données projet'!$B$9,Paramètres!$A$1:$I$89,3,0)*0.475*44/12</f>
        <v>25.540362895616855</v>
      </c>
      <c r="AB76" s="21">
        <f>EXP(-LN(2)/2)*AB75+(1-EXP(-LN(2)/2))/(LN(2)/2)*V76*Y76*VLOOKUP('Données projet'!$B$9,Paramètres!$A$1:$I$89,3,0)*0.475*44/12</f>
        <v>3.3638470042514489E-2</v>
      </c>
      <c r="AC76" s="22">
        <f t="shared" si="57"/>
        <v>42.214847973629212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348.12099890422405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13</v>
      </c>
      <c r="N77" s="13">
        <f>IF('Données projet'!$A$36&gt;35,N76+M77-V76,IF(A77&lt;'Données projet'!$A$36,$K$205^A77,IF(A77='Données projet'!$A$36,'Données projet'!$B$36,N76+M77-V76)))</f>
        <v>473.99999999999994</v>
      </c>
      <c r="O77" s="13">
        <f>N77*VLOOKUP('Données projet'!$B$9,Paramètres!$A$1:$I$89,3,0)*VLOOKUP('Données projet'!$B$9,Paramètres!$A$1:$I$89,5,0)</f>
        <v>221.83199999999999</v>
      </c>
      <c r="P77" s="13">
        <f t="shared" si="87"/>
        <v>54.512869489435815</v>
      </c>
      <c r="Q77" s="20">
        <f t="shared" si="54"/>
        <v>481.30064769410069</v>
      </c>
      <c r="R77" s="59">
        <f t="shared" si="55"/>
        <v>774.63398102743395</v>
      </c>
      <c r="S77" s="59">
        <f ca="1">AVERAGE(OFFSET($R$3,0,0,'Données projet'!$E$9+1,1))-AVERAGE(OFFSET($H$3,0,0,'Données projet'!$E$9+1,1))</f>
        <v>283.69036991773601</v>
      </c>
      <c r="T77" s="59">
        <f t="shared" si="88"/>
        <v>185.71711000275525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16.314529755901763</v>
      </c>
      <c r="AA77" s="21">
        <f>EXP(-LN(2)/25)*AA76+(1-EXP(-LN(2)/25))/(LN(2)/25)*Calculateur!V77*Calculateur!X77*VLOOKUP('Données projet'!$B$9,Paramètres!$A$1:$I$89,3,0)*0.475*44/12</f>
        <v>24.841960329126902</v>
      </c>
      <c r="AB77" s="21">
        <f>EXP(-LN(2)/2)*AB76+(1-EXP(-LN(2)/2))/(LN(2)/2)*V77*Y77*VLOOKUP('Données projet'!$B$9,Paramètres!$A$1:$I$89,3,0)*0.475*44/12</f>
        <v>2.3785990275802527E-2</v>
      </c>
      <c r="AC77" s="22">
        <f t="shared" si="57"/>
        <v>41.180276075304469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349.32350663286911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13</v>
      </c>
      <c r="N78" s="13">
        <f>IF('Données projet'!$A$36&gt;35,N77+M78-V77,IF(A78&lt;'Données projet'!$A$36,$K$205^A78,IF(A78='Données projet'!$A$36,'Données projet'!$B$36,N77+M78-V77)))</f>
        <v>486.99999999999994</v>
      </c>
      <c r="O78" s="13">
        <f>N78*VLOOKUP('Données projet'!$B$9,Paramètres!$A$1:$I$89,3,0)*VLOOKUP('Données projet'!$B$9,Paramètres!$A$1:$I$89,5,0)</f>
        <v>227.91599999999997</v>
      </c>
      <c r="P78" s="13">
        <f t="shared" si="87"/>
        <v>55.831833576509503</v>
      </c>
      <c r="Q78" s="20">
        <f t="shared" si="54"/>
        <v>494.19414347908742</v>
      </c>
      <c r="R78" s="59">
        <f t="shared" si="55"/>
        <v>787.52747681242067</v>
      </c>
      <c r="S78" s="59">
        <f ca="1">AVERAGE(OFFSET($R$3,0,0,'Données projet'!$E$9+1,1))-AVERAGE(OFFSET($H$3,0,0,'Données projet'!$E$9+1,1))</f>
        <v>283.69036991773601</v>
      </c>
      <c r="T78" s="59">
        <f t="shared" si="88"/>
        <v>185.71711000275525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15.994611778269112</v>
      </c>
      <c r="AA78" s="21">
        <f>EXP(-LN(2)/25)*AA77+(1-EXP(-LN(2)/25))/(LN(2)/25)*Calculateur!V78*Calculateur!X78*VLOOKUP('Données projet'!$B$9,Paramètres!$A$1:$I$89,3,0)*0.475*44/12</f>
        <v>24.16265561754501</v>
      </c>
      <c r="AB78" s="21">
        <f>EXP(-LN(2)/2)*AB77+(1-EXP(-LN(2)/2))/(LN(2)/2)*V78*Y78*VLOOKUP('Données projet'!$B$9,Paramètres!$A$1:$I$89,3,0)*0.475*44/12</f>
        <v>1.6819235021257244E-2</v>
      </c>
      <c r="AC78" s="22">
        <f t="shared" si="57"/>
        <v>40.174086630835383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350.5256242345036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13</v>
      </c>
      <c r="N79" s="13">
        <f>IF('Données projet'!$A$36&gt;35,N78+M79-V78,IF(A79&lt;'Données projet'!$A$36,$K$205^A79,IF(A79='Données projet'!$A$36,'Données projet'!$B$36,N78+M79-V78)))</f>
        <v>499.99999999999994</v>
      </c>
      <c r="O79" s="13">
        <f>N79*VLOOKUP('Données projet'!$B$9,Paramètres!$A$1:$I$89,3,0)*VLOOKUP('Données projet'!$B$9,Paramètres!$A$1:$I$89,5,0)</f>
        <v>233.99999999999997</v>
      </c>
      <c r="P79" s="13">
        <f t="shared" si="87"/>
        <v>57.14670524255714</v>
      </c>
      <c r="Q79" s="20">
        <f t="shared" si="54"/>
        <v>507.08051163078693</v>
      </c>
      <c r="R79" s="59">
        <f t="shared" si="55"/>
        <v>800.41384496412024</v>
      </c>
      <c r="S79" s="59">
        <f ca="1">AVERAGE(OFFSET($R$3,0,0,'Données projet'!$E$9+1,1))-AVERAGE(OFFSET($H$3,0,0,'Données projet'!$E$9+1,1))</f>
        <v>283.69036991773601</v>
      </c>
      <c r="T79" s="59">
        <f t="shared" si="88"/>
        <v>185.71711000275525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15.680967197047138</v>
      </c>
      <c r="AA79" s="21">
        <f>EXP(-LN(2)/25)*AA78+(1-EXP(-LN(2)/25))/(LN(2)/25)*Calculateur!V79*Calculateur!X79*VLOOKUP('Données projet'!$B$9,Paramètres!$A$1:$I$89,3,0)*0.475*44/12</f>
        <v>23.501926529024406</v>
      </c>
      <c r="AB79" s="21">
        <f>EXP(-LN(2)/2)*AB78+(1-EXP(-LN(2)/2))/(LN(2)/2)*V79*Y79*VLOOKUP('Données projet'!$B$9,Paramètres!$A$1:$I$89,3,0)*0.475*44/12</f>
        <v>1.1892995137901263E-2</v>
      </c>
      <c r="AC79" s="22">
        <f t="shared" si="57"/>
        <v>39.194786721209439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351.72735743583411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13</v>
      </c>
      <c r="N80" s="13">
        <f>IF('Données projet'!$A$36&gt;35,N79+M80-V79,IF(A80&lt;'Données projet'!$A$36,$K$205^A80,IF(A80='Données projet'!$A$36,'Données projet'!$B$36,N79+M80-V79)))</f>
        <v>513</v>
      </c>
      <c r="O80" s="13">
        <f>N80*VLOOKUP('Données projet'!$B$9,Paramètres!$A$1:$I$89,3,0)*VLOOKUP('Données projet'!$B$9,Paramètres!$A$1:$I$89,5,0)</f>
        <v>240.084</v>
      </c>
      <c r="P80" s="13">
        <f t="shared" si="87"/>
        <v>58.457603123312211</v>
      </c>
      <c r="Q80" s="20">
        <f t="shared" si="54"/>
        <v>519.95995877310202</v>
      </c>
      <c r="R80" s="59">
        <f t="shared" si="55"/>
        <v>813.29329210643527</v>
      </c>
      <c r="S80" s="59">
        <f ca="1">AVERAGE(OFFSET($R$3,0,0,'Données projet'!$E$9+1,1))-AVERAGE(OFFSET($H$3,0,0,'Données projet'!$E$9+1,1))</f>
        <v>283.69036991773601</v>
      </c>
      <c r="T80" s="59">
        <f t="shared" si="88"/>
        <v>185.71711000275525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15.373472994758623</v>
      </c>
      <c r="AA80" s="21">
        <f>EXP(-LN(2)/25)*AA79+(1-EXP(-LN(2)/25))/(LN(2)/25)*Calculateur!V80*Calculateur!X80*VLOOKUP('Données projet'!$B$9,Paramètres!$A$1:$I$89,3,0)*0.475*44/12</f>
        <v>22.859265112175631</v>
      </c>
      <c r="AB80" s="21">
        <f>EXP(-LN(2)/2)*AB79+(1-EXP(-LN(2)/2))/(LN(2)/2)*V80*Y80*VLOOKUP('Données projet'!$B$9,Paramètres!$A$1:$I$89,3,0)*0.475*44/12</f>
        <v>8.4096175106286222E-3</v>
      </c>
      <c r="AC80" s="22">
        <f t="shared" si="57"/>
        <v>38.241147724444886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352.92871180627031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13</v>
      </c>
      <c r="N81" s="13">
        <f>IF('Données projet'!$A$36&gt;35,N80+M81-V80,IF(A81&lt;'Données projet'!$A$36,$K$205^A81,IF(A81='Données projet'!$A$36,'Données projet'!$B$36,N80+M81-V80)))</f>
        <v>526</v>
      </c>
      <c r="O81" s="13">
        <f>N81*VLOOKUP('Données projet'!$B$9,Paramètres!$A$1:$I$89,3,0)*VLOOKUP('Données projet'!$B$9,Paramètres!$A$1:$I$89,5,0)</f>
        <v>246.16799999999998</v>
      </c>
      <c r="P81" s="13">
        <f t="shared" si="87"/>
        <v>59.764639499163827</v>
      </c>
      <c r="Q81" s="20">
        <f t="shared" si="54"/>
        <v>532.83268046104365</v>
      </c>
      <c r="R81" s="59">
        <f t="shared" si="55"/>
        <v>826.16601379437702</v>
      </c>
      <c r="S81" s="59">
        <f ca="1">AVERAGE(OFFSET($R$3,0,0,'Données projet'!$E$9+1,1))-AVERAGE(OFFSET($H$3,0,0,'Données projet'!$E$9+1,1))</f>
        <v>283.69036991773601</v>
      </c>
      <c r="T81" s="59">
        <f t="shared" si="88"/>
        <v>185.71711000275525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15.072008566224042</v>
      </c>
      <c r="AA81" s="21">
        <f>EXP(-LN(2)/25)*AA80+(1-EXP(-LN(2)/25))/(LN(2)/25)*Calculateur!V81*Calculateur!X81*VLOOKUP('Données projet'!$B$9,Paramètres!$A$1:$I$89,3,0)*0.475*44/12</f>
        <v>22.234177305566682</v>
      </c>
      <c r="AB81" s="21">
        <f>EXP(-LN(2)/2)*AB80+(1-EXP(-LN(2)/2))/(LN(2)/2)*V81*Y81*VLOOKUP('Données projet'!$B$9,Paramètres!$A$1:$I$89,3,0)*0.475*44/12</f>
        <v>5.9464975689506316E-3</v>
      </c>
      <c r="AC81" s="22">
        <f t="shared" si="57"/>
        <v>37.312132369359674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354.12969276420569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13</v>
      </c>
      <c r="N82" s="13">
        <f>IF('Données projet'!$A$36&gt;35,N81+M82-V81,IF(A82&lt;'Données projet'!$A$36,$K$205^A82,IF(A82='Données projet'!$A$36,'Données projet'!$B$36,N81+M82-V81)))</f>
        <v>539</v>
      </c>
      <c r="O82" s="13">
        <f>N82*VLOOKUP('Données projet'!$B$9,Paramètres!$A$1:$I$89,3,0)*VLOOKUP('Données projet'!$B$9,Paramètres!$A$1:$I$89,5,0)</f>
        <v>252.25200000000001</v>
      </c>
      <c r="P82" s="13">
        <f t="shared" si="87"/>
        <v>61.067920784150822</v>
      </c>
      <c r="Q82" s="20">
        <f t="shared" si="54"/>
        <v>545.69886203239605</v>
      </c>
      <c r="R82" s="59">
        <f t="shared" si="55"/>
        <v>839.03219536572942</v>
      </c>
      <c r="S82" s="59">
        <f ca="1">AVERAGE(OFFSET($R$3,0,0,'Données projet'!$E$9+1,1))-AVERAGE(OFFSET($H$3,0,0,'Données projet'!$E$9+1,1))</f>
        <v>283.69036991773601</v>
      </c>
      <c r="T82" s="59">
        <f t="shared" si="88"/>
        <v>185.71711000275525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14.77645567125788</v>
      </c>
      <c r="AA82" s="21">
        <f>EXP(-LN(2)/25)*AA81+(1-EXP(-LN(2)/25))/(LN(2)/25)*Calculateur!V82*Calculateur!X82*VLOOKUP('Données projet'!$B$9,Paramètres!$A$1:$I$89,3,0)*0.475*44/12</f>
        <v>21.626182557901394</v>
      </c>
      <c r="AB82" s="21">
        <f>EXP(-LN(2)/2)*AB81+(1-EXP(-LN(2)/2))/(LN(2)/2)*V82*Y82*VLOOKUP('Données projet'!$B$9,Paramètres!$A$1:$I$89,3,0)*0.475*44/12</f>
        <v>4.2048087553143111E-3</v>
      </c>
      <c r="AC82" s="22">
        <f t="shared" si="57"/>
        <v>36.406843037914584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355.33030558297088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552</v>
      </c>
      <c r="L83" s="12">
        <f>VLOOKUP(A83,'Données projet'!$A$35:$I$55,9,0)</f>
        <v>13</v>
      </c>
      <c r="M83" s="12">
        <f t="array" ref="M83">INDEX(L:L,MIN(IF(ISNUMBER(L83:L279),ROW(L83:L279),"")))</f>
        <v>13</v>
      </c>
      <c r="N83" s="13">
        <f>IF('Données projet'!$A$36&gt;35,N82+M83-V82,IF(A83&lt;'Données projet'!$A$36,$K$205^A83,IF(A83='Données projet'!$A$36,'Données projet'!$B$36,N82+M83-V82)))</f>
        <v>552</v>
      </c>
      <c r="O83" s="13">
        <f>N83*VLOOKUP('Données projet'!$B$9,Paramètres!$A$1:$I$89,3,0)*VLOOKUP('Données projet'!$B$9,Paramètres!$A$1:$I$89,5,0)</f>
        <v>258.33600000000001</v>
      </c>
      <c r="P83" s="13">
        <f t="shared" si="87"/>
        <v>62.367547966451262</v>
      </c>
      <c r="Q83" s="20">
        <f t="shared" si="54"/>
        <v>558.55867937490257</v>
      </c>
      <c r="R83" s="59">
        <f t="shared" si="55"/>
        <v>851.89201270823582</v>
      </c>
      <c r="S83" s="59">
        <f ca="1">AVERAGE(OFFSET($R$3,0,0,'Données projet'!$E$9+1,1))-AVERAGE(OFFSET($H$3,0,0,'Données projet'!$E$9+1,1))</f>
        <v>283.69036991773601</v>
      </c>
      <c r="T83" s="59">
        <f t="shared" si="88"/>
        <v>185.71711000275525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55</v>
      </c>
      <c r="W83" s="16">
        <f>IF(ISNA(VLOOKUP(A83,'Données projet'!$A$35:$I$55,5,0)),0%,VLOOKUP(A83,'Données projet'!$A$35:$I$55,5,0)*VLOOKUP('Données projet'!$B$9,Paramètres!$A$1:$I$89,7,0))</f>
        <v>0.33</v>
      </c>
      <c r="X83" s="16">
        <f>IF(ISNA(VLOOKUP(A83,'Données projet'!$A$35:$I$55,6,0)),0%,VLOOKUP(A83,'Données projet'!$A$35:$I$55,6,0)*VLOOKUP('Données projet'!$B$9,Paramètres!$A$1:$I$89,7,0))</f>
        <v>0.22000000000000003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25.754802185687083</v>
      </c>
      <c r="AA83" s="21">
        <f>EXP(-LN(2)/25)*AA82+(1-EXP(-LN(2)/25))/(LN(2)/25)*Calculateur!V83*Calculateur!X83*VLOOKUP('Données projet'!$B$9,Paramètres!$A$1:$I$89,3,0)*0.475*44/12</f>
        <v>28.517304778090768</v>
      </c>
      <c r="AB83" s="21">
        <f>EXP(-LN(2)/2)*AB82+(1-EXP(-LN(2)/2))/(LN(2)/2)*V83*Y83*VLOOKUP('Données projet'!$B$9,Paramètres!$A$1:$I$89,3,0)*0.475*44/12</f>
        <v>2.9732487844753158E-3</v>
      </c>
      <c r="AC83" s="22">
        <f t="shared" si="57"/>
        <v>54.27508021256233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356.53055539648136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14.2</v>
      </c>
      <c r="N84" s="13">
        <f>IF('Données projet'!$A$36&gt;35,N83+M84-V83,IF(A84&lt;'Données projet'!$A$36,$K$205^A84,IF(A84='Données projet'!$A$36,'Données projet'!$B$36,N83+M84-V83)))</f>
        <v>511.20000000000005</v>
      </c>
      <c r="O84" s="13">
        <f>N84*VLOOKUP('Données projet'!$B$9,Paramètres!$A$1:$I$89,3,0)*VLOOKUP('Données projet'!$B$9,Paramètres!$A$1:$I$89,5,0)</f>
        <v>239.24160000000003</v>
      </c>
      <c r="P84" s="13">
        <f t="shared" si="87"/>
        <v>58.276326982845887</v>
      </c>
      <c r="Q84" s="20">
        <f t="shared" si="54"/>
        <v>518.17705616178989</v>
      </c>
      <c r="R84" s="59">
        <f t="shared" si="55"/>
        <v>811.51038949512326</v>
      </c>
      <c r="S84" s="59">
        <f ca="1">AVERAGE(OFFSET($R$3,0,0,'Données projet'!$E$9+1,1))-AVERAGE(OFFSET($H$3,0,0,'Données projet'!$E$9+1,1))</f>
        <v>283.69036991773601</v>
      </c>
      <c r="T84" s="59">
        <f t="shared" si="88"/>
        <v>185.71711000275525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25.249766223703968</v>
      </c>
      <c r="AA84" s="21">
        <f>EXP(-LN(2)/25)*AA83+(1-EXP(-LN(2)/25))/(LN(2)/25)*Calculateur!V84*Calculateur!X84*VLOOKUP('Données projet'!$B$9,Paramètres!$A$1:$I$89,3,0)*0.475*44/12</f>
        <v>27.737497579273995</v>
      </c>
      <c r="AB84" s="21">
        <f>EXP(-LN(2)/2)*AB83+(1-EXP(-LN(2)/2))/(LN(2)/2)*V84*Y84*VLOOKUP('Données projet'!$B$9,Paramètres!$A$1:$I$89,3,0)*0.475*44/12</f>
        <v>2.1024043776571555E-3</v>
      </c>
      <c r="AC84" s="22">
        <f t="shared" si="57"/>
        <v>52.989366207355623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357.73044720459762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14.2</v>
      </c>
      <c r="N85" s="13">
        <f>IF('Données projet'!$A$36&gt;35,N84+M85-V84,IF(A85&lt;'Données projet'!$A$36,$K$205^A85,IF(A85='Données projet'!$A$36,'Données projet'!$B$36,N84+M85-V84)))</f>
        <v>525.40000000000009</v>
      </c>
      <c r="O85" s="13">
        <f>N85*VLOOKUP('Données projet'!$B$9,Paramètres!$A$1:$I$89,3,0)*VLOOKUP('Données projet'!$B$9,Paramètres!$A$1:$I$89,5,0)</f>
        <v>245.88720000000006</v>
      </c>
      <c r="P85" s="13">
        <f t="shared" si="87"/>
        <v>59.704398195633559</v>
      </c>
      <c r="Q85" s="20">
        <f t="shared" si="54"/>
        <v>532.23870019072854</v>
      </c>
      <c r="R85" s="59">
        <f t="shared" si="55"/>
        <v>825.57203352406191</v>
      </c>
      <c r="S85" s="59">
        <f ca="1">AVERAGE(OFFSET($R$3,0,0,'Données projet'!$E$9+1,1))-AVERAGE(OFFSET($H$3,0,0,'Données projet'!$E$9+1,1))</f>
        <v>283.69036991773601</v>
      </c>
      <c r="T85" s="59">
        <f t="shared" si="88"/>
        <v>185.71711000275525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24.754633708893824</v>
      </c>
      <c r="AA85" s="21">
        <f>EXP(-LN(2)/25)*AA84+(1-EXP(-LN(2)/25))/(LN(2)/25)*Calculateur!V85*Calculateur!X85*VLOOKUP('Données projet'!$B$9,Paramètres!$A$1:$I$89,3,0)*0.475*44/12</f>
        <v>26.979014249317146</v>
      </c>
      <c r="AB85" s="21">
        <f>EXP(-LN(2)/2)*AB84+(1-EXP(-LN(2)/2))/(LN(2)/2)*V85*Y85*VLOOKUP('Données projet'!$B$9,Paramètres!$A$1:$I$89,3,0)*0.475*44/12</f>
        <v>1.4866243922376579E-3</v>
      </c>
      <c r="AC85" s="22">
        <f t="shared" si="57"/>
        <v>51.735134582603202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358.92998587821728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14.2</v>
      </c>
      <c r="N86" s="13">
        <f>IF('Données projet'!$A$36&gt;35,N85+M86-V85,IF(A86&lt;'Données projet'!$A$36,$K$205^A86,IF(A86='Données projet'!$A$36,'Données projet'!$B$36,N85+M86-V85)))</f>
        <v>539.60000000000014</v>
      </c>
      <c r="O86" s="13">
        <f>N86*VLOOKUP('Données projet'!$B$9,Paramètres!$A$1:$I$89,3,0)*VLOOKUP('Données projet'!$B$9,Paramètres!$A$1:$I$89,5,0)</f>
        <v>252.53280000000004</v>
      </c>
      <c r="P86" s="13">
        <f t="shared" si="87"/>
        <v>61.127983255827928</v>
      </c>
      <c r="Q86" s="20">
        <f t="shared" si="54"/>
        <v>546.29253083723358</v>
      </c>
      <c r="R86" s="59">
        <f t="shared" si="55"/>
        <v>839.62586417056696</v>
      </c>
      <c r="S86" s="59">
        <f ca="1">AVERAGE(OFFSET($R$3,0,0,'Données projet'!$E$9+1,1))-AVERAGE(OFFSET($H$3,0,0,'Données projet'!$E$9+1,1))</f>
        <v>283.69036991773601</v>
      </c>
      <c r="T86" s="59">
        <f t="shared" si="88"/>
        <v>185.71711000275525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24.269210440698092</v>
      </c>
      <c r="AA86" s="21">
        <f>EXP(-LN(2)/25)*AA85+(1-EXP(-LN(2)/25))/(LN(2)/25)*Calculateur!V86*Calculateur!X86*VLOOKUP('Données projet'!$B$9,Paramètres!$A$1:$I$89,3,0)*0.475*44/12</f>
        <v>26.24127168590487</v>
      </c>
      <c r="AB86" s="21">
        <f>EXP(-LN(2)/2)*AB85+(1-EXP(-LN(2)/2))/(LN(2)/2)*V86*Y86*VLOOKUP('Données projet'!$B$9,Paramètres!$A$1:$I$89,3,0)*0.475*44/12</f>
        <v>1.0512021888285778E-3</v>
      </c>
      <c r="AC86" s="22">
        <f t="shared" si="57"/>
        <v>50.511533328791792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360.12917616411374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14.2</v>
      </c>
      <c r="N87" s="13">
        <f>IF('Données projet'!$A$36&gt;35,N86+M87-V86,IF(A87&lt;'Données projet'!$A$36,$K$205^A87,IF(A87='Données projet'!$A$36,'Données projet'!$B$36,N86+M87-V86)))</f>
        <v>553.80000000000018</v>
      </c>
      <c r="O87" s="13">
        <f>N87*VLOOKUP('Données projet'!$B$9,Paramètres!$A$1:$I$89,3,0)*VLOOKUP('Données projet'!$B$9,Paramètres!$A$1:$I$89,5,0)</f>
        <v>259.17840000000007</v>
      </c>
      <c r="P87" s="13">
        <f t="shared" si="87"/>
        <v>62.547213790970019</v>
      </c>
      <c r="Q87" s="20">
        <f t="shared" si="54"/>
        <v>560.33877735260626</v>
      </c>
      <c r="R87" s="59">
        <f t="shared" si="55"/>
        <v>853.67211068593951</v>
      </c>
      <c r="S87" s="59">
        <f ca="1">AVERAGE(OFFSET($R$3,0,0,'Données projet'!$E$9+1,1))-AVERAGE(OFFSET($H$3,0,0,'Données projet'!$E$9+1,1))</f>
        <v>283.69036991773601</v>
      </c>
      <c r="T87" s="59">
        <f t="shared" si="88"/>
        <v>185.71711000275525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23.79330602671272</v>
      </c>
      <c r="AA87" s="21">
        <f>EXP(-LN(2)/25)*AA86+(1-EXP(-LN(2)/25))/(LN(2)/25)*Calculateur!V87*Calculateur!X87*VLOOKUP('Données projet'!$B$9,Paramètres!$A$1:$I$89,3,0)*0.475*44/12</f>
        <v>25.523702731685297</v>
      </c>
      <c r="AB87" s="21">
        <f>EXP(-LN(2)/2)*AB86+(1-EXP(-LN(2)/2))/(LN(2)/2)*V87*Y87*VLOOKUP('Données projet'!$B$9,Paramètres!$A$1:$I$89,3,0)*0.475*44/12</f>
        <v>7.4331219611882896E-4</v>
      </c>
      <c r="AC87" s="22">
        <f t="shared" si="57"/>
        <v>49.317752070594139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361.32802268953901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14.2</v>
      </c>
      <c r="N88" s="13">
        <f>IF('Données projet'!$A$36&gt;35,N87+M88-V87,IF(A88&lt;'Données projet'!$A$36,$K$205^A88,IF(A88='Données projet'!$A$36,'Données projet'!$B$36,N87+M88-V87)))</f>
        <v>568.00000000000023</v>
      </c>
      <c r="O88" s="13">
        <f>N88*VLOOKUP('Données projet'!$B$9,Paramètres!$A$1:$I$89,3,0)*VLOOKUP('Données projet'!$B$9,Paramètres!$A$1:$I$89,5,0)</f>
        <v>265.82400000000013</v>
      </c>
      <c r="P88" s="13">
        <f t="shared" si="87"/>
        <v>63.962214293903585</v>
      </c>
      <c r="Q88" s="20">
        <f t="shared" si="54"/>
        <v>574.37765656188219</v>
      </c>
      <c r="R88" s="59">
        <f t="shared" si="55"/>
        <v>867.71098989521556</v>
      </c>
      <c r="S88" s="59">
        <f ca="1">AVERAGE(OFFSET($R$3,0,0,'Données projet'!$E$9+1,1))-AVERAGE(OFFSET($H$3,0,0,'Données projet'!$E$9+1,1))</f>
        <v>283.69036991773601</v>
      </c>
      <c r="T88" s="59">
        <f t="shared" si="88"/>
        <v>185.71711000275525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23.32673380801257</v>
      </c>
      <c r="AA88" s="21">
        <f>EXP(-LN(2)/25)*AA87+(1-EXP(-LN(2)/25))/(LN(2)/25)*Calculateur!V88*Calculateur!X88*VLOOKUP('Données projet'!$B$9,Paramètres!$A$1:$I$89,3,0)*0.475*44/12</f>
        <v>24.82575573825417</v>
      </c>
      <c r="AB88" s="21">
        <f>EXP(-LN(2)/2)*AB87+(1-EXP(-LN(2)/2))/(LN(2)/2)*V88*Y88*VLOOKUP('Données projet'!$B$9,Paramètres!$A$1:$I$89,3,0)*0.475*44/12</f>
        <v>5.2560109441428888E-4</v>
      </c>
      <c r="AC88" s="22">
        <f t="shared" si="57"/>
        <v>48.153015147361153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362.52652996660277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14.2</v>
      </c>
      <c r="N89" s="13">
        <f>IF('Données projet'!$A$36&gt;35,N88+M89-V88,IF(A89&lt;'Données projet'!$A$36,$K$205^A89,IF(A89='Données projet'!$A$36,'Données projet'!$B$36,N88+M89-V88)))</f>
        <v>582.20000000000027</v>
      </c>
      <c r="O89" s="13">
        <f>N89*VLOOKUP('Données projet'!$B$9,Paramètres!$A$1:$I$89,3,0)*VLOOKUP('Données projet'!$B$9,Paramètres!$A$1:$I$89,5,0)</f>
        <v>272.46960000000013</v>
      </c>
      <c r="P89" s="13">
        <f t="shared" si="87"/>
        <v>65.373102678064427</v>
      </c>
      <c r="Q89" s="20">
        <f t="shared" si="54"/>
        <v>588.40937383096241</v>
      </c>
      <c r="R89" s="59">
        <f t="shared" si="55"/>
        <v>881.74270716429578</v>
      </c>
      <c r="S89" s="59">
        <f ca="1">AVERAGE(OFFSET($R$3,0,0,'Données projet'!$E$9+1,1))-AVERAGE(OFFSET($H$3,0,0,'Données projet'!$E$9+1,1))</f>
        <v>283.69036991773601</v>
      </c>
      <c r="T89" s="59">
        <f t="shared" si="88"/>
        <v>185.71711000275525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22.869310785940176</v>
      </c>
      <c r="AA89" s="21">
        <f>EXP(-LN(2)/25)*AA88+(1-EXP(-LN(2)/25))/(LN(2)/25)*Calculateur!V89*Calculateur!X89*VLOOKUP('Données projet'!$B$9,Paramètres!$A$1:$I$89,3,0)*0.475*44/12</f>
        <v>24.146894142061857</v>
      </c>
      <c r="AB89" s="21">
        <f>EXP(-LN(2)/2)*AB88+(1-EXP(-LN(2)/2))/(LN(2)/2)*V89*Y89*VLOOKUP('Données projet'!$B$9,Paramètres!$A$1:$I$89,3,0)*0.475*44/12</f>
        <v>3.7165609805941448E-4</v>
      </c>
      <c r="AC89" s="22">
        <f t="shared" si="57"/>
        <v>47.016576584100093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363.72470239644252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14.2</v>
      </c>
      <c r="N90" s="13">
        <f>IF('Données projet'!$A$36&gt;35,N89+M90-V89,IF(A90&lt;'Données projet'!$A$36,$K$205^A90,IF(A90='Données projet'!$A$36,'Données projet'!$B$36,N89+M90-V89)))</f>
        <v>596.40000000000032</v>
      </c>
      <c r="O90" s="13">
        <f>N90*VLOOKUP('Données projet'!$B$9,Paramètres!$A$1:$I$89,3,0)*VLOOKUP('Données projet'!$B$9,Paramètres!$A$1:$I$89,5,0)</f>
        <v>279.11520000000013</v>
      </c>
      <c r="P90" s="13">
        <f t="shared" si="87"/>
        <v>66.779990777070125</v>
      </c>
      <c r="Q90" s="20">
        <f t="shared" si="54"/>
        <v>602.43412393673054</v>
      </c>
      <c r="R90" s="59">
        <f t="shared" si="55"/>
        <v>895.76745727006391</v>
      </c>
      <c r="S90" s="59">
        <f ca="1">AVERAGE(OFFSET($R$3,0,0,'Données projet'!$E$9+1,1))-AVERAGE(OFFSET($H$3,0,0,'Données projet'!$E$9+1,1))</f>
        <v>283.69036991773601</v>
      </c>
      <c r="T90" s="59">
        <f t="shared" si="88"/>
        <v>185.71711000275525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22.42085755033013</v>
      </c>
      <c r="AA90" s="21">
        <f>EXP(-LN(2)/25)*AA89+(1-EXP(-LN(2)/25))/(LN(2)/25)*Calculateur!V90*Calculateur!X90*VLOOKUP('Données projet'!$B$9,Paramètres!$A$1:$I$89,3,0)*0.475*44/12</f>
        <v>23.4865960519172</v>
      </c>
      <c r="AB90" s="21">
        <f>EXP(-LN(2)/2)*AB89+(1-EXP(-LN(2)/2))/(LN(2)/2)*V90*Y90*VLOOKUP('Données projet'!$B$9,Paramètres!$A$1:$I$89,3,0)*0.475*44/12</f>
        <v>2.6280054720714444E-4</v>
      </c>
      <c r="AC90" s="22">
        <f t="shared" si="57"/>
        <v>45.907716402794534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364.92254427319637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14.2</v>
      </c>
      <c r="N91" s="13">
        <f>IF('Données projet'!$A$36&gt;35,N90+M91-V90,IF(A91&lt;'Données projet'!$A$36,$K$205^A91,IF(A91='Données projet'!$A$36,'Données projet'!$B$36,N90+M91-V90)))</f>
        <v>610.60000000000036</v>
      </c>
      <c r="O91" s="13">
        <f>N91*VLOOKUP('Données projet'!$B$9,Paramètres!$A$1:$I$89,3,0)*VLOOKUP('Données projet'!$B$9,Paramètres!$A$1:$I$89,5,0)</f>
        <v>285.76080000000019</v>
      </c>
      <c r="P91" s="13">
        <f t="shared" si="87"/>
        <v>68.182984795389444</v>
      </c>
      <c r="Q91" s="20">
        <f t="shared" si="54"/>
        <v>616.45209185197029</v>
      </c>
      <c r="R91" s="59">
        <f t="shared" si="55"/>
        <v>909.78542518530367</v>
      </c>
      <c r="S91" s="59">
        <f ca="1">AVERAGE(OFFSET($R$3,0,0,'Données projet'!$E$9+1,1))-AVERAGE(OFFSET($H$3,0,0,'Données projet'!$E$9+1,1))</f>
        <v>283.69036991773601</v>
      </c>
      <c r="T91" s="59">
        <f t="shared" si="88"/>
        <v>185.71711000275525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21.981198209140931</v>
      </c>
      <c r="AA91" s="21">
        <f>EXP(-LN(2)/25)*AA90+(1-EXP(-LN(2)/25))/(LN(2)/25)*Calculateur!V91*Calculateur!X91*VLOOKUP('Données projet'!$B$9,Paramètres!$A$1:$I$89,3,0)*0.475*44/12</f>
        <v>22.844353847771117</v>
      </c>
      <c r="AB91" s="21">
        <f>EXP(-LN(2)/2)*AB90+(1-EXP(-LN(2)/2))/(LN(2)/2)*V91*Y91*VLOOKUP('Données projet'!$B$9,Paramètres!$A$1:$I$89,3,0)*0.475*44/12</f>
        <v>1.8582804902970724E-4</v>
      </c>
      <c r="AC91" s="22">
        <f t="shared" si="57"/>
        <v>44.825737884961072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366.12005978779001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14.2</v>
      </c>
      <c r="N92" s="13">
        <f>IF('Données projet'!$A$36&gt;35,N91+M92-V91,IF(A92&lt;'Données projet'!$A$36,$K$205^A92,IF(A92='Données projet'!$A$36,'Données projet'!$B$36,N91+M92-V91)))</f>
        <v>624.80000000000041</v>
      </c>
      <c r="O92" s="13">
        <f>N92*VLOOKUP('Données projet'!$B$9,Paramètres!$A$1:$I$89,3,0)*VLOOKUP('Données projet'!$B$9,Paramètres!$A$1:$I$89,5,0)</f>
        <v>292.40640000000019</v>
      </c>
      <c r="P92" s="13">
        <f t="shared" si="87"/>
        <v>69.582185715907499</v>
      </c>
      <c r="Q92" s="20">
        <f t="shared" si="54"/>
        <v>630.46345345520592</v>
      </c>
      <c r="R92" s="59">
        <f t="shared" si="55"/>
        <v>923.79678678853929</v>
      </c>
      <c r="S92" s="59">
        <f ca="1">AVERAGE(OFFSET($R$3,0,0,'Données projet'!$E$9+1,1))-AVERAGE(OFFSET($H$3,0,0,'Données projet'!$E$9+1,1))</f>
        <v>283.69036991773601</v>
      </c>
      <c r="T92" s="59">
        <f t="shared" si="88"/>
        <v>185.71711000275525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21.550160319466734</v>
      </c>
      <c r="AA92" s="21">
        <f>EXP(-LN(2)/25)*AA91+(1-EXP(-LN(2)/25))/(LN(2)/25)*Calculateur!V92*Calculateur!X92*VLOOKUP('Données projet'!$B$9,Paramètres!$A$1:$I$89,3,0)*0.475*44/12</f>
        <v>22.219673790471457</v>
      </c>
      <c r="AB92" s="21">
        <f>EXP(-LN(2)/2)*AB91+(1-EXP(-LN(2)/2))/(LN(2)/2)*V92*Y92*VLOOKUP('Données projet'!$B$9,Paramètres!$A$1:$I$89,3,0)*0.475*44/12</f>
        <v>1.3140027360357222E-4</v>
      </c>
      <c r="AC92" s="22">
        <f t="shared" si="57"/>
        <v>43.76996551021179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367.31725303154894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639</v>
      </c>
      <c r="L93" s="12">
        <f>VLOOKUP(A93,'Données projet'!$A$35:$I$55,9,0)</f>
        <v>14.2</v>
      </c>
      <c r="M93" s="12">
        <f t="array" ref="M93">INDEX(L:L,MIN(IF(ISNUMBER(L93:L289),ROW(L93:L289),"")))</f>
        <v>14.2</v>
      </c>
      <c r="N93" s="13">
        <f>IF('Données projet'!$A$36&gt;35,N92+M93-V92,IF(A93&lt;'Données projet'!$A$36,$K$205^A93,IF(A93='Données projet'!$A$36,'Données projet'!$B$36,N92+M93-V92)))</f>
        <v>639.00000000000045</v>
      </c>
      <c r="O93" s="13">
        <f>N93*VLOOKUP('Données projet'!$B$9,Paramètres!$A$1:$I$89,3,0)*VLOOKUP('Données projet'!$B$9,Paramètres!$A$1:$I$89,5,0)</f>
        <v>299.05200000000025</v>
      </c>
      <c r="P93" s="13">
        <f t="shared" si="87"/>
        <v>70.977689669395517</v>
      </c>
      <c r="Q93" s="20">
        <f t="shared" si="54"/>
        <v>644.4683761741976</v>
      </c>
      <c r="R93" s="59">
        <f t="shared" si="55"/>
        <v>937.80170950753086</v>
      </c>
      <c r="S93" s="59">
        <f ca="1">AVERAGE(OFFSET($R$3,0,0,'Données projet'!$E$9+1,1))-AVERAGE(OFFSET($H$3,0,0,'Données projet'!$E$9+1,1))</f>
        <v>283.69036991773601</v>
      </c>
      <c r="T93" s="59">
        <f t="shared" si="88"/>
        <v>185.71711000275525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57</v>
      </c>
      <c r="W93" s="16">
        <f>IF(ISNA(VLOOKUP(A93,'Données projet'!$A$35:$I$55,5,0)),0%,VLOOKUP(A93,'Données projet'!$A$35:$I$55,5,0)*VLOOKUP('Données projet'!$B$9,Paramètres!$A$1:$I$89,7,0))</f>
        <v>0.38500000000000001</v>
      </c>
      <c r="X93" s="16">
        <f>IF(ISNA(VLOOKUP(A93,'Données projet'!$A$35:$I$55,6,0)),0%,VLOOKUP(A93,'Données projet'!$A$35:$I$55,6,0)*VLOOKUP('Données projet'!$B$9,Paramètres!$A$1:$I$89,7,0))</f>
        <v>0.16500000000000001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34.751736684024387</v>
      </c>
      <c r="AA93" s="21">
        <f>EXP(-LN(2)/25)*AA92+(1-EXP(-LN(2)/25))/(LN(2)/25)*Calculateur!V93*Calculateur!X93*VLOOKUP('Données projet'!$B$9,Paramètres!$A$1:$I$89,3,0)*0.475*44/12</f>
        <v>27.428012076896636</v>
      </c>
      <c r="AB93" s="21">
        <f>EXP(-LN(2)/2)*AB92+(1-EXP(-LN(2)/2))/(LN(2)/2)*V93*Y93*VLOOKUP('Données projet'!$B$9,Paramètres!$A$1:$I$89,3,0)*0.475*44/12</f>
        <v>9.2914024514853619E-5</v>
      </c>
      <c r="AC93" s="22">
        <f t="shared" si="57"/>
        <v>62.179841674945536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368.51412799964498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13.8</v>
      </c>
      <c r="N94" s="13">
        <f>IF('Données projet'!$A$36&gt;35,N93+M94-V93,IF(A94&lt;'Données projet'!$A$36,$K$205^A94,IF(A94='Données projet'!$A$36,'Données projet'!$B$36,N93+M94-V93)))</f>
        <v>595.80000000000041</v>
      </c>
      <c r="O94" s="13">
        <f>N94*VLOOKUP('Données projet'!$B$9,Paramètres!$A$1:$I$89,3,0)*VLOOKUP('Données projet'!$B$9,Paramètres!$A$1:$I$89,5,0)</f>
        <v>278.83440000000019</v>
      </c>
      <c r="P94" s="13">
        <f t="shared" si="87"/>
        <v>66.720624322271306</v>
      </c>
      <c r="Q94" s="20">
        <f t="shared" si="54"/>
        <v>601.84166736128952</v>
      </c>
      <c r="R94" s="59">
        <f t="shared" si="55"/>
        <v>895.1750006946229</v>
      </c>
      <c r="S94" s="59">
        <f ca="1">AVERAGE(OFFSET($R$3,0,0,'Données projet'!$E$9+1,1))-AVERAGE(OFFSET($H$3,0,0,'Données projet'!$E$9+1,1))</f>
        <v>283.69036991773601</v>
      </c>
      <c r="T94" s="59">
        <f t="shared" si="88"/>
        <v>185.71711000275525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34.070276324117067</v>
      </c>
      <c r="AA94" s="21">
        <f>EXP(-LN(2)/25)*AA93+(1-EXP(-LN(2)/25))/(LN(2)/25)*Calculateur!V94*Calculateur!X94*VLOOKUP('Données projet'!$B$9,Paramètres!$A$1:$I$89,3,0)*0.475*44/12</f>
        <v>26.67799164427743</v>
      </c>
      <c r="AB94" s="21">
        <f>EXP(-LN(2)/2)*AB93+(1-EXP(-LN(2)/2))/(LN(2)/2)*V94*Y94*VLOOKUP('Données projet'!$B$9,Paramètres!$A$1:$I$89,3,0)*0.475*44/12</f>
        <v>6.5700136801786111E-5</v>
      </c>
      <c r="AC94" s="22">
        <f t="shared" si="57"/>
        <v>60.748333668531302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369.71068859438765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13.8</v>
      </c>
      <c r="N95" s="13">
        <f>IF('Données projet'!$A$36&gt;35,N94+M95-V94,IF(A95&lt;'Données projet'!$A$36,$K$205^A95,IF(A95='Données projet'!$A$36,'Données projet'!$B$36,N94+M95-V94)))</f>
        <v>609.60000000000036</v>
      </c>
      <c r="O95" s="13">
        <f>N95*VLOOKUP('Données projet'!$B$9,Paramètres!$A$1:$I$89,3,0)*VLOOKUP('Données projet'!$B$9,Paramètres!$A$1:$I$89,5,0)</f>
        <v>285.29280000000017</v>
      </c>
      <c r="P95" s="13">
        <f t="shared" si="87"/>
        <v>68.084307705106141</v>
      </c>
      <c r="Q95" s="20">
        <f t="shared" si="54"/>
        <v>615.46512925306013</v>
      </c>
      <c r="R95" s="59">
        <f t="shared" si="55"/>
        <v>908.7984625863935</v>
      </c>
      <c r="S95" s="59">
        <f ca="1">AVERAGE(OFFSET($R$3,0,0,'Données projet'!$E$9+1,1))-AVERAGE(OFFSET($H$3,0,0,'Données projet'!$E$9+1,1))</f>
        <v>283.69036991773601</v>
      </c>
      <c r="T95" s="59">
        <f t="shared" si="88"/>
        <v>185.71711000275525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33.402178986217756</v>
      </c>
      <c r="AA95" s="21">
        <f>EXP(-LN(2)/25)*AA94+(1-EXP(-LN(2)/25))/(LN(2)/25)*Calculateur!V95*Calculateur!X95*VLOOKUP('Données projet'!$B$9,Paramètres!$A$1:$I$89,3,0)*0.475*44/12</f>
        <v>25.948480559830056</v>
      </c>
      <c r="AB95" s="21">
        <f>EXP(-LN(2)/2)*AB94+(1-EXP(-LN(2)/2))/(LN(2)/2)*V95*Y95*VLOOKUP('Données projet'!$B$9,Paramètres!$A$1:$I$89,3,0)*0.475*44/12</f>
        <v>4.645701225742681E-5</v>
      </c>
      <c r="AC95" s="22">
        <f t="shared" si="57"/>
        <v>59.350706003060068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370.90693862836775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13.8</v>
      </c>
      <c r="N96" s="13">
        <f>IF('Données projet'!$A$36&gt;35,N95+M96-V95,IF(A96&lt;'Données projet'!$A$36,$K$205^A96,IF(A96='Données projet'!$A$36,'Données projet'!$B$36,N95+M96-V95)))</f>
        <v>623.40000000000032</v>
      </c>
      <c r="O96" s="13">
        <f>N96*VLOOKUP('Données projet'!$B$9,Paramètres!$A$1:$I$89,3,0)*VLOOKUP('Données projet'!$B$9,Paramètres!$A$1:$I$89,5,0)</f>
        <v>291.75120000000015</v>
      </c>
      <c r="P96" s="13">
        <f t="shared" si="87"/>
        <v>69.444402134713101</v>
      </c>
      <c r="Q96" s="20">
        <f t="shared" si="54"/>
        <v>629.08234038462558</v>
      </c>
      <c r="R96" s="59">
        <f t="shared" si="55"/>
        <v>922.41567371795895</v>
      </c>
      <c r="S96" s="59">
        <f ca="1">AVERAGE(OFFSET($R$3,0,0,'Données projet'!$E$9+1,1))-AVERAGE(OFFSET($H$3,0,0,'Données projet'!$E$9+1,1))</f>
        <v>283.69036991773601</v>
      </c>
      <c r="T96" s="59">
        <f t="shared" si="88"/>
        <v>185.71711000275525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32.747182629615509</v>
      </c>
      <c r="AA96" s="21">
        <f>EXP(-LN(2)/25)*AA95+(1-EXP(-LN(2)/25))/(LN(2)/25)*Calculateur!V96*Calculateur!X96*VLOOKUP('Données projet'!$B$9,Paramètres!$A$1:$I$89,3,0)*0.475*44/12</f>
        <v>25.238917994350217</v>
      </c>
      <c r="AB96" s="21">
        <f>EXP(-LN(2)/2)*AB95+(1-EXP(-LN(2)/2))/(LN(2)/2)*V96*Y96*VLOOKUP('Données projet'!$B$9,Paramètres!$A$1:$I$89,3,0)*0.475*44/12</f>
        <v>3.2850068400893055E-5</v>
      </c>
      <c r="AC96" s="22">
        <f t="shared" si="57"/>
        <v>57.986133474034126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372.10288182746245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13.8</v>
      </c>
      <c r="N97" s="13">
        <f>IF('Données projet'!$A$36&gt;35,N96+M97-V96,IF(A97&lt;'Données projet'!$A$36,$K$205^A97,IF(A97='Données projet'!$A$36,'Données projet'!$B$36,N96+M97-V96)))</f>
        <v>637.20000000000027</v>
      </c>
      <c r="O97" s="13">
        <f>N97*VLOOKUP('Données projet'!$B$9,Paramètres!$A$1:$I$89,3,0)*VLOOKUP('Données projet'!$B$9,Paramètres!$A$1:$I$89,5,0)</f>
        <v>298.20960000000014</v>
      </c>
      <c r="P97" s="13">
        <f t="shared" si="87"/>
        <v>70.800996206696354</v>
      </c>
      <c r="Q97" s="20">
        <f t="shared" si="54"/>
        <v>642.69345505999638</v>
      </c>
      <c r="R97" s="59">
        <f t="shared" si="55"/>
        <v>936.02678839332975</v>
      </c>
      <c r="S97" s="59">
        <f ca="1">AVERAGE(OFFSET($R$3,0,0,'Données projet'!$E$9+1,1))-AVERAGE(OFFSET($H$3,0,0,'Données projet'!$E$9+1,1))</f>
        <v>283.69036991773601</v>
      </c>
      <c r="T97" s="59">
        <f t="shared" si="88"/>
        <v>185.71711000275525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32.105030352057902</v>
      </c>
      <c r="AA97" s="21">
        <f>EXP(-LN(2)/25)*AA96+(1-EXP(-LN(2)/25))/(LN(2)/25)*Calculateur!V97*Calculateur!X97*VLOOKUP('Données projet'!$B$9,Paramètres!$A$1:$I$89,3,0)*0.475*44/12</f>
        <v>24.548758454537698</v>
      </c>
      <c r="AB97" s="21">
        <f>EXP(-LN(2)/2)*AB96+(1-EXP(-LN(2)/2))/(LN(2)/2)*V97*Y97*VLOOKUP('Données projet'!$B$9,Paramètres!$A$1:$I$89,3,0)*0.475*44/12</f>
        <v>2.3228506128713405E-5</v>
      </c>
      <c r="AC97" s="22">
        <f t="shared" si="57"/>
        <v>56.65381203510173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373.29852183370838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13.8</v>
      </c>
      <c r="N98" s="13">
        <f>IF('Données projet'!$A$36&gt;35,N97+M98-V97,IF(A98&lt;'Données projet'!$A$36,$K$205^A98,IF(A98='Données projet'!$A$36,'Données projet'!$B$36,N97+M98-V97)))</f>
        <v>651.00000000000023</v>
      </c>
      <c r="O98" s="13">
        <f>N98*VLOOKUP('Données projet'!$B$9,Paramètres!$A$1:$I$89,3,0)*VLOOKUP('Données projet'!$B$9,Paramètres!$A$1:$I$89,5,0)</f>
        <v>304.66800000000012</v>
      </c>
      <c r="P98" s="13">
        <f t="shared" si="87"/>
        <v>72.154174460006061</v>
      </c>
      <c r="Q98" s="20">
        <f t="shared" si="54"/>
        <v>656.29862051784403</v>
      </c>
      <c r="R98" s="59">
        <f t="shared" si="55"/>
        <v>949.63195385117729</v>
      </c>
      <c r="S98" s="59">
        <f ca="1">AVERAGE(OFFSET($R$3,0,0,'Données projet'!$E$9+1,1))-AVERAGE(OFFSET($H$3,0,0,'Données projet'!$E$9+1,1))</f>
        <v>283.69036991773601</v>
      </c>
      <c r="T98" s="59">
        <f t="shared" si="88"/>
        <v>185.71711000275525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31.475470288988987</v>
      </c>
      <c r="AA98" s="21">
        <f>EXP(-LN(2)/25)*AA97+(1-EXP(-LN(2)/25))/(LN(2)/25)*Calculateur!V98*Calculateur!X98*VLOOKUP('Données projet'!$B$9,Paramètres!$A$1:$I$89,3,0)*0.475*44/12</f>
        <v>23.877471363635266</v>
      </c>
      <c r="AB98" s="21">
        <f>EXP(-LN(2)/2)*AB97+(1-EXP(-LN(2)/2))/(LN(2)/2)*V98*Y98*VLOOKUP('Données projet'!$B$9,Paramètres!$A$1:$I$89,3,0)*0.475*44/12</f>
        <v>1.6425034200446528E-5</v>
      </c>
      <c r="AC98" s="22">
        <f t="shared" si="57"/>
        <v>55.352958077658457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374.49386220805047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13.8</v>
      </c>
      <c r="N99" s="13">
        <f>IF('Données projet'!$A$36&gt;35,N98+M99-V98,IF(A99&lt;'Données projet'!$A$36,$K$205^A99,IF(A99='Données projet'!$A$36,'Données projet'!$B$36,N98+M99-V98)))</f>
        <v>664.80000000000018</v>
      </c>
      <c r="O99" s="13">
        <f>N99*VLOOKUP('Données projet'!$B$9,Paramètres!$A$1:$I$89,3,0)*VLOOKUP('Données projet'!$B$9,Paramètres!$A$1:$I$89,5,0)</f>
        <v>311.1264000000001</v>
      </c>
      <c r="P99" s="13">
        <f t="shared" si="87"/>
        <v>73.50401764467901</v>
      </c>
      <c r="Q99" s="20">
        <f t="shared" ref="Q99:Q130" si="107">(O99+P99)*0.475*44/12</f>
        <v>669.89797739781613</v>
      </c>
      <c r="R99" s="59">
        <f t="shared" si="55"/>
        <v>963.23131073114951</v>
      </c>
      <c r="S99" s="59">
        <f ca="1">AVERAGE(OFFSET($R$3,0,0,'Données projet'!$E$9+1,1))-AVERAGE(OFFSET($H$3,0,0,'Données projet'!$E$9+1,1))</f>
        <v>283.69036991773601</v>
      </c>
      <c r="T99" s="59">
        <f t="shared" si="88"/>
        <v>185.71711000275525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30.85825551476313</v>
      </c>
      <c r="AA99" s="21">
        <f>EXP(-LN(2)/25)*AA98+(1-EXP(-LN(2)/25))/(LN(2)/25)*Calculateur!V99*Calculateur!X99*VLOOKUP('Données projet'!$B$9,Paramètres!$A$1:$I$89,3,0)*0.475*44/12</f>
        <v>23.224540653535012</v>
      </c>
      <c r="AB99" s="21">
        <f>EXP(-LN(2)/2)*AB98+(1-EXP(-LN(2)/2))/(LN(2)/2)*V99*Y99*VLOOKUP('Données projet'!$B$9,Paramètres!$A$1:$I$89,3,0)*0.475*44/12</f>
        <v>1.1614253064356702E-5</v>
      </c>
      <c r="AC99" s="22">
        <f t="shared" si="57"/>
        <v>54.082807782551207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375.68890643297289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13.8</v>
      </c>
      <c r="N100" s="13">
        <f>IF('Données projet'!$A$36&gt;35,N99+M100-V99,IF(A100&lt;'Données projet'!$A$36,$K$205^A100,IF(A100='Données projet'!$A$36,'Données projet'!$B$36,N99+M100-V99)))</f>
        <v>678.60000000000014</v>
      </c>
      <c r="O100" s="13">
        <f>N100*VLOOKUP('Données projet'!$B$9,Paramètres!$A$1:$I$89,3,0)*VLOOKUP('Données projet'!$B$9,Paramètres!$A$1:$I$89,5,0)</f>
        <v>317.58480000000009</v>
      </c>
      <c r="P100" s="13">
        <f t="shared" si="87"/>
        <v>74.85060296671989</v>
      </c>
      <c r="Q100" s="20">
        <f t="shared" si="107"/>
        <v>683.49166016703714</v>
      </c>
      <c r="R100" s="59">
        <f t="shared" si="55"/>
        <v>976.82499350037051</v>
      </c>
      <c r="S100" s="59">
        <f ca="1">AVERAGE(OFFSET($R$3,0,0,'Données projet'!$E$9+1,1))-AVERAGE(OFFSET($H$3,0,0,'Données projet'!$E$9+1,1))</f>
        <v>283.69036991773601</v>
      </c>
      <c r="T100" s="59">
        <f t="shared" si="88"/>
        <v>185.71711000275525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30.253143945796001</v>
      </c>
      <c r="AA100" s="21">
        <f>EXP(-LN(2)/25)*AA99+(1-EXP(-LN(2)/25))/(LN(2)/25)*Calculateur!V100*Calculateur!X100*VLOOKUP('Données projet'!$B$9,Paramètres!$A$1:$I$89,3,0)*0.475*44/12</f>
        <v>22.589464368038584</v>
      </c>
      <c r="AB100" s="21">
        <f>EXP(-LN(2)/2)*AB99+(1-EXP(-LN(2)/2))/(LN(2)/2)*V100*Y100*VLOOKUP('Données projet'!$B$9,Paramètres!$A$1:$I$89,3,0)*0.475*44/12</f>
        <v>8.2125171002232638E-6</v>
      </c>
      <c r="AC100" s="22">
        <f t="shared" si="57"/>
        <v>52.842616526351691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376.88365791501889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13.8</v>
      </c>
      <c r="N101" s="13">
        <f>IF('Données projet'!$A$36&gt;35,N100+M101-V100,IF(A101&lt;'Données projet'!$A$36,$K$205^A101,IF(A101='Données projet'!$A$36,'Données projet'!$B$36,N100+M101-V100)))</f>
        <v>692.40000000000009</v>
      </c>
      <c r="O101" s="13">
        <f>N101*VLOOKUP('Données projet'!$B$9,Paramètres!$A$1:$I$89,3,0)*VLOOKUP('Données projet'!$B$9,Paramètres!$A$1:$I$89,5,0)</f>
        <v>324.04320000000001</v>
      </c>
      <c r="P101" s="13">
        <f t="shared" si="87"/>
        <v>76.194004312501292</v>
      </c>
      <c r="Q101" s="20">
        <f t="shared" si="107"/>
        <v>697.07979751093978</v>
      </c>
      <c r="R101" s="59">
        <f t="shared" si="55"/>
        <v>990.41313084427316</v>
      </c>
      <c r="S101" s="59">
        <f ca="1">AVERAGE(OFFSET($R$3,0,0,'Données projet'!$E$9+1,1))-AVERAGE(OFFSET($H$3,0,0,'Données projet'!$E$9+1,1))</f>
        <v>283.69036991773601</v>
      </c>
      <c r="T101" s="59">
        <f t="shared" si="88"/>
        <v>185.71711000275525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29.659898245614706</v>
      </c>
      <c r="AA101" s="21">
        <f>EXP(-LN(2)/25)*AA100+(1-EXP(-LN(2)/25))/(LN(2)/25)*Calculateur!V101*Calculateur!X101*VLOOKUP('Données projet'!$B$9,Paramètres!$A$1:$I$89,3,0)*0.475*44/12</f>
        <v>21.971754276966266</v>
      </c>
      <c r="AB101" s="21">
        <f>EXP(-LN(2)/2)*AB100+(1-EXP(-LN(2)/2))/(LN(2)/2)*V101*Y101*VLOOKUP('Données projet'!$B$9,Paramètres!$A$1:$I$89,3,0)*0.475*44/12</f>
        <v>5.8071265321783512E-6</v>
      </c>
      <c r="AC101" s="22">
        <f t="shared" si="57"/>
        <v>51.631658329707506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378.07811998720388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13.8</v>
      </c>
      <c r="N102" s="13">
        <f>IF('Données projet'!$A$36&gt;35,N101+M102-V101,IF(A102&lt;'Données projet'!$A$36,$K$205^A102,IF(A102='Données projet'!$A$36,'Données projet'!$B$36,N101+M102-V101)))</f>
        <v>706.2</v>
      </c>
      <c r="O102" s="13">
        <f>N102*VLOOKUP('Données projet'!$B$9,Paramètres!$A$1:$I$89,3,0)*VLOOKUP('Données projet'!$B$9,Paramètres!$A$1:$I$89,5,0)</f>
        <v>330.5016</v>
      </c>
      <c r="P102" s="13">
        <f t="shared" si="87"/>
        <v>77.534292454767851</v>
      </c>
      <c r="Q102" s="20">
        <f t="shared" si="107"/>
        <v>710.66251269205395</v>
      </c>
      <c r="R102" s="59">
        <f t="shared" si="55"/>
        <v>1003.9958460253872</v>
      </c>
      <c r="S102" s="59">
        <f ca="1">AVERAGE(OFFSET($R$3,0,0,'Données projet'!$E$9+1,1))-AVERAGE(OFFSET($H$3,0,0,'Données projet'!$E$9+1,1))</f>
        <v>283.69036991773601</v>
      </c>
      <c r="T102" s="59">
        <f t="shared" si="88"/>
        <v>185.71711000275525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29.078285731769817</v>
      </c>
      <c r="AA102" s="21">
        <f>EXP(-LN(2)/25)*AA101+(1-EXP(-LN(2)/25))/(LN(2)/25)*Calculateur!V102*Calculateur!X102*VLOOKUP('Données projet'!$B$9,Paramètres!$A$1:$I$89,3,0)*0.475*44/12</f>
        <v>21.370935500818284</v>
      </c>
      <c r="AB102" s="21">
        <f>EXP(-LN(2)/2)*AB101+(1-EXP(-LN(2)/2))/(LN(2)/2)*V102*Y102*VLOOKUP('Données projet'!$B$9,Paramètres!$A$1:$I$89,3,0)*0.475*44/12</f>
        <v>4.1062585501116319E-6</v>
      </c>
      <c r="AC102" s="22">
        <f t="shared" si="57"/>
        <v>50.449225338846652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379.27229591132925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720</v>
      </c>
      <c r="L103" s="12">
        <f>VLOOKUP(A103,'Données projet'!$A$35:$I$55,9,0)</f>
        <v>13.8</v>
      </c>
      <c r="M103" s="12">
        <f t="array" ref="M103">INDEX(L:L,MIN(IF(ISNUMBER(L103:L299),ROW(L103:L299),"")))</f>
        <v>13.8</v>
      </c>
      <c r="N103" s="13">
        <f>IF('Données projet'!$A$36&gt;35,N102+M103-V102,IF(A103&lt;'Données projet'!$A$36,$K$205^A103,IF(A103='Données projet'!$A$36,'Données projet'!$B$36,N102+M103-V102)))</f>
        <v>720</v>
      </c>
      <c r="O103" s="13">
        <f>N103*VLOOKUP('Données projet'!$B$9,Paramètres!$A$1:$I$89,3,0)*VLOOKUP('Données projet'!$B$9,Paramètres!$A$1:$I$89,5,0)</f>
        <v>336.96</v>
      </c>
      <c r="P103" s="13">
        <f t="shared" si="87"/>
        <v>78.871535242083567</v>
      </c>
      <c r="Q103" s="20">
        <f t="shared" si="107"/>
        <v>724.23992387996213</v>
      </c>
      <c r="R103" s="59">
        <f t="shared" si="55"/>
        <v>1017.5732572132954</v>
      </c>
      <c r="S103" s="59">
        <f ca="1">AVERAGE(OFFSET($R$3,0,0,'Données projet'!$E$9+1,1))-AVERAGE(OFFSET($H$3,0,0,'Données projet'!$E$9+1,1))</f>
        <v>283.69036991773601</v>
      </c>
      <c r="T103" s="59">
        <f t="shared" si="88"/>
        <v>185.71711000275525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720</v>
      </c>
      <c r="W103" s="16">
        <f>IF(ISNA(VLOOKUP(A103,'Données projet'!$A$35:$I$55,5,0)),0%,VLOOKUP(A103,'Données projet'!$A$35:$I$55,5,0)*VLOOKUP('Données projet'!$B$9,Paramètres!$A$1:$I$89,7,0))</f>
        <v>0.49500000000000005</v>
      </c>
      <c r="X103" s="16">
        <f>IF(ISNA(VLOOKUP(A103,'Données projet'!$A$35:$I$55,6,0)),0%,VLOOKUP(A103,'Données projet'!$A$35:$I$55,6,0)*VLOOKUP('Données projet'!$B$9,Paramètres!$A$1:$I$89,7,0))</f>
        <v>5.5000000000000007E-2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249.772661942502</v>
      </c>
      <c r="AA103" s="21">
        <f>EXP(-LN(2)/25)*AA102+(1-EXP(-LN(2)/25))/(LN(2)/25)*Calculateur!V103*Calculateur!X103*VLOOKUP('Données projet'!$B$9,Paramètres!$A$1:$I$89,3,0)*0.475*44/12</f>
        <v>45.274699554994413</v>
      </c>
      <c r="AB103" s="21">
        <f>EXP(-LN(2)/2)*AB102+(1-EXP(-LN(2)/2))/(LN(2)/2)*V103*Y103*VLOOKUP('Données projet'!$B$9,Paramètres!$A$1:$I$89,3,0)*0.475*44/12</f>
        <v>2.9035632660891756E-6</v>
      </c>
      <c r="AC103" s="22">
        <f t="shared" si="57"/>
        <v>295.04736440105967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380.46618888020032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283.69036991773601</v>
      </c>
      <c r="T104" s="59">
        <f t="shared" si="88"/>
        <v>185.71711000275525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244.87477238809038</v>
      </c>
      <c r="AA104" s="21">
        <f>EXP(-LN(2)/25)*AA103+(1-EXP(-LN(2)/25))/(LN(2)/25)*Calculateur!V104*Calculateur!X104*VLOOKUP('Données projet'!$B$9,Paramètres!$A$1:$I$89,3,0)*0.475*44/12</f>
        <v>44.036660514770119</v>
      </c>
      <c r="AB104" s="21">
        <f>EXP(-LN(2)/2)*AB103+(1-EXP(-LN(2)/2))/(LN(2)/2)*V104*Y104*VLOOKUP('Données projet'!$B$9,Paramètres!$A$1:$I$89,3,0)*0.475*44/12</f>
        <v>2.053129275055816E-6</v>
      </c>
      <c r="AC104" s="22">
        <f t="shared" si="57"/>
        <v>288.91143495598976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381.6598020197543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283.69036991773601</v>
      </c>
      <c r="T105" s="59">
        <f t="shared" si="88"/>
        <v>185.71711000275525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240.07292746042313</v>
      </c>
      <c r="AA105" s="21">
        <f>EXP(-LN(2)/25)*AA104+(1-EXP(-LN(2)/25))/(LN(2)/25)*Calculateur!V105*Calculateur!X105*VLOOKUP('Données projet'!$B$9,Paramètres!$A$1:$I$89,3,0)*0.475*44/12</f>
        <v>42.8324757172064</v>
      </c>
      <c r="AB105" s="21">
        <f>EXP(-LN(2)/2)*AB104+(1-EXP(-LN(2)/2))/(LN(2)/2)*V105*Y105*VLOOKUP('Données projet'!$B$9,Paramètres!$A$1:$I$89,3,0)*0.475*44/12</f>
        <v>1.4517816330445878E-6</v>
      </c>
      <c r="AC105" s="22">
        <f t="shared" si="57"/>
        <v>282.90540462941118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382.85313839110199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283.69036991773601</v>
      </c>
      <c r="T106" s="59">
        <f t="shared" si="88"/>
        <v>185.71711000275525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235.36524378295121</v>
      </c>
      <c r="AA106" s="21">
        <f>EXP(-LN(2)/25)*AA105+(1-EXP(-LN(2)/25))/(LN(2)/25)*Calculateur!V106*Calculateur!X106*VLOOKUP('Données projet'!$B$9,Paramètres!$A$1:$I$89,3,0)*0.475*44/12</f>
        <v>41.661219416257389</v>
      </c>
      <c r="AB106" s="21">
        <f>EXP(-LN(2)/2)*AB105+(1-EXP(-LN(2)/2))/(LN(2)/2)*V106*Y106*VLOOKUP('Données projet'!$B$9,Paramètres!$A$1:$I$89,3,0)*0.475*44/12</f>
        <v>1.026564637527908E-6</v>
      </c>
      <c r="AC106" s="22">
        <f t="shared" si="57"/>
        <v>277.02646422577322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384.04620099248854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283.69036991773601</v>
      </c>
      <c r="T107" s="59">
        <f t="shared" si="88"/>
        <v>185.71711000275525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230.749874910991</v>
      </c>
      <c r="AA107" s="21">
        <f>EXP(-LN(2)/25)*AA106+(1-EXP(-LN(2)/25))/(LN(2)/25)*Calculateur!V107*Calculateur!X107*VLOOKUP('Données projet'!$B$9,Paramètres!$A$1:$I$89,3,0)*0.475*44/12</f>
        <v>40.521991180451522</v>
      </c>
      <c r="AB107" s="21">
        <f>EXP(-LN(2)/2)*AB106+(1-EXP(-LN(2)/2))/(LN(2)/2)*V107*Y107*VLOOKUP('Données projet'!$B$9,Paramètres!$A$1:$I$89,3,0)*0.475*44/12</f>
        <v>7.258908165222939E-7</v>
      </c>
      <c r="AC107" s="22">
        <f t="shared" si="57"/>
        <v>271.27186681733332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385.23899276117606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283.69036991773601</v>
      </c>
      <c r="T108" s="59">
        <f t="shared" si="88"/>
        <v>185.71711000275525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226.2250106075129</v>
      </c>
      <c r="AA108" s="21">
        <f>EXP(-LN(2)/25)*AA107+(1-EXP(-LN(2)/25))/(LN(2)/25)*Calculateur!V108*Calculateur!X108*VLOOKUP('Données projet'!$B$9,Paramètres!$A$1:$I$89,3,0)*0.475*44/12</f>
        <v>39.413915200663176</v>
      </c>
      <c r="AB108" s="21">
        <f>EXP(-LN(2)/2)*AB107+(1-EXP(-LN(2)/2))/(LN(2)/2)*V108*Y108*VLOOKUP('Données projet'!$B$9,Paramètres!$A$1:$I$89,3,0)*0.475*44/12</f>
        <v>5.1328231876395399E-7</v>
      </c>
      <c r="AC108" s="22">
        <f t="shared" si="57"/>
        <v>265.63892632145837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386.43151657525294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283.69036991773601</v>
      </c>
      <c r="T109" s="59">
        <f t="shared" si="88"/>
        <v>185.71711000275525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221.78887613313128</v>
      </c>
      <c r="AA109" s="21">
        <f>EXP(-LN(2)/25)*AA108+(1-EXP(-LN(2)/25))/(LN(2)/25)*Calculateur!V109*Calculateur!X109*VLOOKUP('Données projet'!$B$9,Paramètres!$A$1:$I$89,3,0)*0.475*44/12</f>
        <v>38.33613961681332</v>
      </c>
      <c r="AB109" s="21">
        <f>EXP(-LN(2)/2)*AB108+(1-EXP(-LN(2)/2))/(LN(2)/2)*V109*Y109*VLOOKUP('Données projet'!$B$9,Paramètres!$A$1:$I$89,3,0)*0.475*44/12</f>
        <v>3.6294540826114695E-7</v>
      </c>
      <c r="AC109" s="22">
        <f t="shared" si="57"/>
        <v>260.12501611289002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387.62377525537238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283.69036991773601</v>
      </c>
      <c r="T110" s="59">
        <f t="shared" si="88"/>
        <v>185.71711000275525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217.43973155001743</v>
      </c>
      <c r="AA110" s="21">
        <f>EXP(-LN(2)/25)*AA109+(1-EXP(-LN(2)/25))/(LN(2)/25)*Calculateur!V110*Calculateur!X110*VLOOKUP('Données projet'!$B$9,Paramètres!$A$1:$I$89,3,0)*0.475*44/12</f>
        <v>37.287835862981595</v>
      </c>
      <c r="AB110" s="21">
        <f>EXP(-LN(2)/2)*AB109+(1-EXP(-LN(2)/2))/(LN(2)/2)*V110*Y110*VLOOKUP('Données projet'!$B$9,Paramètres!$A$1:$I$89,3,0)*0.475*44/12</f>
        <v>2.5664115938197699E-7</v>
      </c>
      <c r="AC110" s="22">
        <f t="shared" si="57"/>
        <v>254.72756766964017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388.81577156642459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283.69036991773601</v>
      </c>
      <c r="T111" s="59">
        <f t="shared" si="88"/>
        <v>185.71711000275525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213.17587103946218</v>
      </c>
      <c r="AA111" s="21">
        <f>EXP(-LN(2)/25)*AA110+(1-EXP(-LN(2)/25))/(LN(2)/25)*Calculateur!V111*Calculateur!X111*VLOOKUP('Données projet'!$B$9,Paramètres!$A$1:$I$89,3,0)*0.475*44/12</f>
        <v>36.268198030426298</v>
      </c>
      <c r="AB111" s="21">
        <f>EXP(-LN(2)/2)*AB110+(1-EXP(-LN(2)/2))/(LN(2)/2)*V111*Y111*VLOOKUP('Données projet'!$B$9,Paramètres!$A$1:$I$89,3,0)*0.475*44/12</f>
        <v>1.8147270413057348E-7</v>
      </c>
      <c r="AC111" s="22">
        <f t="shared" si="57"/>
        <v>249.44406925136119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390.00750821914528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283.69036991773601</v>
      </c>
      <c r="T112" s="59">
        <f t="shared" si="88"/>
        <v>185.71711000275525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208.99562223282081</v>
      </c>
      <c r="AA112" s="21">
        <f>EXP(-LN(2)/25)*AA111+(1-EXP(-LN(2)/25))/(LN(2)/25)*Calculateur!V112*Calculateur!X112*VLOOKUP('Données projet'!$B$9,Paramètres!$A$1:$I$89,3,0)*0.475*44/12</f>
        <v>35.276442248022647</v>
      </c>
      <c r="AB112" s="21">
        <f>EXP(-LN(2)/2)*AB111+(1-EXP(-LN(2)/2))/(LN(2)/2)*V112*Y112*VLOOKUP('Données projet'!$B$9,Paramètres!$A$1:$I$89,3,0)*0.475*44/12</f>
        <v>1.283205796909885E-7</v>
      </c>
      <c r="AC112" s="22">
        <f t="shared" si="57"/>
        <v>244.27206460916403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391.19898787166267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283.69036991773601</v>
      </c>
      <c r="T113" s="59">
        <f t="shared" si="88"/>
        <v>185.71711000275525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204.89734555557766</v>
      </c>
      <c r="AA113" s="21">
        <f>EXP(-LN(2)/25)*AA112+(1-EXP(-LN(2)/25))/(LN(2)/25)*Calculateur!V113*Calculateur!X113*VLOOKUP('Données projet'!$B$9,Paramètres!$A$1:$I$89,3,0)*0.475*44/12</f>
        <v>34.311806079642999</v>
      </c>
      <c r="AB113" s="21">
        <f>EXP(-LN(2)/2)*AB112+(1-EXP(-LN(2)/2))/(LN(2)/2)*V113*Y113*VLOOKUP('Données projet'!$B$9,Paramètres!$A$1:$I$89,3,0)*0.475*44/12</f>
        <v>9.0736352065286738E-8</v>
      </c>
      <c r="AC113" s="22">
        <f t="shared" si="57"/>
        <v>239.20915172595701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392.39021313098795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283.69036991773601</v>
      </c>
      <c r="T114" s="59">
        <f t="shared" si="88"/>
        <v>185.71711000275525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200.8794335842733</v>
      </c>
      <c r="AA114" s="21">
        <f>EXP(-LN(2)/25)*AA113+(1-EXP(-LN(2)/25))/(LN(2)/25)*Calculateur!V114*Calculateur!X114*VLOOKUP('Données projet'!$B$9,Paramètres!$A$1:$I$89,3,0)*0.475*44/12</f>
        <v>33.373547938015697</v>
      </c>
      <c r="AB114" s="21">
        <f>EXP(-LN(2)/2)*AB113+(1-EXP(-LN(2)/2))/(LN(2)/2)*V114*Y114*VLOOKUP('Données projet'!$B$9,Paramètres!$A$1:$I$89,3,0)*0.475*44/12</f>
        <v>6.4160289845494249E-8</v>
      </c>
      <c r="AC114" s="22">
        <f t="shared" si="57"/>
        <v>234.25298158644929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393.581186554449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283.69036991773601</v>
      </c>
      <c r="T115" s="59">
        <f t="shared" si="88"/>
        <v>185.71711000275525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196.94031041604191</v>
      </c>
      <c r="AA115" s="21">
        <f>EXP(-LN(2)/25)*AA114+(1-EXP(-LN(2)/25))/(LN(2)/25)*Calculateur!V115*Calculateur!X115*VLOOKUP('Données projet'!$B$9,Paramètres!$A$1:$I$89,3,0)*0.475*44/12</f>
        <v>32.460946514612047</v>
      </c>
      <c r="AB115" s="21">
        <f>EXP(-LN(2)/2)*AB114+(1-EXP(-LN(2)/2))/(LN(2)/2)*V115*Y115*VLOOKUP('Données projet'!$B$9,Paramètres!$A$1:$I$89,3,0)*0.475*44/12</f>
        <v>4.5368176032643369E-8</v>
      </c>
      <c r="AC115" s="22">
        <f t="shared" si="57"/>
        <v>229.40125697602215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394.77191065107274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283.69036991773601</v>
      </c>
      <c r="T116" s="59">
        <f t="shared" si="88"/>
        <v>185.71711000275525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193.07843105051165</v>
      </c>
      <c r="AA116" s="21">
        <f>EXP(-LN(2)/25)*AA115+(1-EXP(-LN(2)/25))/(LN(2)/25)*Calculateur!V116*Calculateur!X116*VLOOKUP('Données projet'!$B$9,Paramètres!$A$1:$I$89,3,0)*0.475*44/12</f>
        <v>31.573300225122995</v>
      </c>
      <c r="AB116" s="21">
        <f>EXP(-LN(2)/2)*AB115+(1-EXP(-LN(2)/2))/(LN(2)/2)*V116*Y116*VLOOKUP('Données projet'!$B$9,Paramètres!$A$1:$I$89,3,0)*0.475*44/12</f>
        <v>3.2080144922747124E-8</v>
      </c>
      <c r="AC116" s="22">
        <f t="shared" si="57"/>
        <v>224.65173130771481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395.96238788291635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283.69036991773601</v>
      </c>
      <c r="T117" s="59">
        <f t="shared" si="88"/>
        <v>185.71711000275525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189.29228078382562</v>
      </c>
      <c r="AA117" s="21">
        <f>EXP(-LN(2)/25)*AA116+(1-EXP(-LN(2)/25))/(LN(2)/25)*Calculateur!V117*Calculateur!X117*VLOOKUP('Données projet'!$B$9,Paramètres!$A$1:$I$89,3,0)*0.475*44/12</f>
        <v>30.709926670099311</v>
      </c>
      <c r="AB117" s="21">
        <f>EXP(-LN(2)/2)*AB116+(1-EXP(-LN(2)/2))/(LN(2)/2)*V117*Y117*VLOOKUP('Données projet'!$B$9,Paramètres!$A$1:$I$89,3,0)*0.475*44/12</f>
        <v>2.2684088016321684E-8</v>
      </c>
      <c r="AC117" s="22">
        <f t="shared" si="57"/>
        <v>220.00220747660902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397.15262066635069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283.69036991773601</v>
      </c>
      <c r="T118" s="59">
        <f t="shared" si="88"/>
        <v>185.71711000275525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185.58037461454566</v>
      </c>
      <c r="AA118" s="21">
        <f>EXP(-LN(2)/25)*AA117+(1-EXP(-LN(2)/25))/(LN(2)/25)*Calculateur!V118*Calculateur!X118*VLOOKUP('Données projet'!$B$9,Paramètres!$A$1:$I$89,3,0)*0.475*44/12</f>
        <v>29.870162110340591</v>
      </c>
      <c r="AB118" s="21">
        <f>EXP(-LN(2)/2)*AB117+(1-EXP(-LN(2)/2))/(LN(2)/2)*V118*Y118*VLOOKUP('Données projet'!$B$9,Paramètres!$A$1:$I$89,3,0)*0.475*44/12</f>
        <v>1.6040072461373562E-8</v>
      </c>
      <c r="AC118" s="22">
        <f t="shared" si="57"/>
        <v>215.45053674092634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398.34261137329793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283.69036991773601</v>
      </c>
      <c r="T119" s="59">
        <f t="shared" si="88"/>
        <v>185.71711000275525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181.94125666120607</v>
      </c>
      <c r="AA119" s="21">
        <f>EXP(-LN(2)/25)*AA118+(1-EXP(-LN(2)/25))/(LN(2)/25)*Calculateur!V119*Calculateur!X119*VLOOKUP('Données projet'!$B$9,Paramètres!$A$1:$I$89,3,0)*0.475*44/12</f>
        <v>29.053360956629771</v>
      </c>
      <c r="AB119" s="21">
        <f>EXP(-LN(2)/2)*AB118+(1-EXP(-LN(2)/2))/(LN(2)/2)*V119*Y119*VLOOKUP('Données projet'!$B$9,Paramètres!$A$1:$I$89,3,0)*0.475*44/12</f>
        <v>1.1342044008160842E-8</v>
      </c>
      <c r="AC119" s="22">
        <f t="shared" si="57"/>
        <v>210.9946176291779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399.53236233242478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283.69036991773601</v>
      </c>
      <c r="T120" s="59">
        <f t="shared" si="88"/>
        <v>185.71711000275525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178.37349959128869</v>
      </c>
      <c r="AA120" s="21">
        <f>EXP(-LN(2)/25)*AA119+(1-EXP(-LN(2)/25))/(LN(2)/25)*Calculateur!V120*Calculateur!X120*VLOOKUP('Données projet'!$B$9,Paramètres!$A$1:$I$89,3,0)*0.475*44/12</f>
        <v>28.25889527342088</v>
      </c>
      <c r="AB120" s="21">
        <f>EXP(-LN(2)/2)*AB119+(1-EXP(-LN(2)/2))/(LN(2)/2)*V120*Y120*VLOOKUP('Données projet'!$B$9,Paramètres!$A$1:$I$89,3,0)*0.475*44/12</f>
        <v>8.0200362306867811E-9</v>
      </c>
      <c r="AC120" s="22">
        <f t="shared" si="57"/>
        <v>206.63239487272961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400.72187583029472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283.69036991773601</v>
      </c>
      <c r="T121" s="59">
        <f t="shared" si="88"/>
        <v>185.71711000275525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174.87570406139545</v>
      </c>
      <c r="AA121" s="21">
        <f>EXP(-LN(2)/25)*AA120+(1-EXP(-LN(2)/25))/(LN(2)/25)*Calculateur!V121*Calculateur!X121*VLOOKUP('Données projet'!$B$9,Paramètres!$A$1:$I$89,3,0)*0.475*44/12</f>
        <v>27.486154296098469</v>
      </c>
      <c r="AB121" s="21">
        <f>EXP(-LN(2)/2)*AB120+(1-EXP(-LN(2)/2))/(LN(2)/2)*V121*Y121*VLOOKUP('Données projet'!$B$9,Paramètres!$A$1:$I$89,3,0)*0.475*44/12</f>
        <v>5.6710220040804211E-9</v>
      </c>
      <c r="AC121" s="22">
        <f t="shared" si="57"/>
        <v>202.36185836316494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401.91115411247904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283.69036991773601</v>
      </c>
      <c r="T122" s="59">
        <f t="shared" si="88"/>
        <v>185.71711000275525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171.44649816839882</v>
      </c>
      <c r="AA122" s="21">
        <f>EXP(-LN(2)/25)*AA121+(1-EXP(-LN(2)/25))/(LN(2)/25)*Calculateur!V122*Calculateur!X122*VLOOKUP('Données projet'!$B$9,Paramètres!$A$1:$I$89,3,0)*0.475*44/12</f>
        <v>26.734543961437623</v>
      </c>
      <c r="AB122" s="21">
        <f>EXP(-LN(2)/2)*AB121+(1-EXP(-LN(2)/2))/(LN(2)/2)*V122*Y122*VLOOKUP('Données projet'!$B$9,Paramètres!$A$1:$I$89,3,0)*0.475*44/12</f>
        <v>4.0100181153433905E-9</v>
      </c>
      <c r="AC122" s="22">
        <f t="shared" si="57"/>
        <v>198.18104213384646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403.10019938462972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283.69036991773601</v>
      </c>
      <c r="T123" s="59">
        <f t="shared" si="88"/>
        <v>185.71711000275525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168.08453691135477</v>
      </c>
      <c r="AA123" s="21">
        <f>EXP(-LN(2)/25)*AA122+(1-EXP(-LN(2)/25))/(LN(2)/25)*Calculateur!V123*Calculateur!X123*VLOOKUP('Données projet'!$B$9,Paramètres!$A$1:$I$89,3,0)*0.475*44/12</f>
        <v>26.003486450903548</v>
      </c>
      <c r="AB123" s="21">
        <f>EXP(-LN(2)/2)*AB122+(1-EXP(-LN(2)/2))/(LN(2)/2)*V123*Y123*VLOOKUP('Données projet'!$B$9,Paramètres!$A$1:$I$89,3,0)*0.475*44/12</f>
        <v>2.8355110020402106E-9</v>
      </c>
      <c r="AC123" s="22">
        <f t="shared" si="57"/>
        <v>194.08802336509385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404.28901381351614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283.69036991773601</v>
      </c>
      <c r="T124" s="59">
        <f t="shared" si="88"/>
        <v>185.71711000275525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164.78850166396748</v>
      </c>
      <c r="AA124" s="21">
        <f>EXP(-LN(2)/25)*AA123+(1-EXP(-LN(2)/25))/(LN(2)/25)*Calculateur!V124*Calculateur!X124*VLOOKUP('Données projet'!$B$9,Paramètres!$A$1:$I$89,3,0)*0.475*44/12</f>
        <v>25.29241974643967</v>
      </c>
      <c r="AB124" s="21">
        <f>EXP(-LN(2)/2)*AB123+(1-EXP(-LN(2)/2))/(LN(2)/2)*V124*Y124*VLOOKUP('Données projet'!$B$9,Paramètres!$A$1:$I$89,3,0)*0.475*44/12</f>
        <v>2.0050090576716953E-9</v>
      </c>
      <c r="AC124" s="22">
        <f t="shared" si="57"/>
        <v>190.08092141241215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405.47759952802585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283.69036991773601</v>
      </c>
      <c r="T125" s="59">
        <f t="shared" si="88"/>
        <v>185.71711000275525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161.55709965739845</v>
      </c>
      <c r="AA125" s="21">
        <f>EXP(-LN(2)/25)*AA124+(1-EXP(-LN(2)/25))/(LN(2)/25)*Calculateur!V125*Calculateur!X125*VLOOKUP('Données projet'!$B$9,Paramètres!$A$1:$I$89,3,0)*0.475*44/12</f>
        <v>24.600797198402731</v>
      </c>
      <c r="AB125" s="21">
        <f>EXP(-LN(2)/2)*AB124+(1-EXP(-LN(2)/2))/(LN(2)/2)*V125*Y125*VLOOKUP('Données projet'!$B$9,Paramètres!$A$1:$I$89,3,0)*0.475*44/12</f>
        <v>1.4177555010201053E-9</v>
      </c>
      <c r="AC125" s="22">
        <f t="shared" si="57"/>
        <v>186.15789685721896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406.66595862013173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283.69036991773601</v>
      </c>
      <c r="T126" s="59">
        <f t="shared" si="88"/>
        <v>185.71711000275525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158.38906347321765</v>
      </c>
      <c r="AA126" s="21">
        <f>EXP(-LN(2)/25)*AA125+(1-EXP(-LN(2)/25))/(LN(2)/25)*Calculateur!V126*Calculateur!X126*VLOOKUP('Données projet'!$B$9,Paramètres!$A$1:$I$89,3,0)*0.475*44/12</f>
        <v>23.928087105312709</v>
      </c>
      <c r="AB126" s="21">
        <f>EXP(-LN(2)/2)*AB125+(1-EXP(-LN(2)/2))/(LN(2)/2)*V126*Y126*VLOOKUP('Données projet'!$B$9,Paramètres!$A$1:$I$89,3,0)*0.475*44/12</f>
        <v>1.0025045288358476E-9</v>
      </c>
      <c r="AC126" s="22">
        <f t="shared" si="57"/>
        <v>182.31715057953284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407.85409314582705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283.69036991773601</v>
      </c>
      <c r="T127" s="59">
        <f t="shared" si="88"/>
        <v>185.71711000275525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155.28315054629735</v>
      </c>
      <c r="AA127" s="21">
        <f>EXP(-LN(2)/25)*AA126+(1-EXP(-LN(2)/25))/(LN(2)/25)*Calculateur!V127*Calculateur!X127*VLOOKUP('Données projet'!$B$9,Paramètres!$A$1:$I$89,3,0)*0.475*44/12</f>
        <v>23.273772305094521</v>
      </c>
      <c r="AB127" s="21">
        <f>EXP(-LN(2)/2)*AB126+(1-EXP(-LN(2)/2))/(LN(2)/2)*V127*Y127*VLOOKUP('Données projet'!$B$9,Paramètres!$A$1:$I$89,3,0)*0.475*44/12</f>
        <v>7.0887775051005264E-10</v>
      </c>
      <c r="AC127" s="22">
        <f t="shared" si="57"/>
        <v>178.55692285210074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409.04200512602915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283.69036991773601</v>
      </c>
      <c r="T128" s="59">
        <f t="shared" si="88"/>
        <v>185.71711000275525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152.23814267745414</v>
      </c>
      <c r="AA128" s="21">
        <f>EXP(-LN(2)/25)*AA127+(1-EXP(-LN(2)/25))/(LN(2)/25)*Calculateur!V128*Calculateur!X128*VLOOKUP('Données projet'!$B$9,Paramètres!$A$1:$I$89,3,0)*0.475*44/12</f>
        <v>22.637349777497221</v>
      </c>
      <c r="AB128" s="21">
        <f>EXP(-LN(2)/2)*AB127+(1-EXP(-LN(2)/2))/(LN(2)/2)*V128*Y128*VLOOKUP('Données projet'!$B$9,Paramètres!$A$1:$I$89,3,0)*0.475*44/12</f>
        <v>5.0125226441792382E-10</v>
      </c>
      <c r="AC128" s="22">
        <f t="shared" si="57"/>
        <v>174.87549245545262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410.22969654745395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283.69036991773601</v>
      </c>
      <c r="T129" s="59">
        <f t="shared" si="88"/>
        <v>185.71711000275525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149.25284555564753</v>
      </c>
      <c r="AA129" s="21">
        <f>EXP(-LN(2)/25)*AA128+(1-EXP(-LN(2)/25))/(LN(2)/25)*Calculateur!V129*Calculateur!X129*VLOOKUP('Données projet'!$B$9,Paramètres!$A$1:$I$89,3,0)*0.475*44/12</f>
        <v>22.018330257385074</v>
      </c>
      <c r="AB129" s="21">
        <f>EXP(-LN(2)/2)*AB128+(1-EXP(-LN(2)/2))/(LN(2)/2)*V129*Y129*VLOOKUP('Données projet'!$B$9,Paramètres!$A$1:$I$89,3,0)*0.475*44/12</f>
        <v>3.5443887525502632E-10</v>
      </c>
      <c r="AC129" s="22">
        <f t="shared" si="57"/>
        <v>171.27117581338703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411.41716936346074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283.69036991773601</v>
      </c>
      <c r="T130" s="59">
        <f t="shared" si="88"/>
        <v>185.71711000275525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146.3260882895481</v>
      </c>
      <c r="AA130" s="21">
        <f>EXP(-LN(2)/25)*AA129+(1-EXP(-LN(2)/25))/(LN(2)/25)*Calculateur!V130*Calculateur!X130*VLOOKUP('Données projet'!$B$9,Paramètres!$A$1:$I$89,3,0)*0.475*44/12</f>
        <v>21.416237858603214</v>
      </c>
      <c r="AB130" s="21">
        <f>EXP(-LN(2)/2)*AB129+(1-EXP(-LN(2)/2))/(LN(2)/2)*V130*Y130*VLOOKUP('Données projet'!$B$9,Paramètres!$A$1:$I$89,3,0)*0.475*44/12</f>
        <v>2.5062613220896191E-10</v>
      </c>
      <c r="AC130" s="22">
        <f t="shared" si="57"/>
        <v>167.74232614840193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412.60442549487129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283.69036991773601</v>
      </c>
      <c r="T131" s="59">
        <f t="shared" si="88"/>
        <v>185.71711000275525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143.4567229482912</v>
      </c>
      <c r="AA131" s="21">
        <f>EXP(-LN(2)/25)*AA130+(1-EXP(-LN(2)/25))/(LN(2)/25)*Calculateur!V131*Calculateur!X131*VLOOKUP('Données projet'!$B$9,Paramètres!$A$1:$I$89,3,0)*0.475*44/12</f>
        <v>20.830609708128708</v>
      </c>
      <c r="AB131" s="21">
        <f>EXP(-LN(2)/2)*AB130+(1-EXP(-LN(2)/2))/(LN(2)/2)*V131*Y131*VLOOKUP('Données projet'!$B$9,Paramètres!$A$1:$I$89,3,0)*0.475*44/12</f>
        <v>1.7721943762751316E-10</v>
      </c>
      <c r="AC131" s="22">
        <f t="shared" si="57"/>
        <v>164.28733265659713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413.79146683076101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283.69036991773601</v>
      </c>
      <c r="T132" s="59">
        <f t="shared" si="88"/>
        <v>185.71711000275525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140.64362411123631</v>
      </c>
      <c r="AA132" s="21">
        <f>EXP(-LN(2)/25)*AA131+(1-EXP(-LN(2)/25))/(LN(2)/25)*Calculateur!V132*Calculateur!X132*VLOOKUP('Données projet'!$B$9,Paramètres!$A$1:$I$89,3,0)*0.475*44/12</f>
        <v>20.260995590225772</v>
      </c>
      <c r="AB132" s="21">
        <f>EXP(-LN(2)/2)*AB131+(1-EXP(-LN(2)/2))/(LN(2)/2)*V132*Y132*VLOOKUP('Données projet'!$B$9,Paramètres!$A$1:$I$89,3,0)*0.475*44/12</f>
        <v>1.2531306610448095E-10</v>
      </c>
      <c r="AC132" s="22">
        <f t="shared" ref="AC132:AC153" si="111">SUM(Z132:AB132)</f>
        <v>160.90461970158739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414.97829522922581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283.69036991773601</v>
      </c>
      <c r="T133" s="59">
        <f t="shared" ref="T133:T196" si="142">$T$3</f>
        <v>185.71711000275525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137.88568842655519</v>
      </c>
      <c r="AA133" s="21">
        <f>EXP(-LN(2)/25)*AA132+(1-EXP(-LN(2)/25))/(LN(2)/25)*Calculateur!V133*Calculateur!X133*VLOOKUP('Données projet'!$B$9,Paramètres!$A$1:$I$89,3,0)*0.475*44/12</f>
        <v>19.706957600331599</v>
      </c>
      <c r="AB133" s="21">
        <f>EXP(-LN(2)/2)*AB132+(1-EXP(-LN(2)/2))/(LN(2)/2)*V133*Y133*VLOOKUP('Données projet'!$B$9,Paramètres!$A$1:$I$89,3,0)*0.475*44/12</f>
        <v>8.860971881375658E-11</v>
      </c>
      <c r="AC133" s="22">
        <f t="shared" si="111"/>
        <v>157.59264602697542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416.16491251812465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283.69036991773601</v>
      </c>
      <c r="T134" s="59">
        <f t="shared" si="142"/>
        <v>185.71711000275525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135.18183417847601</v>
      </c>
      <c r="AA134" s="21">
        <f>EXP(-LN(2)/25)*AA133+(1-EXP(-LN(2)/25))/(LN(2)/25)*Calculateur!V134*Calculateur!X134*VLOOKUP('Données projet'!$B$9,Paramètres!$A$1:$I$89,3,0)*0.475*44/12</f>
        <v>19.168069808406671</v>
      </c>
      <c r="AB134" s="21">
        <f>EXP(-LN(2)/2)*AB133+(1-EXP(-LN(2)/2))/(LN(2)/2)*V134*Y134*VLOOKUP('Données projet'!$B$9,Paramètres!$A$1:$I$89,3,0)*0.475*44/12</f>
        <v>6.2656533052240477E-11</v>
      </c>
      <c r="AC134" s="22">
        <f t="shared" si="111"/>
        <v>154.34990398694535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417.35132049579823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283.69036991773601</v>
      </c>
      <c r="T135" s="59">
        <f t="shared" si="142"/>
        <v>185.71711000275525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132.53100086301342</v>
      </c>
      <c r="AA135" s="21">
        <f>EXP(-LN(2)/25)*AA134+(1-EXP(-LN(2)/25))/(LN(2)/25)*Calculateur!V135*Calculateur!X135*VLOOKUP('Données projet'!$B$9,Paramètres!$A$1:$I$89,3,0)*0.475*44/12</f>
        <v>18.643917931490808</v>
      </c>
      <c r="AB135" s="21">
        <f>EXP(-LN(2)/2)*AB134+(1-EXP(-LN(2)/2))/(LN(2)/2)*V135*Y135*VLOOKUP('Données projet'!$B$9,Paramètres!$A$1:$I$89,3,0)*0.475*44/12</f>
        <v>4.430485940687829E-11</v>
      </c>
      <c r="AC135" s="22">
        <f t="shared" si="111"/>
        <v>151.17491879454855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418.5375209317657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283.69036991773601</v>
      </c>
      <c r="T136" s="59">
        <f t="shared" si="142"/>
        <v>185.71711000275525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129.93214877201837</v>
      </c>
      <c r="AA136" s="21">
        <f>EXP(-LN(2)/25)*AA135+(1-EXP(-LN(2)/25))/(LN(2)/25)*Calculateur!V136*Calculateur!X136*VLOOKUP('Données projet'!$B$9,Paramètres!$A$1:$I$89,3,0)*0.475*44/12</f>
        <v>18.13409901521316</v>
      </c>
      <c r="AB136" s="21">
        <f>EXP(-LN(2)/2)*AB135+(1-EXP(-LN(2)/2))/(LN(2)/2)*V136*Y136*VLOOKUP('Données projet'!$B$9,Paramètres!$A$1:$I$89,3,0)*0.475*44/12</f>
        <v>3.1328266526120239E-11</v>
      </c>
      <c r="AC136" s="22">
        <f t="shared" si="111"/>
        <v>148.06624778726285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419.72351556739994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283.69036991773601</v>
      </c>
      <c r="T137" s="59">
        <f t="shared" si="142"/>
        <v>185.71711000275525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127.38425858538447</v>
      </c>
      <c r="AA137" s="21">
        <f>EXP(-LN(2)/25)*AA136+(1-EXP(-LN(2)/25))/(LN(2)/25)*Calculateur!V137*Calculateur!X137*VLOOKUP('Données projet'!$B$9,Paramètres!$A$1:$I$89,3,0)*0.475*44/12</f>
        <v>17.638221124011334</v>
      </c>
      <c r="AB137" s="21">
        <f>EXP(-LN(2)/2)*AB136+(1-EXP(-LN(2)/2))/(LN(2)/2)*V137*Y137*VLOOKUP('Données projet'!$B$9,Paramètres!$A$1:$I$89,3,0)*0.475*44/12</f>
        <v>2.2152429703439145E-11</v>
      </c>
      <c r="AC137" s="22">
        <f t="shared" si="111"/>
        <v>145.02247970941795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420.90930611658149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283.69036991773601</v>
      </c>
      <c r="T138" s="59">
        <f t="shared" si="142"/>
        <v>185.71711000275525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124.8863309712509</v>
      </c>
      <c r="AA138" s="21">
        <f>EXP(-LN(2)/25)*AA137+(1-EXP(-LN(2)/25))/(LN(2)/25)*Calculateur!V138*Calculateur!X138*VLOOKUP('Données projet'!$B$9,Paramètres!$A$1:$I$89,3,0)*0.475*44/12</f>
        <v>17.155903039821506</v>
      </c>
      <c r="AB138" s="21">
        <f>EXP(-LN(2)/2)*AB137+(1-EXP(-LN(2)/2))/(LN(2)/2)*V138*Y138*VLOOKUP('Données projet'!$B$9,Paramètres!$A$1:$I$89,3,0)*0.475*44/12</f>
        <v>1.5664133263060119E-11</v>
      </c>
      <c r="AC138" s="22">
        <f t="shared" si="111"/>
        <v>142.04223401108806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422.09489426633343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283.69036991773601</v>
      </c>
      <c r="T139" s="59">
        <f t="shared" si="142"/>
        <v>185.71711000275525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122.43738619404509</v>
      </c>
      <c r="AA139" s="21">
        <f>EXP(-LN(2)/25)*AA138+(1-EXP(-LN(2)/25))/(LN(2)/25)*Calculateur!V139*Calculateur!X139*VLOOKUP('Données projet'!$B$9,Paramètres!$A$1:$I$89,3,0)*0.475*44/12</f>
        <v>16.686773969007856</v>
      </c>
      <c r="AB139" s="21">
        <f>EXP(-LN(2)/2)*AB138+(1-EXP(-LN(2)/2))/(LN(2)/2)*V139*Y139*VLOOKUP('Données projet'!$B$9,Paramètres!$A$1:$I$89,3,0)*0.475*44/12</f>
        <v>1.1076214851719572E-11</v>
      </c>
      <c r="AC139" s="22">
        <f t="shared" si="111"/>
        <v>139.12416016306403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423.28028167743605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283.69036991773601</v>
      </c>
      <c r="T140" s="59">
        <f t="shared" si="142"/>
        <v>185.71711000275525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120.03646373021147</v>
      </c>
      <c r="AA140" s="21">
        <f>EXP(-LN(2)/25)*AA139+(1-EXP(-LN(2)/25))/(LN(2)/25)*Calculateur!V140*Calculateur!X140*VLOOKUP('Données projet'!$B$9,Paramètres!$A$1:$I$89,3,0)*0.475*44/12</f>
        <v>16.230473257306031</v>
      </c>
      <c r="AB140" s="21">
        <f>EXP(-LN(2)/2)*AB139+(1-EXP(-LN(2)/2))/(LN(2)/2)*V140*Y140*VLOOKUP('Données projet'!$B$9,Paramètres!$A$1:$I$89,3,0)*0.475*44/12</f>
        <v>7.8320666315300596E-12</v>
      </c>
      <c r="AC140" s="22">
        <f t="shared" si="111"/>
        <v>136.26693698752536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424.46546998502401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283.69036991773601</v>
      </c>
      <c r="T141" s="59">
        <f t="shared" si="142"/>
        <v>185.71711000275525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117.68262189147551</v>
      </c>
      <c r="AA141" s="21">
        <f>EXP(-LN(2)/25)*AA140+(1-EXP(-LN(2)/25))/(LN(2)/25)*Calculateur!V141*Calculateur!X141*VLOOKUP('Données projet'!$B$9,Paramètres!$A$1:$I$89,3,0)*0.475*44/12</f>
        <v>15.786650112561503</v>
      </c>
      <c r="AB141" s="21">
        <f>EXP(-LN(2)/2)*AB140+(1-EXP(-LN(2)/2))/(LN(2)/2)*V141*Y141*VLOOKUP('Données projet'!$B$9,Paramètres!$A$1:$I$89,3,0)*0.475*44/12</f>
        <v>5.5381074258597862E-12</v>
      </c>
      <c r="AC141" s="22">
        <f t="shared" si="111"/>
        <v>133.46927200404255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425.6504607991651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283.69036991773601</v>
      </c>
      <c r="T142" s="59">
        <f t="shared" si="142"/>
        <v>185.71711000275525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115.37493745549541</v>
      </c>
      <c r="AA142" s="21">
        <f>EXP(-LN(2)/25)*AA141+(1-EXP(-LN(2)/25))/(LN(2)/25)*Calculateur!V142*Calculateur!X142*VLOOKUP('Données projet'!$B$9,Paramètres!$A$1:$I$89,3,0)*0.475*44/12</f>
        <v>15.354963335049661</v>
      </c>
      <c r="AB142" s="21">
        <f>EXP(-LN(2)/2)*AB141+(1-EXP(-LN(2)/2))/(LN(2)/2)*V142*Y142*VLOOKUP('Données projet'!$B$9,Paramètres!$A$1:$I$89,3,0)*0.475*44/12</f>
        <v>3.9160333157650298E-12</v>
      </c>
      <c r="AC142" s="22">
        <f t="shared" si="111"/>
        <v>130.72990079054898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426.8352557054219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283.69036991773601</v>
      </c>
      <c r="T143" s="59">
        <f t="shared" si="142"/>
        <v>185.71711000275525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113.11250530375636</v>
      </c>
      <c r="AA143" s="21">
        <f>EXP(-LN(2)/25)*AA142+(1-EXP(-LN(2)/25))/(LN(2)/25)*Calculateur!V143*Calculateur!X143*VLOOKUP('Données projet'!$B$9,Paramètres!$A$1:$I$89,3,0)*0.475*44/12</f>
        <v>14.935081055170301</v>
      </c>
      <c r="AB143" s="21">
        <f>EXP(-LN(2)/2)*AB142+(1-EXP(-LN(2)/2))/(LN(2)/2)*V143*Y143*VLOOKUP('Données projet'!$B$9,Paramètres!$A$1:$I$89,3,0)*0.475*44/12</f>
        <v>2.7690537129298931E-12</v>
      </c>
      <c r="AC143" s="22">
        <f t="shared" si="111"/>
        <v>128.04758635892941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428.01985626539732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283.69036991773601</v>
      </c>
      <c r="T144" s="59">
        <f t="shared" si="142"/>
        <v>185.71711000275525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110.89443806656556</v>
      </c>
      <c r="AA144" s="21">
        <f>EXP(-LN(2)/25)*AA143+(1-EXP(-LN(2)/25))/(LN(2)/25)*Calculateur!V144*Calculateur!X144*VLOOKUP('Données projet'!$B$9,Paramètres!$A$1:$I$89,3,0)*0.475*44/12</f>
        <v>14.526680478314891</v>
      </c>
      <c r="AB144" s="21">
        <f>EXP(-LN(2)/2)*AB143+(1-EXP(-LN(2)/2))/(LN(2)/2)*V144*Y144*VLOOKUP('Données projet'!$B$9,Paramètres!$A$1:$I$89,3,0)*0.475*44/12</f>
        <v>1.9580166578825149E-12</v>
      </c>
      <c r="AC144" s="22">
        <f t="shared" si="111"/>
        <v>125.4211185448824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429.20426401726365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283.69036991773601</v>
      </c>
      <c r="T145" s="59">
        <f t="shared" si="142"/>
        <v>185.71711000275525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108.71986577500864</v>
      </c>
      <c r="AA145" s="21">
        <f>EXP(-LN(2)/25)*AA144+(1-EXP(-LN(2)/25))/(LN(2)/25)*Calculateur!V145*Calculateur!X145*VLOOKUP('Données projet'!$B$9,Paramètres!$A$1:$I$89,3,0)*0.475*44/12</f>
        <v>14.129447636710445</v>
      </c>
      <c r="AB145" s="21">
        <f>EXP(-LN(2)/2)*AB144+(1-EXP(-LN(2)/2))/(LN(2)/2)*V145*Y145*VLOOKUP('Données projet'!$B$9,Paramètres!$A$1:$I$89,3,0)*0.475*44/12</f>
        <v>1.3845268564649466E-12</v>
      </c>
      <c r="AC145" s="22">
        <f t="shared" si="111"/>
        <v>122.84931341172047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430.38848047627687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283.69036991773601</v>
      </c>
      <c r="T146" s="59">
        <f t="shared" si="142"/>
        <v>185.71711000275525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106.58793551973102</v>
      </c>
      <c r="AA146" s="21">
        <f>EXP(-LN(2)/25)*AA145+(1-EXP(-LN(2)/25))/(LN(2)/25)*Calculateur!V146*Calculateur!X146*VLOOKUP('Données projet'!$B$9,Paramètres!$A$1:$I$89,3,0)*0.475*44/12</f>
        <v>13.74307714804924</v>
      </c>
      <c r="AB146" s="21">
        <f>EXP(-LN(2)/2)*AB145+(1-EXP(-LN(2)/2))/(LN(2)/2)*V146*Y146*VLOOKUP('Données projet'!$B$9,Paramètres!$A$1:$I$89,3,0)*0.475*44/12</f>
        <v>9.7900832894125746E-13</v>
      </c>
      <c r="AC146" s="22">
        <f t="shared" si="111"/>
        <v>120.33101266778124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431.57250713527566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283.69036991773601</v>
      </c>
      <c r="T147" s="59">
        <f t="shared" si="142"/>
        <v>185.71711000275525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104.49781111641033</v>
      </c>
      <c r="AA147" s="21">
        <f>EXP(-LN(2)/25)*AA146+(1-EXP(-LN(2)/25))/(LN(2)/25)*Calculateur!V147*Calculateur!X147*VLOOKUP('Données projet'!$B$9,Paramètres!$A$1:$I$89,3,0)*0.475*44/12</f>
        <v>13.367271980718817</v>
      </c>
      <c r="AB147" s="21">
        <f>EXP(-LN(2)/2)*AB146+(1-EXP(-LN(2)/2))/(LN(2)/2)*V147*Y147*VLOOKUP('Données projet'!$B$9,Paramètres!$A$1:$I$89,3,0)*0.475*44/12</f>
        <v>6.9226342823247328E-13</v>
      </c>
      <c r="AC147" s="22">
        <f t="shared" si="111"/>
        <v>117.86508309712984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432.75634546516653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283.69036991773601</v>
      </c>
      <c r="T148" s="59">
        <f t="shared" si="142"/>
        <v>185.71711000275525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102.44867277778876</v>
      </c>
      <c r="AA148" s="21">
        <f>EXP(-LN(2)/25)*AA147+(1-EXP(-LN(2)/25))/(LN(2)/25)*Calculateur!V148*Calculateur!X148*VLOOKUP('Données projet'!$B$9,Paramètres!$A$1:$I$89,3,0)*0.475*44/12</f>
        <v>13.001743225451779</v>
      </c>
      <c r="AB148" s="21">
        <f>EXP(-LN(2)/2)*AB147+(1-EXP(-LN(2)/2))/(LN(2)/2)*V148*Y148*VLOOKUP('Données projet'!$B$9,Paramètres!$A$1:$I$89,3,0)*0.475*44/12</f>
        <v>4.8950416447062873E-13</v>
      </c>
      <c r="AC148" s="22">
        <f t="shared" si="111"/>
        <v>115.45041600324102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433.939996915395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283.69036991773601</v>
      </c>
      <c r="T149" s="59">
        <f t="shared" si="142"/>
        <v>185.71711000275525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100.43971679213658</v>
      </c>
      <c r="AA149" s="21">
        <f>EXP(-LN(2)/25)*AA148+(1-EXP(-LN(2)/25))/(LN(2)/25)*Calculateur!V149*Calculateur!X149*VLOOKUP('Données projet'!$B$9,Paramètres!$A$1:$I$89,3,0)*0.475*44/12</f>
        <v>12.64620987321984</v>
      </c>
      <c r="AB149" s="21">
        <f>EXP(-LN(2)/2)*AB148+(1-EXP(-LN(2)/2))/(LN(2)/2)*V149*Y149*VLOOKUP('Données projet'!$B$9,Paramètres!$A$1:$I$89,3,0)*0.475*44/12</f>
        <v>3.4613171411623664E-13</v>
      </c>
      <c r="AC149" s="22">
        <f t="shared" si="111"/>
        <v>113.08592666535677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435.12346291440332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283.69036991773601</v>
      </c>
      <c r="T150" s="59">
        <f t="shared" si="142"/>
        <v>185.71711000275525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98.470155208020884</v>
      </c>
      <c r="AA150" s="21">
        <f>EXP(-LN(2)/25)*AA149+(1-EXP(-LN(2)/25))/(LN(2)/25)*Calculateur!V150*Calculateur!X150*VLOOKUP('Données projet'!$B$9,Paramètres!$A$1:$I$89,3,0)*0.475*44/12</f>
        <v>12.300398599201369</v>
      </c>
      <c r="AB150" s="21">
        <f>EXP(-LN(2)/2)*AB149+(1-EXP(-LN(2)/2))/(LN(2)/2)*V150*Y150*VLOOKUP('Données projet'!$B$9,Paramètres!$A$1:$I$89,3,0)*0.475*44/12</f>
        <v>2.4475208223531436E-13</v>
      </c>
      <c r="AC150" s="22">
        <f t="shared" si="111"/>
        <v>110.7705538072225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436.30674487007587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283.69036991773601</v>
      </c>
      <c r="T151" s="59">
        <f t="shared" si="142"/>
        <v>185.71711000275525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96.539215525255756</v>
      </c>
      <c r="AA151" s="21">
        <f>EXP(-LN(2)/25)*AA150+(1-EXP(-LN(2)/25))/(LN(2)/25)*Calculateur!V151*Calculateur!X151*VLOOKUP('Données projet'!$B$9,Paramètres!$A$1:$I$89,3,0)*0.475*44/12</f>
        <v>11.964043552656358</v>
      </c>
      <c r="AB151" s="21">
        <f>EXP(-LN(2)/2)*AB150+(1-EXP(-LN(2)/2))/(LN(2)/2)*V151*Y151*VLOOKUP('Données projet'!$B$9,Paramètres!$A$1:$I$89,3,0)*0.475*44/12</f>
        <v>1.7306585705811832E-13</v>
      </c>
      <c r="AC151" s="22">
        <f t="shared" si="111"/>
        <v>108.50325907791229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437.48984417017164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283.69036991773601</v>
      </c>
      <c r="T152" s="59">
        <f t="shared" si="142"/>
        <v>185.71711000275525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94.646140391912738</v>
      </c>
      <c r="AA152" s="21">
        <f>EXP(-LN(2)/25)*AA151+(1-EXP(-LN(2)/25))/(LN(2)/25)*Calculateur!V152*Calculateur!X152*VLOOKUP('Données projet'!$B$9,Paramètres!$A$1:$I$89,3,0)*0.475*44/12</f>
        <v>11.636886152547264</v>
      </c>
      <c r="AB152" s="21">
        <f>EXP(-LN(2)/2)*AB151+(1-EXP(-LN(2)/2))/(LN(2)/2)*V152*Y152*VLOOKUP('Données projet'!$B$9,Paramètres!$A$1:$I$89,3,0)*0.475*44/12</f>
        <v>1.2237604111765718E-13</v>
      </c>
      <c r="AC152" s="22">
        <f t="shared" si="111"/>
        <v>106.28302654446013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438.6727621827452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283.69036991773601</v>
      </c>
      <c r="T153" s="59">
        <f t="shared" si="142"/>
        <v>185.71711000275525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92.79018730727276</v>
      </c>
      <c r="AA153" s="21">
        <f>EXP(-LN(2)/25)*AA152+(1-EXP(-LN(2)/25))/(LN(2)/25)*Calculateur!V153*Calculateur!X153*VLOOKUP('Données projet'!$B$9,Paramètres!$A$1:$I$89,3,0)*0.475*44/12</f>
        <v>11.318674888748612</v>
      </c>
      <c r="AB153" s="21">
        <f>EXP(-LN(2)/2)*AB152+(1-EXP(-LN(2)/2))/(LN(2)/2)*V153*Y153*VLOOKUP('Données projet'!$B$9,Paramètres!$A$1:$I$89,3,0)*0.475*44/12</f>
        <v>8.653292852905916E-14</v>
      </c>
      <c r="AC153" s="22">
        <f t="shared" si="111"/>
        <v>104.10886219602146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439.85550025655579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283.69036991773601</v>
      </c>
      <c r="T154" s="59">
        <f t="shared" si="142"/>
        <v>185.71711000275525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90.970628330602963</v>
      </c>
      <c r="AA154" s="21">
        <f>EXP(-LN(2)/25)*AA153+(1-EXP(-LN(2)/25))/(LN(2)/25)*Calculateur!V154*Calculateur!X154*VLOOKUP('Données projet'!$B$9,Paramètres!$A$1:$I$89,3,0)*0.475*44/12</f>
        <v>11.009165128692539</v>
      </c>
      <c r="AB154" s="21">
        <f>EXP(-LN(2)/2)*AB153+(1-EXP(-LN(2)/2))/(LN(2)/2)*V154*Y154*VLOOKUP('Données projet'!$B$9,Paramètres!$A$1:$I$89,3,0)*0.475*44/12</f>
        <v>6.1188020558828591E-14</v>
      </c>
      <c r="AC154" s="22">
        <f t="shared" ref="AC154:AC203" si="163">SUM(Z154:AB154)</f>
        <v>101.97979345929556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441.03805972146552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283.69036991773601</v>
      </c>
      <c r="T155" s="59">
        <f t="shared" si="142"/>
        <v>185.71711000275525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89.186749795644275</v>
      </c>
      <c r="AA155" s="21">
        <f>EXP(-LN(2)/25)*AA154+(1-EXP(-LN(2)/25))/(LN(2)/25)*Calculateur!V155*Calculateur!X155*VLOOKUP('Données projet'!$B$9,Paramètres!$A$1:$I$89,3,0)*0.475*44/12</f>
        <v>10.708118929301609</v>
      </c>
      <c r="AB155" s="21">
        <f>EXP(-LN(2)/2)*AB154+(1-EXP(-LN(2)/2))/(LN(2)/2)*V155*Y155*VLOOKUP('Données projet'!$B$9,Paramètres!$A$1:$I$89,3,0)*0.475*44/12</f>
        <v>4.326646426452958E-14</v>
      </c>
      <c r="AC155" s="22">
        <f t="shared" si="163"/>
        <v>99.894868724945923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442.22044188882654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283.69036991773601</v>
      </c>
      <c r="T156" s="59">
        <f t="shared" si="142"/>
        <v>185.71711000275525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87.437852030697655</v>
      </c>
      <c r="AA156" s="21">
        <f>EXP(-LN(2)/25)*AA155+(1-EXP(-LN(2)/25))/(LN(2)/25)*Calculateur!V156*Calculateur!X156*VLOOKUP('Données projet'!$B$9,Paramètres!$A$1:$I$89,3,0)*0.475*44/12</f>
        <v>10.415304854064356</v>
      </c>
      <c r="AB156" s="21">
        <f>EXP(-LN(2)/2)*AB155+(1-EXP(-LN(2)/2))/(LN(2)/2)*V156*Y156*VLOOKUP('Données projet'!$B$9,Paramètres!$A$1:$I$89,3,0)*0.475*44/12</f>
        <v>3.0594010279414296E-14</v>
      </c>
      <c r="AC156" s="22">
        <f t="shared" si="163"/>
        <v>97.853156884762043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443.40264805185802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283.69036991773601</v>
      </c>
      <c r="T157" s="59">
        <f t="shared" si="142"/>
        <v>185.71711000275525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85.723249084199338</v>
      </c>
      <c r="AA157" s="21">
        <f>EXP(-LN(2)/25)*AA156+(1-EXP(-LN(2)/25))/(LN(2)/25)*Calculateur!V157*Calculateur!X157*VLOOKUP('Données projet'!$B$9,Paramètres!$A$1:$I$89,3,0)*0.475*44/12</f>
        <v>10.130497795112888</v>
      </c>
      <c r="AB157" s="21">
        <f>EXP(-LN(2)/2)*AB156+(1-EXP(-LN(2)/2))/(LN(2)/2)*V157*Y157*VLOOKUP('Données projet'!$B$9,Paramètres!$A$1:$I$89,3,0)*0.475*44/12</f>
        <v>2.163323213226479E-14</v>
      </c>
      <c r="AC157" s="22">
        <f t="shared" si="163"/>
        <v>95.853746879312254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444.58467948601304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283.69036991773601</v>
      </c>
      <c r="T158" s="59">
        <f t="shared" si="142"/>
        <v>185.71711000275525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84.042268455677316</v>
      </c>
      <c r="AA158" s="21">
        <f>EXP(-LN(2)/25)*AA157+(1-EXP(-LN(2)/25))/(LN(2)/25)*Calculateur!V158*Calculateur!X158*VLOOKUP('Données projet'!$B$9,Paramètres!$A$1:$I$89,3,0)*0.475*44/12</f>
        <v>9.8534788001657994</v>
      </c>
      <c r="AB158" s="21">
        <f>EXP(-LN(2)/2)*AB157+(1-EXP(-LN(2)/2))/(LN(2)/2)*V158*Y158*VLOOKUP('Données projet'!$B$9,Paramètres!$A$1:$I$89,3,0)*0.475*44/12</f>
        <v>1.5297005139707148E-14</v>
      </c>
      <c r="AC158" s="22">
        <f t="shared" si="163"/>
        <v>93.895747255843133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445.76653744933537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283.69036991773601</v>
      </c>
      <c r="T159" s="59">
        <f t="shared" si="142"/>
        <v>185.71711000275525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82.394250831983669</v>
      </c>
      <c r="AA159" s="21">
        <f>EXP(-LN(2)/25)*AA158+(1-EXP(-LN(2)/25))/(LN(2)/25)*Calculateur!V159*Calculateur!X159*VLOOKUP('Données projet'!$B$9,Paramètres!$A$1:$I$89,3,0)*0.475*44/12</f>
        <v>9.5840349042033353</v>
      </c>
      <c r="AB159" s="21">
        <f>EXP(-LN(2)/2)*AB158+(1-EXP(-LN(2)/2))/(LN(2)/2)*V159*Y159*VLOOKUP('Données projet'!$B$9,Paramètres!$A$1:$I$89,3,0)*0.475*44/12</f>
        <v>1.0816616066132395E-14</v>
      </c>
      <c r="AC159" s="22">
        <f t="shared" si="163"/>
        <v>91.978285736187019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446.94822318280762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283.69036991773601</v>
      </c>
      <c r="T160" s="59">
        <f t="shared" si="142"/>
        <v>185.71711000275525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80.778549828699155</v>
      </c>
      <c r="AA160" s="21">
        <f>EXP(-LN(2)/25)*AA159+(1-EXP(-LN(2)/25))/(LN(2)/25)*Calculateur!V160*Calculateur!X160*VLOOKUP('Données projet'!$B$9,Paramètres!$A$1:$I$89,3,0)*0.475*44/12</f>
        <v>9.3219589657454041</v>
      </c>
      <c r="AB160" s="21">
        <f>EXP(-LN(2)/2)*AB159+(1-EXP(-LN(2)/2))/(LN(2)/2)*V160*Y160*VLOOKUP('Données projet'!$B$9,Paramètres!$A$1:$I$89,3,0)*0.475*44/12</f>
        <v>7.6485025698535739E-15</v>
      </c>
      <c r="AC160" s="22">
        <f t="shared" si="163"/>
        <v>90.100508794444579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448.12973791068919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283.69036991773601</v>
      </c>
      <c r="T161" s="59">
        <f t="shared" si="142"/>
        <v>185.71711000275525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79.194531736608752</v>
      </c>
      <c r="AA161" s="21">
        <f>EXP(-LN(2)/25)*AA160+(1-EXP(-LN(2)/25))/(LN(2)/25)*Calculateur!V161*Calculateur!X161*VLOOKUP('Données projet'!$B$9,Paramètres!$A$1:$I$89,3,0)*0.475*44/12</f>
        <v>9.0670495076065798</v>
      </c>
      <c r="AB161" s="21">
        <f>EXP(-LN(2)/2)*AB160+(1-EXP(-LN(2)/2))/(LN(2)/2)*V161*Y161*VLOOKUP('Données projet'!$B$9,Paramètres!$A$1:$I$89,3,0)*0.475*44/12</f>
        <v>5.4083080330661975E-15</v>
      </c>
      <c r="AC161" s="22">
        <f t="shared" si="163"/>
        <v>88.261581244215336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449.31108284084667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283.69036991773601</v>
      </c>
      <c r="T162" s="59">
        <f t="shared" si="142"/>
        <v>185.71711000275525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77.641575273148604</v>
      </c>
      <c r="AA162" s="21">
        <f>EXP(-LN(2)/25)*AA161+(1-EXP(-LN(2)/25))/(LN(2)/25)*Calculateur!V162*Calculateur!X162*VLOOKUP('Données projet'!$B$9,Paramètres!$A$1:$I$89,3,0)*0.475*44/12</f>
        <v>8.8191105620056671</v>
      </c>
      <c r="AB162" s="21">
        <f>EXP(-LN(2)/2)*AB161+(1-EXP(-LN(2)/2))/(LN(2)/2)*V162*Y162*VLOOKUP('Données projet'!$B$9,Paramètres!$A$1:$I$89,3,0)*0.475*44/12</f>
        <v>3.8242512849267869E-15</v>
      </c>
      <c r="AC162" s="22">
        <f t="shared" si="163"/>
        <v>86.460685835154266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450.4922591650743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283.69036991773601</v>
      </c>
      <c r="T163" s="59">
        <f t="shared" si="142"/>
        <v>185.71711000275525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76.119071338726997</v>
      </c>
      <c r="AA163" s="21">
        <f>EXP(-LN(2)/25)*AA162+(1-EXP(-LN(2)/25))/(LN(2)/25)*Calculateur!V163*Calculateur!X163*VLOOKUP('Données projet'!$B$9,Paramètres!$A$1:$I$89,3,0)*0.475*44/12</f>
        <v>8.5779515199107532</v>
      </c>
      <c r="AB163" s="21">
        <f>EXP(-LN(2)/2)*AB162+(1-EXP(-LN(2)/2))/(LN(2)/2)*V163*Y163*VLOOKUP('Données projet'!$B$9,Paramètres!$A$1:$I$89,3,0)*0.475*44/12</f>
        <v>2.7041540165330987E-15</v>
      </c>
      <c r="AC163" s="22">
        <f t="shared" si="163"/>
        <v>84.697022858637752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451.67326805940763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283.69036991773601</v>
      </c>
      <c r="T164" s="59">
        <f t="shared" si="142"/>
        <v>185.71711000275525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74.626422777823691</v>
      </c>
      <c r="AA164" s="21">
        <f>EXP(-LN(2)/25)*AA163+(1-EXP(-LN(2)/25))/(LN(2)/25)*Calculateur!V164*Calculateur!X164*VLOOKUP('Données projet'!$B$9,Paramètres!$A$1:$I$89,3,0)*0.475*44/12</f>
        <v>8.3433869845039279</v>
      </c>
      <c r="AB164" s="21">
        <f>EXP(-LN(2)/2)*AB163+(1-EXP(-LN(2)/2))/(LN(2)/2)*V164*Y164*VLOOKUP('Données projet'!$B$9,Paramètres!$A$1:$I$89,3,0)*0.475*44/12</f>
        <v>1.9121256424633935E-15</v>
      </c>
      <c r="AC164" s="22">
        <f t="shared" si="163"/>
        <v>82.969809762327614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452.85411068442789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283.69036991773601</v>
      </c>
      <c r="T165" s="59">
        <f t="shared" si="142"/>
        <v>185.71711000275525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73.163044144773977</v>
      </c>
      <c r="AA165" s="21">
        <f>EXP(-LN(2)/25)*AA164+(1-EXP(-LN(2)/25))/(LN(2)/25)*Calculateur!V165*Calculateur!X165*VLOOKUP('Données projet'!$B$9,Paramètres!$A$1:$I$89,3,0)*0.475*44/12</f>
        <v>8.1152366286530153</v>
      </c>
      <c r="AB165" s="21">
        <f>EXP(-LN(2)/2)*AB164+(1-EXP(-LN(2)/2))/(LN(2)/2)*V165*Y165*VLOOKUP('Données projet'!$B$9,Paramètres!$A$1:$I$89,3,0)*0.475*44/12</f>
        <v>1.3520770082665494E-15</v>
      </c>
      <c r="AC165" s="22">
        <f t="shared" si="163"/>
        <v>81.278280773426985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454.03478818555948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283.69036991773601</v>
      </c>
      <c r="T166" s="59">
        <f t="shared" si="142"/>
        <v>185.71711000275525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71.72836147414553</v>
      </c>
      <c r="AA166" s="21">
        <f>EXP(-LN(2)/25)*AA165+(1-EXP(-LN(2)/25))/(LN(2)/25)*Calculateur!V166*Calculateur!X166*VLOOKUP('Données projet'!$B$9,Paramètres!$A$1:$I$89,3,0)*0.475*44/12</f>
        <v>7.8933250562807515</v>
      </c>
      <c r="AB166" s="21">
        <f>EXP(-LN(2)/2)*AB165+(1-EXP(-LN(2)/2))/(LN(2)/2)*V166*Y166*VLOOKUP('Données projet'!$B$9,Paramètres!$A$1:$I$89,3,0)*0.475*44/12</f>
        <v>9.5606282123169673E-16</v>
      </c>
      <c r="AC166" s="22">
        <f t="shared" si="163"/>
        <v>79.621686530426274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455.21530169335966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283.69036991773601</v>
      </c>
      <c r="T167" s="59">
        <f t="shared" si="142"/>
        <v>185.71711000275525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70.321812055618082</v>
      </c>
      <c r="AA167" s="21">
        <f>EXP(-LN(2)/25)*AA166+(1-EXP(-LN(2)/25))/(LN(2)/25)*Calculateur!V167*Calculateur!X167*VLOOKUP('Données projet'!$B$9,Paramètres!$A$1:$I$89,3,0)*0.475*44/12</f>
        <v>7.6774816675248303</v>
      </c>
      <c r="AB167" s="21">
        <f>EXP(-LN(2)/2)*AB166+(1-EXP(-LN(2)/2))/(LN(2)/2)*V167*Y167*VLOOKUP('Données projet'!$B$9,Paramètres!$A$1:$I$89,3,0)*0.475*44/12</f>
        <v>6.7603850413327469E-16</v>
      </c>
      <c r="AC167" s="22">
        <f t="shared" si="163"/>
        <v>77.999293723142912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456.39565232380079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283.69036991773601</v>
      </c>
      <c r="T168" s="59">
        <f t="shared" si="142"/>
        <v>185.71711000275525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68.942844213277525</v>
      </c>
      <c r="AA168" s="21">
        <f>EXP(-LN(2)/25)*AA167+(1-EXP(-LN(2)/25))/(LN(2)/25)*Calculateur!V168*Calculateur!X168*VLOOKUP('Données projet'!$B$9,Paramètres!$A$1:$I$89,3,0)*0.475*44/12</f>
        <v>7.4675405275851503</v>
      </c>
      <c r="AB168" s="21">
        <f>EXP(-LN(2)/2)*AB167+(1-EXP(-LN(2)/2))/(LN(2)/2)*V168*Y168*VLOOKUP('Données projet'!$B$9,Paramètres!$A$1:$I$89,3,0)*0.475*44/12</f>
        <v>4.7803141061584837E-16</v>
      </c>
      <c r="AC168" s="22">
        <f t="shared" si="163"/>
        <v>76.410384740862668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457.57584117854583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283.69036991773601</v>
      </c>
      <c r="T169" s="59">
        <f t="shared" si="142"/>
        <v>185.71711000275525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67.590917089237934</v>
      </c>
      <c r="AA169" s="21">
        <f>EXP(-LN(2)/25)*AA168+(1-EXP(-LN(2)/25))/(LN(2)/25)*Calculateur!V169*Calculateur!X169*VLOOKUP('Données projet'!$B$9,Paramètres!$A$1:$I$89,3,0)*0.475*44/12</f>
        <v>7.2633402391574453</v>
      </c>
      <c r="AB169" s="21">
        <f>EXP(-LN(2)/2)*AB168+(1-EXP(-LN(2)/2))/(LN(2)/2)*V169*Y169*VLOOKUP('Données projet'!$B$9,Paramètres!$A$1:$I$89,3,0)*0.475*44/12</f>
        <v>3.3801925206663734E-16</v>
      </c>
      <c r="AC169" s="22">
        <f t="shared" si="163"/>
        <v>74.854257328395377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458.75586934521687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283.69036991773601</v>
      </c>
      <c r="T170" s="59">
        <f t="shared" si="142"/>
        <v>185.71711000275525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66.265500431506638</v>
      </c>
      <c r="AA170" s="21">
        <f>EXP(-LN(2)/25)*AA169+(1-EXP(-LN(2)/25))/(LN(2)/25)*Calculateur!V170*Calculateur!X170*VLOOKUP('Données projet'!$B$9,Paramètres!$A$1:$I$89,3,0)*0.475*44/12</f>
        <v>7.0647238183552226</v>
      </c>
      <c r="AB170" s="21">
        <f>EXP(-LN(2)/2)*AB169+(1-EXP(-LN(2)/2))/(LN(2)/2)*V170*Y170*VLOOKUP('Données projet'!$B$9,Paramètres!$A$1:$I$89,3,0)*0.475*44/12</f>
        <v>2.3901570530792418E-16</v>
      </c>
      <c r="AC170" s="22">
        <f t="shared" si="163"/>
        <v>73.330224249861857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459.93573789765719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283.69036991773601</v>
      </c>
      <c r="T171" s="59">
        <f t="shared" si="142"/>
        <v>185.71711000275525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64.966074386009112</v>
      </c>
      <c r="AA171" s="21">
        <f>EXP(-LN(2)/25)*AA170+(1-EXP(-LN(2)/25))/(LN(2)/25)*Calculateur!V171*Calculateur!X171*VLOOKUP('Données projet'!$B$9,Paramètres!$A$1:$I$89,3,0)*0.475*44/12</f>
        <v>6.87153857402462</v>
      </c>
      <c r="AB171" s="21">
        <f>EXP(-LN(2)/2)*AB170+(1-EXP(-LN(2)/2))/(LN(2)/2)*V171*Y171*VLOOKUP('Données projet'!$B$9,Paramètres!$A$1:$I$89,3,0)*0.475*44/12</f>
        <v>1.6900962603331867E-16</v>
      </c>
      <c r="AC171" s="22">
        <f t="shared" si="163"/>
        <v>71.837612960033738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461.11544789618642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283.69036991773601</v>
      </c>
      <c r="T172" s="59">
        <f t="shared" si="142"/>
        <v>185.71711000275525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63.692129292692165</v>
      </c>
      <c r="AA172" s="21">
        <f>EXP(-LN(2)/25)*AA171+(1-EXP(-LN(2)/25))/(LN(2)/25)*Calculateur!V172*Calculateur!X172*VLOOKUP('Données projet'!$B$9,Paramètres!$A$1:$I$89,3,0)*0.475*44/12</f>
        <v>6.6836359903594085</v>
      </c>
      <c r="AB172" s="21">
        <f>EXP(-LN(2)/2)*AB171+(1-EXP(-LN(2)/2))/(LN(2)/2)*V172*Y172*VLOOKUP('Données projet'!$B$9,Paramètres!$A$1:$I$89,3,0)*0.475*44/12</f>
        <v>1.1950785265396209E-16</v>
      </c>
      <c r="AC172" s="22">
        <f t="shared" si="163"/>
        <v>70.375765283051578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462.29500038785034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283.69036991773601</v>
      </c>
      <c r="T173" s="59">
        <f t="shared" si="142"/>
        <v>185.71711000275525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62.443165485625386</v>
      </c>
      <c r="AA173" s="21">
        <f>EXP(-LN(2)/25)*AA172+(1-EXP(-LN(2)/25))/(LN(2)/25)*Calculateur!V173*Calculateur!X173*VLOOKUP('Données projet'!$B$9,Paramètres!$A$1:$I$89,3,0)*0.475*44/12</f>
        <v>6.5008716127258896</v>
      </c>
      <c r="AB173" s="21">
        <f>EXP(-LN(2)/2)*AB172+(1-EXP(-LN(2)/2))/(LN(2)/2)*V173*Y173*VLOOKUP('Données projet'!$B$9,Paramètres!$A$1:$I$89,3,0)*0.475*44/12</f>
        <v>8.4504813016659336E-17</v>
      </c>
      <c r="AC173" s="22">
        <f t="shared" si="163"/>
        <v>68.944037098351274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463.47439640666357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283.69036991773601</v>
      </c>
      <c r="T174" s="59">
        <f t="shared" si="142"/>
        <v>185.71711000275525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61.218693097022481</v>
      </c>
      <c r="AA174" s="21">
        <f>EXP(-LN(2)/25)*AA173+(1-EXP(-LN(2)/25))/(LN(2)/25)*Calculateur!V174*Calculateur!X174*VLOOKUP('Données projet'!$B$9,Paramètres!$A$1:$I$89,3,0)*0.475*44/12</f>
        <v>6.3231049366099201</v>
      </c>
      <c r="AB174" s="21">
        <f>EXP(-LN(2)/2)*AB173+(1-EXP(-LN(2)/2))/(LN(2)/2)*V174*Y174*VLOOKUP('Données projet'!$B$9,Paramètres!$A$1:$I$89,3,0)*0.475*44/12</f>
        <v>5.9753926326981046E-17</v>
      </c>
      <c r="AC174" s="22">
        <f t="shared" si="163"/>
        <v>67.541798033632404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464.65363697384748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283.69036991773601</v>
      </c>
      <c r="T175" s="59">
        <f t="shared" si="142"/>
        <v>185.71711000275525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60.018231865105669</v>
      </c>
      <c r="AA175" s="21">
        <f>EXP(-LN(2)/25)*AA174+(1-EXP(-LN(2)/25))/(LN(2)/25)*Calculateur!V175*Calculateur!X175*VLOOKUP('Données projet'!$B$9,Paramètres!$A$1:$I$89,3,0)*0.475*44/12</f>
        <v>6.1501992996006845</v>
      </c>
      <c r="AB175" s="21">
        <f>EXP(-LN(2)/2)*AB174+(1-EXP(-LN(2)/2))/(LN(2)/2)*V175*Y175*VLOOKUP('Données projet'!$B$9,Paramètres!$A$1:$I$89,3,0)*0.475*44/12</f>
        <v>4.2252406508329668E-17</v>
      </c>
      <c r="AC175" s="22">
        <f t="shared" si="163"/>
        <v>66.168431164706348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465.83272309806171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283.69036991773601</v>
      </c>
      <c r="T176" s="59">
        <f t="shared" si="142"/>
        <v>185.71711000275525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58.841310945737696</v>
      </c>
      <c r="AA176" s="21">
        <f>EXP(-LN(2)/25)*AA175+(1-EXP(-LN(2)/25))/(LN(2)/25)*Calculateur!V176*Calculateur!X176*VLOOKUP('Données projet'!$B$9,Paramètres!$A$1:$I$89,3,0)*0.475*44/12</f>
        <v>5.9820217763281791</v>
      </c>
      <c r="AB176" s="21">
        <f>EXP(-LN(2)/2)*AB175+(1-EXP(-LN(2)/2))/(LN(2)/2)*V176*Y176*VLOOKUP('Données projet'!$B$9,Paramètres!$A$1:$I$89,3,0)*0.475*44/12</f>
        <v>2.9876963163490523E-17</v>
      </c>
      <c r="AC176" s="22">
        <f t="shared" si="163"/>
        <v>64.823332722065871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467.01165577563029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283.69036991773601</v>
      </c>
      <c r="T177" s="59">
        <f t="shared" si="142"/>
        <v>185.71711000275525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57.68746872774765</v>
      </c>
      <c r="AA177" s="21">
        <f>EXP(-LN(2)/25)*AA176+(1-EXP(-LN(2)/25))/(LN(2)/25)*Calculateur!V177*Calculateur!X177*VLOOKUP('Données projet'!$B$9,Paramètres!$A$1:$I$89,3,0)*0.475*44/12</f>
        <v>5.8184430762736321</v>
      </c>
      <c r="AB177" s="21">
        <f>EXP(-LN(2)/2)*AB176+(1-EXP(-LN(2)/2))/(LN(2)/2)*V177*Y177*VLOOKUP('Données projet'!$B$9,Paramètres!$A$1:$I$89,3,0)*0.475*44/12</f>
        <v>2.1126203254164834E-17</v>
      </c>
      <c r="AC177" s="22">
        <f t="shared" si="163"/>
        <v>63.505911804021281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468.19043599076269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283.69036991773601</v>
      </c>
      <c r="T178" s="59">
        <f t="shared" si="142"/>
        <v>185.71711000275525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56.556252651878125</v>
      </c>
      <c r="AA178" s="21">
        <f>EXP(-LN(2)/25)*AA177+(1-EXP(-LN(2)/25))/(LN(2)/25)*Calculateur!V178*Calculateur!X178*VLOOKUP('Données projet'!$B$9,Paramètres!$A$1:$I$89,3,0)*0.475*44/12</f>
        <v>5.6593374443743061</v>
      </c>
      <c r="AB178" s="21">
        <f>EXP(-LN(2)/2)*AB177+(1-EXP(-LN(2)/2))/(LN(2)/2)*V178*Y178*VLOOKUP('Données projet'!$B$9,Paramètres!$A$1:$I$89,3,0)*0.475*44/12</f>
        <v>1.4938481581745261E-17</v>
      </c>
      <c r="AC178" s="22">
        <f t="shared" si="163"/>
        <v>62.215590096252434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469.3690647157693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283.69036991773601</v>
      </c>
      <c r="T179" s="59">
        <f t="shared" si="142"/>
        <v>185.71711000275525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55.447219033282728</v>
      </c>
      <c r="AA179" s="21">
        <f>EXP(-LN(2)/25)*AA178+(1-EXP(-LN(2)/25))/(LN(2)/25)*Calculateur!V179*Calculateur!X179*VLOOKUP('Données projet'!$B$9,Paramètres!$A$1:$I$89,3,0)*0.475*44/12</f>
        <v>5.5045825643462694</v>
      </c>
      <c r="AB179" s="21">
        <f>EXP(-LN(2)/2)*AB178+(1-EXP(-LN(2)/2))/(LN(2)/2)*V179*Y179*VLOOKUP('Données projet'!$B$9,Paramètres!$A$1:$I$89,3,0)*0.475*44/12</f>
        <v>1.0563101627082417E-17</v>
      </c>
      <c r="AC179" s="22">
        <f t="shared" si="163"/>
        <v>60.951801597629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470.54754291127216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283.69036991773601</v>
      </c>
      <c r="T180" s="59">
        <f t="shared" si="142"/>
        <v>185.71711000275525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54.359932887504272</v>
      </c>
      <c r="AA180" s="21">
        <f>EXP(-LN(2)/25)*AA179+(1-EXP(-LN(2)/25))/(LN(2)/25)*Calculateur!V180*Calculateur!X180*VLOOKUP('Données projet'!$B$9,Paramètres!$A$1:$I$89,3,0)*0.475*44/12</f>
        <v>5.3540594646508044</v>
      </c>
      <c r="AB180" s="21">
        <f>EXP(-LN(2)/2)*AB179+(1-EXP(-LN(2)/2))/(LN(2)/2)*V180*Y180*VLOOKUP('Données projet'!$B$9,Paramètres!$A$1:$I$89,3,0)*0.475*44/12</f>
        <v>7.4692407908726307E-18</v>
      </c>
      <c r="AC180" s="22">
        <f t="shared" si="163"/>
        <v>59.713992352155074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471.7258715264108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283.69036991773601</v>
      </c>
      <c r="T181" s="59">
        <f t="shared" si="142"/>
        <v>185.71711000275525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53.29396775986546</v>
      </c>
      <c r="AA181" s="21">
        <f>EXP(-LN(2)/25)*AA180+(1-EXP(-LN(2)/25))/(LN(2)/25)*Calculateur!V181*Calculateur!X181*VLOOKUP('Données projet'!$B$9,Paramètres!$A$1:$I$89,3,0)*0.475*44/12</f>
        <v>5.207652427032178</v>
      </c>
      <c r="AB181" s="21">
        <f>EXP(-LN(2)/2)*AB180+(1-EXP(-LN(2)/2))/(LN(2)/2)*V181*Y181*VLOOKUP('Données projet'!$B$9,Paramètres!$A$1:$I$89,3,0)*0.475*44/12</f>
        <v>5.2815508135412085E-18</v>
      </c>
      <c r="AC181" s="22">
        <f t="shared" si="163"/>
        <v>58.50162018689764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472.90405149904302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283.69036991773601</v>
      </c>
      <c r="T182" s="59">
        <f t="shared" si="142"/>
        <v>185.71711000275525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52.248905558205117</v>
      </c>
      <c r="AA182" s="21">
        <f>EXP(-LN(2)/25)*AA181+(1-EXP(-LN(2)/25))/(LN(2)/25)*Calculateur!V182*Calculateur!X182*VLOOKUP('Données projet'!$B$9,Paramètres!$A$1:$I$89,3,0)*0.475*44/12</f>
        <v>5.0652488975564438</v>
      </c>
      <c r="AB182" s="21">
        <f>EXP(-LN(2)/2)*AB181+(1-EXP(-LN(2)/2))/(LN(2)/2)*V182*Y182*VLOOKUP('Données projet'!$B$9,Paramètres!$A$1:$I$89,3,0)*0.475*44/12</f>
        <v>3.7346203954363154E-18</v>
      </c>
      <c r="AC182" s="22">
        <f t="shared" si="163"/>
        <v>57.31415445576156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474.08208375594126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283.69036991773601</v>
      </c>
      <c r="T183" s="59">
        <f t="shared" si="142"/>
        <v>185.71711000275525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51.224336388894336</v>
      </c>
      <c r="AA183" s="21">
        <f>EXP(-LN(2)/25)*AA182+(1-EXP(-LN(2)/25))/(LN(2)/25)*Calculateur!V183*Calculateur!X183*VLOOKUP('Données projet'!$B$9,Paramètres!$A$1:$I$89,3,0)*0.475*44/12</f>
        <v>4.9267394000828997</v>
      </c>
      <c r="AB183" s="21">
        <f>EXP(-LN(2)/2)*AB182+(1-EXP(-LN(2)/2))/(LN(2)/2)*V183*Y183*VLOOKUP('Données projet'!$B$9,Paramètres!$A$1:$I$89,3,0)*0.475*44/12</f>
        <v>2.6407754067706042E-18</v>
      </c>
      <c r="AC183" s="22">
        <f t="shared" si="163"/>
        <v>56.151075788977238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475.25996921298474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283.69036991773601</v>
      </c>
      <c r="T184" s="59">
        <f t="shared" si="142"/>
        <v>185.71711000275525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50.219858396068254</v>
      </c>
      <c r="AA184" s="21">
        <f>EXP(-LN(2)/25)*AA183+(1-EXP(-LN(2)/25))/(LN(2)/25)*Calculateur!V184*Calculateur!X184*VLOOKUP('Données projet'!$B$9,Paramètres!$A$1:$I$89,3,0)*0.475*44/12</f>
        <v>4.7920174521016676</v>
      </c>
      <c r="AB184" s="21">
        <f>EXP(-LN(2)/2)*AB183+(1-EXP(-LN(2)/2))/(LN(2)/2)*V184*Y184*VLOOKUP('Données projet'!$B$9,Paramètres!$A$1:$I$89,3,0)*0.475*44/12</f>
        <v>1.8673101977181577E-18</v>
      </c>
      <c r="AC184" s="22">
        <f t="shared" si="163"/>
        <v>55.011875848169922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476.43770877534655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283.69036991773601</v>
      </c>
      <c r="T185" s="59">
        <f t="shared" si="142"/>
        <v>185.71711000275525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49.235077604010407</v>
      </c>
      <c r="AA185" s="21">
        <f>EXP(-LN(2)/25)*AA184+(1-EXP(-LN(2)/25))/(LN(2)/25)*Calculateur!V185*Calculateur!X185*VLOOKUP('Données projet'!$B$9,Paramètres!$A$1:$I$89,3,0)*0.475*44/12</f>
        <v>4.660979482872702</v>
      </c>
      <c r="AB185" s="21">
        <f>EXP(-LN(2)/2)*AB184+(1-EXP(-LN(2)/2))/(LN(2)/2)*V185*Y185*VLOOKUP('Données projet'!$B$9,Paramètres!$A$1:$I$89,3,0)*0.475*44/12</f>
        <v>1.3203877033853021E-18</v>
      </c>
      <c r="AC185" s="22">
        <f t="shared" si="163"/>
        <v>53.896057086883111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477.61530333767718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283.69036991773601</v>
      </c>
      <c r="T186" s="59">
        <f t="shared" si="142"/>
        <v>185.71711000275525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48.269607762627842</v>
      </c>
      <c r="AA186" s="21">
        <f>EXP(-LN(2)/25)*AA185+(1-EXP(-LN(2)/25))/(LN(2)/25)*Calculateur!V186*Calculateur!X186*VLOOKUP('Données projet'!$B$9,Paramètres!$A$1:$I$89,3,0)*0.475*44/12</f>
        <v>4.5335247538032899</v>
      </c>
      <c r="AB186" s="21">
        <f>EXP(-LN(2)/2)*AB185+(1-EXP(-LN(2)/2))/(LN(2)/2)*V186*Y186*VLOOKUP('Données projet'!$B$9,Paramètres!$A$1:$I$89,3,0)*0.475*44/12</f>
        <v>9.3365509885907884E-19</v>
      </c>
      <c r="AC186" s="22">
        <f t="shared" si="163"/>
        <v>52.803132516431134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478.79275378428366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283.69036991773601</v>
      </c>
      <c r="T187" s="59">
        <f t="shared" si="142"/>
        <v>185.71711000275525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47.323070195956333</v>
      </c>
      <c r="AA187" s="21">
        <f>EXP(-LN(2)/25)*AA186+(1-EXP(-LN(2)/25))/(LN(2)/25)*Calculateur!V187*Calculateur!X187*VLOOKUP('Données projet'!$B$9,Paramètres!$A$1:$I$89,3,0)*0.475*44/12</f>
        <v>4.4095552810028336</v>
      </c>
      <c r="AB187" s="21">
        <f>EXP(-LN(2)/2)*AB186+(1-EXP(-LN(2)/2))/(LN(2)/2)*V187*Y187*VLOOKUP('Données projet'!$B$9,Paramètres!$A$1:$I$89,3,0)*0.475*44/12</f>
        <v>6.6019385169265106E-19</v>
      </c>
      <c r="AC187" s="22">
        <f t="shared" si="163"/>
        <v>51.732625476959164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479.97006098930456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283.69036991773601</v>
      </c>
      <c r="T188" s="59">
        <f t="shared" si="142"/>
        <v>185.71711000275525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46.395093653636344</v>
      </c>
      <c r="AA188" s="21">
        <f>EXP(-LN(2)/25)*AA187+(1-EXP(-LN(2)/25))/(LN(2)/25)*Calculateur!V188*Calculateur!X188*VLOOKUP('Données projet'!$B$9,Paramètres!$A$1:$I$89,3,0)*0.475*44/12</f>
        <v>4.2889757599553766</v>
      </c>
      <c r="AB188" s="21">
        <f>EXP(-LN(2)/2)*AB187+(1-EXP(-LN(2)/2))/(LN(2)/2)*V188*Y188*VLOOKUP('Données projet'!$B$9,Paramètres!$A$1:$I$89,3,0)*0.475*44/12</f>
        <v>4.6682754942953942E-19</v>
      </c>
      <c r="AC188" s="22">
        <f t="shared" si="163"/>
        <v>50.684069413591722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481.1472258168813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283.69036991773601</v>
      </c>
      <c r="T189" s="59">
        <f t="shared" si="142"/>
        <v>185.71711000275525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45.485314165301446</v>
      </c>
      <c r="AA189" s="21">
        <f>EXP(-LN(2)/25)*AA188+(1-EXP(-LN(2)/25))/(LN(2)/25)*Calculateur!V189*Calculateur!X189*VLOOKUP('Données projet'!$B$9,Paramètres!$A$1:$I$89,3,0)*0.475*44/12</f>
        <v>4.171693492251964</v>
      </c>
      <c r="AB189" s="21">
        <f>EXP(-LN(2)/2)*AB188+(1-EXP(-LN(2)/2))/(LN(2)/2)*V189*Y189*VLOOKUP('Données projet'!$B$9,Paramètres!$A$1:$I$89,3,0)*0.475*44/12</f>
        <v>3.3009692584632553E-19</v>
      </c>
      <c r="AC189" s="22">
        <f t="shared" si="163"/>
        <v>49.657007657553407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482.32424912132575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283.69036991773601</v>
      </c>
      <c r="T190" s="59">
        <f t="shared" si="142"/>
        <v>185.71711000275525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44.593374897822102</v>
      </c>
      <c r="AA190" s="21">
        <f>EXP(-LN(2)/25)*AA189+(1-EXP(-LN(2)/25))/(LN(2)/25)*Calculateur!V190*Calculateur!X190*VLOOKUP('Données projet'!$B$9,Paramètres!$A$1:$I$89,3,0)*0.475*44/12</f>
        <v>4.0576183143265077</v>
      </c>
      <c r="AB190" s="21">
        <f>EXP(-LN(2)/2)*AB189+(1-EXP(-LN(2)/2))/(LN(2)/2)*V190*Y190*VLOOKUP('Données projet'!$B$9,Paramètres!$A$1:$I$89,3,0)*0.475*44/12</f>
        <v>2.3341377471476971E-19</v>
      </c>
      <c r="AC190" s="22">
        <f t="shared" si="163"/>
        <v>48.650993212148606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483.50113174728358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283.69036991773601</v>
      </c>
      <c r="T191" s="59">
        <f t="shared" si="142"/>
        <v>185.71711000275525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43.718926015348792</v>
      </c>
      <c r="AA191" s="21">
        <f>EXP(-LN(2)/25)*AA190+(1-EXP(-LN(2)/25))/(LN(2)/25)*Calculateur!V191*Calculateur!X191*VLOOKUP('Données projet'!$B$9,Paramètres!$A$1:$I$89,3,0)*0.475*44/12</f>
        <v>3.9466625281403758</v>
      </c>
      <c r="AB191" s="21">
        <f>EXP(-LN(2)/2)*AB190+(1-EXP(-LN(2)/2))/(LN(2)/2)*V191*Y191*VLOOKUP('Données projet'!$B$9,Paramètres!$A$1:$I$89,3,0)*0.475*44/12</f>
        <v>1.6504846292316277E-19</v>
      </c>
      <c r="AC191" s="22">
        <f t="shared" si="163"/>
        <v>47.665588543489164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484.67787452989506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283.69036991773601</v>
      </c>
      <c r="T192" s="59">
        <f t="shared" si="142"/>
        <v>185.71711000275525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42.861624542099634</v>
      </c>
      <c r="AA192" s="21">
        <f>EXP(-LN(2)/25)*AA191+(1-EXP(-LN(2)/25))/(LN(2)/25)*Calculateur!V192*Calculateur!X192*VLOOKUP('Données projet'!$B$9,Paramètres!$A$1:$I$89,3,0)*0.475*44/12</f>
        <v>3.8387408337624151</v>
      </c>
      <c r="AB192" s="21">
        <f>EXP(-LN(2)/2)*AB191+(1-EXP(-LN(2)/2))/(LN(2)/2)*V192*Y192*VLOOKUP('Données projet'!$B$9,Paramètres!$A$1:$I$89,3,0)*0.475*44/12</f>
        <v>1.1670688735738486E-19</v>
      </c>
      <c r="AC192" s="22">
        <f t="shared" si="163"/>
        <v>46.700365375862049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485.85447829495109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283.69036991773601</v>
      </c>
      <c r="T193" s="59">
        <f t="shared" si="142"/>
        <v>185.71711000275525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42.021134227838623</v>
      </c>
      <c r="AA193" s="21">
        <f>EXP(-LN(2)/25)*AA192+(1-EXP(-LN(2)/25))/(LN(2)/25)*Calculateur!V193*Calculateur!X193*VLOOKUP('Données projet'!$B$9,Paramètres!$A$1:$I$89,3,0)*0.475*44/12</f>
        <v>3.7337702637925752</v>
      </c>
      <c r="AB193" s="21">
        <f>EXP(-LN(2)/2)*AB192+(1-EXP(-LN(2)/2))/(LN(2)/2)*V193*Y193*VLOOKUP('Données projet'!$B$9,Paramètres!$A$1:$I$89,3,0)*0.475*44/12</f>
        <v>8.2524231461581383E-20</v>
      </c>
      <c r="AC193" s="22">
        <f t="shared" si="163"/>
        <v>45.754904491631194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487.03094385904706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283.69036991773601</v>
      </c>
      <c r="T194" s="59">
        <f t="shared" si="142"/>
        <v>185.71711000275525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41.197125415991799</v>
      </c>
      <c r="AA194" s="21">
        <f>EXP(-LN(2)/25)*AA193+(1-EXP(-LN(2)/25))/(LN(2)/25)*Calculateur!V194*Calculateur!X194*VLOOKUP('Données projet'!$B$9,Paramètres!$A$1:$I$89,3,0)*0.475*44/12</f>
        <v>3.6316701195787227</v>
      </c>
      <c r="AB194" s="21">
        <f>EXP(-LN(2)/2)*AB193+(1-EXP(-LN(2)/2))/(LN(2)/2)*V194*Y194*VLOOKUP('Données projet'!$B$9,Paramètres!$A$1:$I$89,3,0)*0.475*44/12</f>
        <v>5.8353443678692428E-20</v>
      </c>
      <c r="AC194" s="22">
        <f t="shared" si="163"/>
        <v>44.828795535570521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488.20727202973239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283.69036991773601</v>
      </c>
      <c r="T195" s="59">
        <f t="shared" si="142"/>
        <v>185.71711000275525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40.389274914349542</v>
      </c>
      <c r="AA195" s="21">
        <f>EXP(-LN(2)/25)*AA194+(1-EXP(-LN(2)/25))/(LN(2)/25)*Calculateur!V195*Calculateur!X195*VLOOKUP('Données projet'!$B$9,Paramètres!$A$1:$I$89,3,0)*0.475*44/12</f>
        <v>3.5323619091776113</v>
      </c>
      <c r="AB195" s="21">
        <f>EXP(-LN(2)/2)*AB194+(1-EXP(-LN(2)/2))/(LN(2)/2)*V195*Y195*VLOOKUP('Données projet'!$B$9,Paramètres!$A$1:$I$89,3,0)*0.475*44/12</f>
        <v>4.1262115730790691E-20</v>
      </c>
      <c r="AC195" s="22">
        <f t="shared" si="163"/>
        <v>43.921636823527152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489.38346360565777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283.69036991773601</v>
      </c>
      <c r="T196" s="59">
        <f t="shared" si="142"/>
        <v>185.71711000275525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39.597265868304341</v>
      </c>
      <c r="AA196" s="21">
        <f>EXP(-LN(2)/25)*AA195+(1-EXP(-LN(2)/25))/(LN(2)/25)*Calculateur!V196*Calculateur!X196*VLOOKUP('Données projet'!$B$9,Paramètres!$A$1:$I$89,3,0)*0.475*44/12</f>
        <v>3.43576928701231</v>
      </c>
      <c r="AB196" s="21">
        <f>EXP(-LN(2)/2)*AB195+(1-EXP(-LN(2)/2))/(LN(2)/2)*V196*Y196*VLOOKUP('Données projet'!$B$9,Paramètres!$A$1:$I$89,3,0)*0.475*44/12</f>
        <v>2.9176721839346214E-20</v>
      </c>
      <c r="AC196" s="22">
        <f t="shared" si="163"/>
        <v>43.033035155316654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490.55951937671841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283.69036991773601</v>
      </c>
      <c r="T197" s="59">
        <f t="shared" ref="T197:T203" si="204">$T$3</f>
        <v>185.71711000275525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38.820787636574266</v>
      </c>
      <c r="AA197" s="21">
        <f>EXP(-LN(2)/25)*AA196+(1-EXP(-LN(2)/25))/(LN(2)/25)*Calculateur!V197*Calculateur!X197*VLOOKUP('Données projet'!$B$9,Paramètres!$A$1:$I$89,3,0)*0.475*44/12</f>
        <v>3.3418179951797042</v>
      </c>
      <c r="AB197" s="21">
        <f>EXP(-LN(2)/2)*AB196+(1-EXP(-LN(2)/2))/(LN(2)/2)*V197*Y197*VLOOKUP('Données projet'!$B$9,Paramètres!$A$1:$I$89,3,0)*0.475*44/12</f>
        <v>2.0631057865395346E-20</v>
      </c>
      <c r="AC197" s="22">
        <f t="shared" si="163"/>
        <v>42.162605631753969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491.73544012419472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283.69036991773601</v>
      </c>
      <c r="T198" s="59">
        <f t="shared" si="204"/>
        <v>185.71711000275525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38.059535669363463</v>
      </c>
      <c r="AA198" s="21">
        <f>EXP(-LN(2)/25)*AA197+(1-EXP(-LN(2)/25))/(LN(2)/25)*Calculateur!V198*Calculateur!X198*VLOOKUP('Données projet'!$B$9,Paramètres!$A$1:$I$89,3,0)*0.475*44/12</f>
        <v>3.2504358063629448</v>
      </c>
      <c r="AB198" s="21">
        <f>EXP(-LN(2)/2)*AB197+(1-EXP(-LN(2)/2))/(LN(2)/2)*V198*Y198*VLOOKUP('Données projet'!$B$9,Paramètres!$A$1:$I$89,3,0)*0.475*44/12</f>
        <v>1.4588360919673107E-20</v>
      </c>
      <c r="AC198" s="22">
        <f t="shared" si="163"/>
        <v>41.309971475726407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492.91122662089026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283.69036991773601</v>
      </c>
      <c r="T199" s="59">
        <f t="shared" si="204"/>
        <v>185.71711000275525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37.31321138891181</v>
      </c>
      <c r="AA199" s="21">
        <f>EXP(-LN(2)/25)*AA198+(1-EXP(-LN(2)/25))/(LN(2)/25)*Calculateur!V199*Calculateur!X199*VLOOKUP('Données projet'!$B$9,Paramètres!$A$1:$I$89,3,0)*0.475*44/12</f>
        <v>3.1615524683049601</v>
      </c>
      <c r="AB199" s="21">
        <f>EXP(-LN(2)/2)*AB198+(1-EXP(-LN(2)/2))/(LN(2)/2)*V199*Y199*VLOOKUP('Données projet'!$B$9,Paramètres!$A$1:$I$89,3,0)*0.475*44/12</f>
        <v>1.0315528932697673E-20</v>
      </c>
      <c r="AC199" s="22">
        <f t="shared" si="163"/>
        <v>40.474763857216772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494.08687963126607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283.69036991773601</v>
      </c>
      <c r="T200" s="59">
        <f t="shared" si="204"/>
        <v>185.71711000275525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36.581522072386953</v>
      </c>
      <c r="AA200" s="21">
        <f>EXP(-LN(2)/25)*AA199+(1-EXP(-LN(2)/25))/(LN(2)/25)*Calculateur!V200*Calculateur!X200*VLOOKUP('Données projet'!$B$9,Paramètres!$A$1:$I$89,3,0)*0.475*44/12</f>
        <v>3.0750996498003422</v>
      </c>
      <c r="AB200" s="21">
        <f>EXP(-LN(2)/2)*AB199+(1-EXP(-LN(2)/2))/(LN(2)/2)*V200*Y200*VLOOKUP('Données projet'!$B$9,Paramètres!$A$1:$I$89,3,0)*0.475*44/12</f>
        <v>7.2941804598365535E-21</v>
      </c>
      <c r="AC200" s="22">
        <f t="shared" si="163"/>
        <v>39.656621722187296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495.26239991157297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283.69036991773601</v>
      </c>
      <c r="T201" s="59">
        <f t="shared" si="204"/>
        <v>185.71711000275525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35.864180737072729</v>
      </c>
      <c r="AA201" s="21">
        <f>EXP(-LN(2)/25)*AA200+(1-EXP(-LN(2)/25))/(LN(2)/25)*Calculateur!V201*Calculateur!X201*VLOOKUP('Données projet'!$B$9,Paramètres!$A$1:$I$89,3,0)*0.475*44/12</f>
        <v>2.9910108881640896</v>
      </c>
      <c r="AB201" s="21">
        <f>EXP(-LN(2)/2)*AB200+(1-EXP(-LN(2)/2))/(LN(2)/2)*V201*Y201*VLOOKUP('Données projet'!$B$9,Paramètres!$A$1:$I$89,3,0)*0.475*44/12</f>
        <v>5.1577644663488364E-21</v>
      </c>
      <c r="AC201" s="22">
        <f t="shared" si="163"/>
        <v>38.85519162523682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496.43778820998034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283.69036991773601</v>
      </c>
      <c r="T202" s="59">
        <f t="shared" si="204"/>
        <v>185.71711000275525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35.160906027809006</v>
      </c>
      <c r="AA202" s="21">
        <f>EXP(-LN(2)/25)*AA201+(1-EXP(-LN(2)/25))/(LN(2)/25)*Calculateur!V202*Calculateur!X202*VLOOKUP('Données projet'!$B$9,Paramètres!$A$1:$I$89,3,0)*0.475*44/12</f>
        <v>2.9092215381368161</v>
      </c>
      <c r="AB202" s="21">
        <f>EXP(-LN(2)/2)*AB201+(1-EXP(-LN(2)/2))/(LN(2)/2)*V202*Y202*VLOOKUP('Données projet'!$B$9,Paramètres!$A$1:$I$89,3,0)*0.475*44/12</f>
        <v>3.6470902299182767E-21</v>
      </c>
      <c r="AC202" s="22">
        <f t="shared" si="163"/>
        <v>38.070127565945825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9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497.61304526670318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283.69036991773601</v>
      </c>
      <c r="T203" s="59">
        <f t="shared" si="204"/>
        <v>185.71711000275525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34.471422106638727</v>
      </c>
      <c r="AA203" s="21">
        <f>EXP(-LN(2)/25)*AA202+(1-EXP(-LN(2)/25))/(LN(2)/25)*Calculateur!V203*Calculateur!X203*VLOOKUP('Données projet'!$B$9,Paramètres!$A$1:$I$89,3,0)*0.475*44/12</f>
        <v>2.829668722187153</v>
      </c>
      <c r="AB203" s="21">
        <f>EXP(-LN(2)/2)*AB202+(1-EXP(-LN(2)/2))/(LN(2)/2)*V203*Y203*VLOOKUP('Données projet'!$B$9,Paramètres!$A$1:$I$89,3,0)*0.475*44/12</f>
        <v>2.5788822331744182E-21</v>
      </c>
      <c r="AC203" s="22">
        <f t="shared" si="163"/>
        <v>37.301090828825878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9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9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1.2683026488017477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75" defaultRowHeight="14.3" x14ac:dyDescent="0.25"/>
  <cols>
    <col min="1" max="1" width="23.375" style="4" bestFit="1" customWidth="1"/>
    <col min="2" max="2" width="27.75" style="4" bestFit="1" customWidth="1"/>
    <col min="3" max="3" width="11.875" style="4" bestFit="1" customWidth="1"/>
    <col min="4" max="4" width="40" style="4" bestFit="1" customWidth="1"/>
    <col min="5" max="5" width="11.875" style="4" bestFit="1" customWidth="1"/>
    <col min="6" max="6" width="13.75" style="4" bestFit="1" customWidth="1"/>
    <col min="7" max="7" width="11.375" style="4" bestFit="1" customWidth="1"/>
    <col min="8" max="8" width="39" style="4" bestFit="1" customWidth="1"/>
    <col min="9" max="9" width="16.75" style="4" customWidth="1"/>
    <col min="10" max="14" width="11.375" style="4"/>
    <col min="15" max="15" width="23.375" style="4" bestFit="1" customWidth="1"/>
    <col min="16" max="16384" width="11.375" style="4"/>
  </cols>
  <sheetData>
    <row r="1" spans="1:16" ht="43.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9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9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9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9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9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9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zoomScale="90" zoomScaleNormal="90" workbookViewId="0">
      <selection activeCell="J25" sqref="J25"/>
    </sheetView>
  </sheetViews>
  <sheetFormatPr baseColWidth="10" defaultColWidth="11.375" defaultRowHeight="14.3" x14ac:dyDescent="0.25"/>
  <cols>
    <col min="1" max="1" width="22.875" style="1" bestFit="1" customWidth="1"/>
    <col min="2" max="2" width="10.625" style="1" bestFit="1" customWidth="1"/>
    <col min="3" max="3" width="15.625" style="1" bestFit="1" customWidth="1"/>
    <col min="4" max="4" width="13.375" style="1" bestFit="1" customWidth="1"/>
    <col min="5" max="8" width="11.375" style="1"/>
    <col min="9" max="13" width="11.375" style="62"/>
    <col min="14" max="15" width="11.375" style="1"/>
    <col min="16" max="17" width="13.375" style="1" customWidth="1"/>
    <col min="18" max="16384" width="11.375" style="1"/>
  </cols>
  <sheetData>
    <row r="1" spans="1:62" ht="15.8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ht="14.9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8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ht="14.95" x14ac:dyDescent="0.25">
      <c r="A6" s="145" t="str">
        <f>IF('Données projet'!$B$9="","",'Données projet'!$B$9)</f>
        <v>Cèdre de l'Atlas</v>
      </c>
      <c r="B6" s="146">
        <f>'Données projet'!D9</f>
        <v>3.6</v>
      </c>
      <c r="C6" s="147">
        <f ca="1">IF(OR('Données projet'!B9="",'Données projet'!C9="",'Données projet'!C9=0%),0,Calculateur!S3)</f>
        <v>283.69036991773601</v>
      </c>
      <c r="D6" s="147">
        <f>IF(OR('Données projet'!B9="",'Données projet'!C9="",'Données projet'!C9=0%),0,Calculateur!T3)</f>
        <v>185.71711000275525</v>
      </c>
      <c r="E6" s="147">
        <f ca="1">MIN(C6,D6)</f>
        <v>185.71711000275525</v>
      </c>
      <c r="F6" s="147">
        <f ca="1">E6*B6</f>
        <v>668.58159600991894</v>
      </c>
      <c r="G6" s="147">
        <f ca="1">F6*(100%-'Données projet'!$C$24)*(100%-'Données projet'!$C$25)*(100%-'Données projet'!$C$26)*(100%-'Données projet'!$C$27)</f>
        <v>541.55109276803444</v>
      </c>
      <c r="H6" s="148">
        <f>IF(OR('Données projet'!B9="",'Données projet'!C9="",'Données projet'!C9=0%),0,AVERAGE(Calculateur!$AC$3:$AC$33)*B6)</f>
        <v>21.643623165365621</v>
      </c>
      <c r="I6" s="149">
        <f>H6*(100%-'Données projet'!$C$24)*(100%-'Données projet'!$C$25)*(100%-'Données projet'!$C$26)*(100%-'Données projet'!$C$27)</f>
        <v>17.531334763946155</v>
      </c>
      <c r="J6" s="150">
        <f>IF(OR('Données projet'!B9="",'Données projet'!C9="",'Données projet'!C9=0%),0,SUM(Calculateur!$V$3:$V$33)*VLOOKUP('Données projet'!$B$9,Paramètres!$A$1:$I$89,9,0)*B6)</f>
        <v>216.72</v>
      </c>
      <c r="K6" s="151">
        <f>J6*(100%-'Données projet'!$C$24)*(100%-'Données projet'!$C$25)*(100%-'Données projet'!$C$26)*(100%-'Données projet'!$C$27)</f>
        <v>175.54320000000001</v>
      </c>
      <c r="L6" s="152">
        <f ca="1">G6+I6+K6</f>
        <v>734.62562753198063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ht="14.95" x14ac:dyDescent="0.2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ht="14.95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ht="14.95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ht="14.95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ht="14.95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ht="14.95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ht="14.95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ht="14.95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8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8" thickBot="1" x14ac:dyDescent="0.3">
      <c r="A16" s="209"/>
      <c r="B16" s="213"/>
      <c r="C16" s="214"/>
      <c r="D16" s="23"/>
      <c r="E16" s="23"/>
      <c r="F16" s="165">
        <f t="shared" ref="F16:L16" ca="1" si="3">SUM(F6:F15)</f>
        <v>668.58159600991894</v>
      </c>
      <c r="G16" s="166">
        <f t="shared" ca="1" si="3"/>
        <v>541.55109276803444</v>
      </c>
      <c r="H16" s="167">
        <f t="shared" si="3"/>
        <v>21.643623165365621</v>
      </c>
      <c r="I16" s="167">
        <f t="shared" si="3"/>
        <v>17.531334763946155</v>
      </c>
      <c r="J16" s="168">
        <f t="shared" si="3"/>
        <v>216.72</v>
      </c>
      <c r="K16" s="168">
        <f t="shared" si="3"/>
        <v>175.54320000000001</v>
      </c>
      <c r="L16" s="169">
        <f t="shared" ca="1" si="3"/>
        <v>734.62562753198063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ht="14.95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8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8" thickBot="1" x14ac:dyDescent="0.3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ht="14.95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ht="14.95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ht="14.95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ht="14.95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ht="14.95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ht="14.95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ht="14.95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ht="14.95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ht="14.95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ht="14.95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9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95" thickBot="1" x14ac:dyDescent="0.3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9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9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9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9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9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9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9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9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9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9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9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9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9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9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9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9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80" zoomScaleNormal="80" workbookViewId="0">
      <selection activeCell="C31" sqref="C31"/>
    </sheetView>
  </sheetViews>
  <sheetFormatPr baseColWidth="10" defaultColWidth="11.375" defaultRowHeight="14.3" x14ac:dyDescent="0.25"/>
  <cols>
    <col min="1" max="1" width="11.375" style="1"/>
    <col min="2" max="2" width="30.875" style="1" bestFit="1" customWidth="1"/>
    <col min="3" max="3" width="18.125" style="1" bestFit="1" customWidth="1"/>
    <col min="4" max="5" width="11.375" style="1"/>
    <col min="6" max="6" width="14" style="1" customWidth="1"/>
    <col min="7" max="7" width="17.625" style="1" customWidth="1"/>
    <col min="8" max="8" width="21.75" style="1" customWidth="1"/>
    <col min="9" max="9" width="37" style="1" customWidth="1"/>
    <col min="10" max="10" width="11.375" style="1"/>
    <col min="11" max="11" width="8.875" style="1" customWidth="1"/>
    <col min="12" max="12" width="11.375" style="1"/>
    <col min="13" max="13" width="21" style="1" customWidth="1"/>
    <col min="14" max="16" width="11.375" style="1"/>
    <col min="17" max="17" width="8" style="1" customWidth="1"/>
    <col min="18" max="18" width="11.375" style="1"/>
    <col min="19" max="19" width="31" style="1" customWidth="1"/>
    <col min="20" max="20" width="18.125" style="1" customWidth="1"/>
    <col min="21" max="21" width="16.375" style="1" customWidth="1"/>
    <col min="22" max="22" width="17.875" style="1" customWidth="1"/>
    <col min="23" max="16384" width="11.375" style="1"/>
  </cols>
  <sheetData>
    <row r="1" spans="1:42" ht="15.8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14.95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ht="14.95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8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" customHeight="1" thickBot="1" x14ac:dyDescent="0.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ht="14.95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1972.7295924272421</v>
      </c>
      <c r="U10" s="178">
        <f>'Données projet'!D9</f>
        <v>3.6</v>
      </c>
      <c r="V10" s="177">
        <f>U10*T10</f>
        <v>7101.8265327380714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ht="14.95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4.9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4.9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12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350000000000001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359.99999999999989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3500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4.95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1000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8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8" customHeight="1" x14ac:dyDescent="0.25">
      <c r="A23" s="180">
        <f>'Données projet'!A36</f>
        <v>20</v>
      </c>
      <c r="B23" s="181">
        <f>'Données projet'!D36</f>
        <v>92</v>
      </c>
      <c r="C23" s="193">
        <v>15</v>
      </c>
      <c r="D23" s="182">
        <f>B23*C23</f>
        <v>1380</v>
      </c>
      <c r="E23" s="193">
        <v>150</v>
      </c>
      <c r="F23" s="230"/>
      <c r="H23" s="190">
        <v>4</v>
      </c>
      <c r="I23" s="191">
        <v>500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-12783.373749126938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8" customHeight="1" x14ac:dyDescent="0.25">
      <c r="A24" s="180">
        <f>'Données projet'!A37</f>
        <v>30</v>
      </c>
      <c r="B24" s="181">
        <f>'Données projet'!D37</f>
        <v>48</v>
      </c>
      <c r="C24" s="193">
        <v>25</v>
      </c>
      <c r="D24" s="182">
        <f t="shared" ref="D24:D42" si="2">B24*C24</f>
        <v>1200</v>
      </c>
      <c r="E24" s="193">
        <v>150</v>
      </c>
      <c r="F24" s="233"/>
      <c r="H24" s="190">
        <v>5</v>
      </c>
      <c r="I24" s="191">
        <v>500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346.03202009707576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8" customHeight="1" x14ac:dyDescent="0.25">
      <c r="A25" s="180">
        <f>'Données projet'!A38</f>
        <v>40</v>
      </c>
      <c r="B25" s="181">
        <f>'Données projet'!D38</f>
        <v>50</v>
      </c>
      <c r="C25" s="193">
        <v>27</v>
      </c>
      <c r="D25" s="182">
        <f t="shared" si="2"/>
        <v>1350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-13129.405769224015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8" customHeight="1" x14ac:dyDescent="0.25">
      <c r="A26" s="180">
        <f>'Données projet'!A39</f>
        <v>50</v>
      </c>
      <c r="B26" s="181">
        <f>'Données projet'!D39</f>
        <v>52</v>
      </c>
      <c r="C26" s="193">
        <v>30</v>
      </c>
      <c r="D26" s="182">
        <f t="shared" si="2"/>
        <v>1560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8" customHeight="1" x14ac:dyDescent="0.25">
      <c r="A27" s="180">
        <f>'Données projet'!A40</f>
        <v>60</v>
      </c>
      <c r="B27" s="181">
        <f>'Données projet'!D40</f>
        <v>54</v>
      </c>
      <c r="C27" s="193">
        <v>35</v>
      </c>
      <c r="D27" s="182">
        <f t="shared" si="2"/>
        <v>1890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8" customHeight="1" x14ac:dyDescent="0.25">
      <c r="A28" s="180">
        <f>'Données projet'!A41</f>
        <v>70</v>
      </c>
      <c r="B28" s="181">
        <f>'Données projet'!D41</f>
        <v>54</v>
      </c>
      <c r="C28" s="193">
        <v>40</v>
      </c>
      <c r="D28" s="182">
        <f t="shared" si="2"/>
        <v>2160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ht="14.95" x14ac:dyDescent="0.25">
      <c r="A29" s="180">
        <f>'Données projet'!A42</f>
        <v>80</v>
      </c>
      <c r="B29" s="181">
        <f>'Données projet'!D42</f>
        <v>55</v>
      </c>
      <c r="C29" s="193">
        <v>45</v>
      </c>
      <c r="D29" s="182">
        <f t="shared" si="2"/>
        <v>2475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ht="14.95" x14ac:dyDescent="0.25">
      <c r="A30" s="180">
        <f>'Données projet'!A43</f>
        <v>90</v>
      </c>
      <c r="B30" s="181">
        <f>'Données projet'!D43</f>
        <v>57</v>
      </c>
      <c r="C30" s="193">
        <v>50</v>
      </c>
      <c r="D30" s="182">
        <f t="shared" si="2"/>
        <v>2850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ht="14.95" x14ac:dyDescent="0.25">
      <c r="A31" s="180">
        <f>'Données projet'!A44</f>
        <v>100</v>
      </c>
      <c r="B31" s="181">
        <f>'Données projet'!D44</f>
        <v>720</v>
      </c>
      <c r="C31" s="193">
        <v>55</v>
      </c>
      <c r="D31" s="182">
        <f t="shared" si="2"/>
        <v>39600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4.9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ht="14.95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ht="14.95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ht="14.95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ht="14.95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ht="14.95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ht="14.95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ht="14.95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350000000000001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4.9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4.95" customHeight="1" x14ac:dyDescent="0.2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4.95" customHeight="1" x14ac:dyDescent="0.2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4.9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4.9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4.9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4.9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8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8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8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8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8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8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8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4.9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DELTA TECHNOLOGIES</cp:lastModifiedBy>
  <dcterms:created xsi:type="dcterms:W3CDTF">2021-02-01T08:22:39Z</dcterms:created>
  <dcterms:modified xsi:type="dcterms:W3CDTF">2024-01-16T16:30:16Z</dcterms:modified>
</cp:coreProperties>
</file>