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# HERMOUET/BOUTEILLER - 14724757 LE/"/>
    </mc:Choice>
  </mc:AlternateContent>
  <xr:revisionPtr revIDLastSave="142" documentId="8_{83ED71FC-0A89-4A4E-B014-CED4CD24825B}" xr6:coauthVersionLast="47" xr6:coauthVersionMax="47" xr10:uidLastSave="{1CE1AC1A-3B55-41CA-A66A-A9B749D6C881}"/>
  <bookViews>
    <workbookView xWindow="-98" yWindow="-98" windowWidth="19396" windowHeight="11475" tabRatio="866" firstSheet="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I23" i="6"/>
  <c r="I24" i="6"/>
  <c r="I22" i="6"/>
  <c r="I21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HH20" i="2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I21" i="2"/>
  <c r="EV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EB35" i="2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G38" i="2"/>
  <c r="EX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G113" i="2"/>
  <c r="EC113" i="2"/>
  <c r="EB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HH118" i="2"/>
  <c r="EC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HI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EB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A144" i="2"/>
  <c r="EB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H150" i="2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G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W155" i="2" l="1"/>
  <c r="EY154" i="2"/>
  <c r="EX155" i="2"/>
  <c r="EA155" i="2"/>
  <c r="DI154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FS156" i="2"/>
  <c r="EB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EY159" i="2"/>
  <c r="ED159" i="2"/>
  <c r="DG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EA161" i="2"/>
  <c r="EB161" i="2"/>
  <c r="FS161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W162" i="2"/>
  <c r="EB162" i="2"/>
  <c r="DI161" i="2"/>
  <c r="HH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FR164" i="2"/>
  <c r="HH164" i="2"/>
  <c r="DI163" i="2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Y166" i="2"/>
  <c r="EA167" i="2"/>
  <c r="EB167" i="2"/>
  <c r="DG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B168" i="2"/>
  <c r="DI167" i="2"/>
  <c r="DG168" i="2"/>
  <c r="EC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HI172" i="2"/>
  <c r="EB172" i="2"/>
  <c r="EA172" i="2"/>
  <c r="HG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HH173" i="2"/>
  <c r="ED172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B175" i="2"/>
  <c r="EW175" i="2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FS178" i="2"/>
  <c r="EW178" i="2"/>
  <c r="EA178" i="2"/>
  <c r="EB178" i="2"/>
  <c r="ED177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ED178" i="2"/>
  <c r="EB179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HI185" i="2"/>
  <c r="ED184" i="2"/>
  <c r="EB185" i="2"/>
  <c r="HH185" i="2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W186" i="2"/>
  <c r="EA186" i="2"/>
  <c r="EB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Y188" i="2" s="1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HH189" i="2" l="1"/>
  <c r="EB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I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I192" i="2"/>
  <c r="EC192" i="2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DI192" i="2"/>
  <c r="EA193" i="2"/>
  <c r="EB193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HG194" i="2"/>
  <c r="HI194" i="2"/>
  <c r="EA194" i="2"/>
  <c r="EB194" i="2"/>
  <c r="ED193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FQ195" i="2" l="1"/>
  <c r="AA195" i="2"/>
  <c r="EY194" i="2"/>
  <c r="EA195" i="2"/>
  <c r="EX195" i="2"/>
  <c r="HI195" i="2"/>
  <c r="ED194" i="2"/>
  <c r="EB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Y196" i="2"/>
  <c r="FS197" i="2"/>
  <c r="HH197" i="2"/>
  <c r="EA197" i="2"/>
  <c r="EW197" i="2"/>
  <c r="EC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FS199" i="2"/>
  <c r="EA199" i="2"/>
  <c r="HH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FS201" i="2" l="1"/>
  <c r="ED200" i="2"/>
  <c r="DI200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FS202" i="2" l="1"/>
  <c r="HI202" i="2"/>
  <c r="EW202" i="2"/>
  <c r="ED201" i="2"/>
  <c r="HG202" i="2"/>
  <c r="FR202" i="2"/>
  <c r="EX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GT68" i="2" a="1"/>
  <c r="GT68" i="2" s="1"/>
  <c r="GT51" i="2" a="1"/>
  <c r="GT51" i="2" s="1"/>
  <c r="GT122" i="2" a="1"/>
  <c r="GT122" i="2" s="1"/>
  <c r="DN29" i="2" a="1"/>
  <c r="DN29" i="2" s="1"/>
  <c r="CS116" i="2" a="1"/>
  <c r="CS116" i="2" s="1"/>
  <c r="BC164" i="2" a="1"/>
  <c r="BC164" i="2" s="1"/>
  <c r="BC32" i="2" a="1"/>
  <c r="BC32" i="2" s="1"/>
  <c r="BC31" i="2" a="1"/>
  <c r="BC31" i="2" s="1"/>
  <c r="GT174" i="2" a="1"/>
  <c r="GT174" i="2" s="1"/>
  <c r="GT107" i="2" a="1"/>
  <c r="GT107" i="2" s="1"/>
  <c r="GT138" i="2" a="1"/>
  <c r="GT138" i="2" s="1"/>
  <c r="EI113" i="2" a="1"/>
  <c r="EI113" i="2" s="1"/>
  <c r="EI16" i="2" a="1"/>
  <c r="EI16" i="2" s="1"/>
  <c r="CS114" i="2" a="1"/>
  <c r="CS114" i="2" s="1"/>
  <c r="DN70" i="2" a="1"/>
  <c r="DN70" i="2" s="1"/>
  <c r="DN6" i="2" a="1"/>
  <c r="DN6" i="2" s="1"/>
  <c r="DO6" i="2" s="1"/>
  <c r="HJ202" i="2"/>
  <c r="AX200" i="2"/>
  <c r="FD160" i="2" l="1" a="1"/>
  <c r="FD160" i="2" s="1"/>
  <c r="FD159" i="2" a="1"/>
  <c r="FD159" i="2" s="1"/>
  <c r="FD167" i="2" a="1"/>
  <c r="FD167" i="2" s="1"/>
  <c r="EI139" i="2" a="1"/>
  <c r="EI139" i="2" s="1"/>
  <c r="EI67" i="2" a="1"/>
  <c r="EI67" i="2" s="1"/>
  <c r="EI170" i="2" a="1"/>
  <c r="EI170" i="2" s="1"/>
  <c r="EI142" i="2" a="1"/>
  <c r="EI142" i="2" s="1"/>
  <c r="EI106" i="2" a="1"/>
  <c r="EI106" i="2" s="1"/>
  <c r="EI128" i="2" a="1"/>
  <c r="EI128" i="2" s="1"/>
  <c r="EI20" i="2" a="1"/>
  <c r="EI20" i="2" s="1"/>
  <c r="EI34" i="2" a="1"/>
  <c r="EI34" i="2" s="1"/>
  <c r="BC192" i="2" a="1"/>
  <c r="BC192" i="2" s="1"/>
  <c r="BC55" i="2" a="1"/>
  <c r="BC55" i="2" s="1"/>
  <c r="BC114" i="2" a="1"/>
  <c r="BC114" i="2" s="1"/>
  <c r="BC34" i="2" a="1"/>
  <c r="BC34" i="2" s="1"/>
  <c r="DN186" i="2" a="1"/>
  <c r="DN186" i="2" s="1"/>
  <c r="DN188" i="2" a="1"/>
  <c r="DN188" i="2" s="1"/>
  <c r="GT38" i="2" a="1"/>
  <c r="GT38" i="2" s="1"/>
  <c r="DN162" i="2" a="1"/>
  <c r="DN162" i="2" s="1"/>
  <c r="DN49" i="2" a="1"/>
  <c r="DN49" i="2" s="1"/>
  <c r="DN132" i="2" a="1"/>
  <c r="DN132" i="2" s="1"/>
  <c r="DN164" i="2" a="1"/>
  <c r="DN164" i="2" s="1"/>
  <c r="EI165" i="2" a="1"/>
  <c r="EI165" i="2" s="1"/>
  <c r="GT178" i="2" a="1"/>
  <c r="GT178" i="2" s="1"/>
  <c r="FD188" i="2" a="1"/>
  <c r="FD188" i="2" s="1"/>
  <c r="DN153" i="2" a="1"/>
  <c r="DN153" i="2" s="1"/>
  <c r="EI166" i="2" a="1"/>
  <c r="EI166" i="2" s="1"/>
  <c r="BC82" i="2" a="1"/>
  <c r="BC82" i="2" s="1"/>
  <c r="FS203" i="2"/>
  <c r="DN31" i="2" a="1"/>
  <c r="DN31" i="2" s="1"/>
  <c r="DN135" i="2" a="1"/>
  <c r="DN135" i="2" s="1"/>
  <c r="EI71" i="2" a="1"/>
  <c r="EI71" i="2" s="1"/>
  <c r="GT189" i="2" a="1"/>
  <c r="GT189" i="2" s="1"/>
  <c r="FY142" i="2" a="1"/>
  <c r="FY142" i="2" s="1"/>
  <c r="DN170" i="2" a="1"/>
  <c r="DN170" i="2" s="1"/>
  <c r="GT11" i="2" a="1"/>
  <c r="GT11" i="2" s="1"/>
  <c r="DN110" i="2" a="1"/>
  <c r="DN110" i="2" s="1"/>
  <c r="DN167" i="2" a="1"/>
  <c r="DN167" i="2" s="1"/>
  <c r="DN187" i="2" a="1"/>
  <c r="DN187" i="2" s="1"/>
  <c r="DN155" i="2" a="1"/>
  <c r="DN155" i="2" s="1"/>
  <c r="FD189" i="2" a="1"/>
  <c r="FD189" i="2" s="1"/>
  <c r="GT74" i="2" a="1"/>
  <c r="GT74" i="2" s="1"/>
  <c r="DN30" i="2" a="1"/>
  <c r="DN30" i="2" s="1"/>
  <c r="DN46" i="2" a="1"/>
  <c r="DN46" i="2" s="1"/>
  <c r="DN38" i="2" a="1"/>
  <c r="DN38" i="2" s="1"/>
  <c r="EI57" i="2" a="1"/>
  <c r="EI57" i="2" s="1"/>
  <c r="GT198" i="2" a="1"/>
  <c r="GT198" i="2" s="1"/>
  <c r="FY30" i="2" a="1"/>
  <c r="FY30" i="2" s="1"/>
  <c r="DN129" i="2" a="1"/>
  <c r="DN129" i="2" s="1"/>
  <c r="GT102" i="2" a="1"/>
  <c r="GT102" i="2" s="1"/>
  <c r="FY104" i="2" a="1"/>
  <c r="FY104" i="2" s="1"/>
  <c r="DN150" i="2" a="1"/>
  <c r="DN150" i="2" s="1"/>
  <c r="GT191" i="2" a="1"/>
  <c r="GT191" i="2" s="1"/>
  <c r="DN86" i="2" a="1"/>
  <c r="DN86" i="2" s="1"/>
  <c r="DN56" i="2" a="1"/>
  <c r="DN56" i="2" s="1"/>
  <c r="EI36" i="2" a="1"/>
  <c r="EI36" i="2" s="1"/>
  <c r="GT21" i="2" a="1"/>
  <c r="GT21" i="2" s="1"/>
  <c r="FY196" i="2" a="1"/>
  <c r="FY196" i="2" s="1"/>
  <c r="DN50" i="2" a="1"/>
  <c r="DN50" i="2" s="1"/>
  <c r="GT147" i="2" a="1"/>
  <c r="GT147" i="2" s="1"/>
  <c r="FY190" i="2" a="1"/>
  <c r="FY190" i="2" s="1"/>
  <c r="DN41" i="2" a="1"/>
  <c r="DN41" i="2" s="1"/>
  <c r="DN192" i="2" a="1"/>
  <c r="DN192" i="2" s="1"/>
  <c r="GT181" i="2" a="1"/>
  <c r="GT181" i="2" s="1"/>
  <c r="FD82" i="2" a="1"/>
  <c r="FD82" i="2" s="1"/>
  <c r="DN45" i="2" a="1"/>
  <c r="DN45" i="2" s="1"/>
  <c r="DN80" i="2" a="1"/>
  <c r="DN80" i="2" s="1"/>
  <c r="EI87" i="2" a="1"/>
  <c r="EI87" i="2" s="1"/>
  <c r="GT12" i="2" a="1"/>
  <c r="GT12" i="2" s="1"/>
  <c r="DN114" i="2" a="1"/>
  <c r="DN114" i="2" s="1"/>
  <c r="DN113" i="2" a="1"/>
  <c r="DN113" i="2" s="1"/>
  <c r="GT152" i="2" a="1"/>
  <c r="GT152" i="2" s="1"/>
  <c r="FY78" i="2" a="1"/>
  <c r="FY78" i="2" s="1"/>
  <c r="DN124" i="2" a="1"/>
  <c r="DN124" i="2" s="1"/>
  <c r="GT126" i="2" a="1"/>
  <c r="GT126" i="2" s="1"/>
  <c r="FD48" i="2" a="1"/>
  <c r="FD48" i="2" s="1"/>
  <c r="DN176" i="2" a="1"/>
  <c r="DN176" i="2" s="1"/>
  <c r="DN190" i="2" a="1"/>
  <c r="DN190" i="2" s="1"/>
  <c r="DN168" i="2" a="1"/>
  <c r="DN168" i="2" s="1"/>
  <c r="EI109" i="2" a="1"/>
  <c r="EI109" i="2" s="1"/>
  <c r="DN63" i="2" a="1"/>
  <c r="DN63" i="2" s="1"/>
  <c r="DN103" i="2" a="1"/>
  <c r="DN103" i="2" s="1"/>
  <c r="DN25" i="2" a="1"/>
  <c r="DN25" i="2" s="1"/>
  <c r="GT33" i="2" a="1"/>
  <c r="GT33" i="2" s="1"/>
  <c r="FY186" i="2" a="1"/>
  <c r="FY186" i="2" s="1"/>
  <c r="DN43" i="2" a="1"/>
  <c r="DN43" i="2" s="1"/>
  <c r="DN66" i="2" a="1"/>
  <c r="DN66" i="2" s="1"/>
  <c r="GT184" i="2" a="1"/>
  <c r="GT184" i="2" s="1"/>
  <c r="DN177" i="2" a="1"/>
  <c r="DN177" i="2" s="1"/>
  <c r="DN115" i="2" a="1"/>
  <c r="DN115" i="2" s="1"/>
  <c r="DN133" i="2" a="1"/>
  <c r="DN133" i="2" s="1"/>
  <c r="EI37" i="2" a="1"/>
  <c r="EI37" i="2" s="1"/>
  <c r="EI38" i="2" a="1"/>
  <c r="EI38" i="2" s="1"/>
  <c r="DN123" i="2" a="1"/>
  <c r="DN123" i="2" s="1"/>
  <c r="DN184" i="2" a="1"/>
  <c r="DN184" i="2" s="1"/>
  <c r="GT133" i="2" a="1"/>
  <c r="GT133" i="2" s="1"/>
  <c r="FY69" i="2" a="1"/>
  <c r="FY69" i="2" s="1"/>
  <c r="DN55" i="2" a="1"/>
  <c r="DN55" i="2" s="1"/>
  <c r="GT190" i="2" a="1"/>
  <c r="GT190" i="2" s="1"/>
  <c r="DN16" i="2" a="1"/>
  <c r="DN16" i="2" s="1"/>
  <c r="GT115" i="2" a="1"/>
  <c r="GT115" i="2" s="1"/>
  <c r="DN65" i="2" a="1"/>
  <c r="DN65" i="2" s="1"/>
  <c r="EI35" i="2" a="1"/>
  <c r="EI35" i="2" s="1"/>
  <c r="GT15" i="2" a="1"/>
  <c r="GT15" i="2" s="1"/>
  <c r="EI195" i="2" a="1"/>
  <c r="EI195" i="2" s="1"/>
  <c r="DN152" i="2" a="1"/>
  <c r="DN152" i="2" s="1"/>
  <c r="GT121" i="2" a="1"/>
  <c r="GT121" i="2" s="1"/>
  <c r="FY35" i="2" a="1"/>
  <c r="FY35" i="2" s="1"/>
  <c r="AH163" i="2" a="1"/>
  <c r="AH163" i="2" s="1"/>
  <c r="AH62" i="2" a="1"/>
  <c r="AH62" i="2" s="1"/>
  <c r="AH19" i="2" a="1"/>
  <c r="AH19" i="2" s="1"/>
  <c r="AH90" i="2" a="1"/>
  <c r="AH90" i="2" s="1"/>
  <c r="AH166" i="2" a="1"/>
  <c r="AH166" i="2" s="1"/>
  <c r="AH151" i="2" a="1"/>
  <c r="AH151" i="2" s="1"/>
  <c r="AH92" i="2" a="1"/>
  <c r="AH92" i="2" s="1"/>
  <c r="AH199" i="2" a="1"/>
  <c r="AH199" i="2" s="1"/>
  <c r="DN137" i="2" a="1"/>
  <c r="DN137" i="2" s="1"/>
  <c r="BX107" i="2" a="1"/>
  <c r="BX107" i="2" s="1"/>
  <c r="CS120" i="2" a="1"/>
  <c r="CS120" i="2" s="1"/>
  <c r="CS72" i="2" a="1"/>
  <c r="CS72" i="2" s="1"/>
  <c r="CS134" i="2" a="1"/>
  <c r="CS134" i="2" s="1"/>
  <c r="CS185" i="2" a="1"/>
  <c r="CS185" i="2" s="1"/>
  <c r="CS24" i="2" a="1"/>
  <c r="CS24" i="2" s="1"/>
  <c r="CS38" i="2" a="1"/>
  <c r="CS38" i="2" s="1"/>
  <c r="CS56" i="2" a="1"/>
  <c r="CS56" i="2" s="1"/>
  <c r="CS129" i="2" a="1"/>
  <c r="CS129" i="2" s="1"/>
  <c r="CS105" i="2" a="1"/>
  <c r="CS105" i="2" s="1"/>
  <c r="CS161" i="2" a="1"/>
  <c r="CS161" i="2" s="1"/>
  <c r="CS77" i="2" a="1"/>
  <c r="CS77" i="2" s="1"/>
  <c r="CS137" i="2" a="1"/>
  <c r="CS137" i="2" s="1"/>
  <c r="CS52" i="2" a="1"/>
  <c r="CS52" i="2" s="1"/>
  <c r="CS66" i="2" a="1"/>
  <c r="CS66" i="2" s="1"/>
  <c r="BC130" i="2" a="1"/>
  <c r="BC130" i="2" s="1"/>
  <c r="BC65" i="2" a="1"/>
  <c r="BC65" i="2" s="1"/>
  <c r="BC126" i="2" a="1"/>
  <c r="BC126" i="2" s="1"/>
  <c r="BC47" i="2" a="1"/>
  <c r="BC47" i="2" s="1"/>
  <c r="BC18" i="2" a="1"/>
  <c r="BC18" i="2" s="1"/>
  <c r="BC38" i="2" a="1"/>
  <c r="BC38" i="2" s="1"/>
  <c r="BC83" i="2" a="1"/>
  <c r="BC83" i="2" s="1"/>
  <c r="BC7" i="2" a="1"/>
  <c r="BC7" i="2" s="1"/>
  <c r="BD7" i="2" s="1"/>
  <c r="BC151" i="2" a="1"/>
  <c r="BC151" i="2" s="1"/>
  <c r="BC185" i="2" a="1"/>
  <c r="BC185" i="2" s="1"/>
  <c r="BC143" i="2" a="1"/>
  <c r="BC143" i="2" s="1"/>
  <c r="BC68" i="2" a="1"/>
  <c r="BC68" i="2" s="1"/>
  <c r="BC58" i="2" a="1"/>
  <c r="BC58" i="2" s="1"/>
  <c r="BC84" i="2" a="1"/>
  <c r="BC84" i="2" s="1"/>
  <c r="BC117" i="2" a="1"/>
  <c r="BC117" i="2" s="1"/>
  <c r="BC181" i="2" a="1"/>
  <c r="BC181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T203" i="2" s="1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ED203" i="2"/>
  <c r="CN203" i="2"/>
  <c r="DI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AN103" i="2" l="1"/>
  <c r="AN82" i="2"/>
  <c r="AN55" i="2"/>
  <c r="AN69" i="2"/>
  <c r="AN37" i="2"/>
  <c r="AN108" i="2"/>
  <c r="AN135" i="2"/>
  <c r="AN20" i="2"/>
  <c r="AN87" i="2"/>
  <c r="AN113" i="2"/>
  <c r="AN56" i="2"/>
  <c r="AN121" i="2"/>
  <c r="AN173" i="2"/>
  <c r="AN195" i="2"/>
  <c r="AN172" i="2"/>
  <c r="AN53" i="2"/>
  <c r="AN142" i="2"/>
  <c r="AN51" i="2"/>
  <c r="AN48" i="2"/>
  <c r="AN125" i="2"/>
  <c r="AN129" i="2"/>
  <c r="AN175" i="2"/>
  <c r="AN136" i="2"/>
  <c r="AN157" i="2"/>
  <c r="AN100" i="2"/>
  <c r="AN194" i="2"/>
  <c r="AN167" i="2"/>
  <c r="AN35" i="2"/>
  <c r="AN109" i="2"/>
  <c r="AN133" i="2"/>
  <c r="AN30" i="2"/>
  <c r="AN68" i="2"/>
  <c r="AN119" i="2"/>
  <c r="AN34" i="2"/>
  <c r="AN84" i="2"/>
  <c r="AN7" i="2"/>
  <c r="AN50" i="2"/>
  <c r="AN177" i="2"/>
  <c r="AN10" i="2"/>
  <c r="AN183" i="2"/>
  <c r="AN8" i="2"/>
  <c r="AN105" i="2"/>
  <c r="AN112" i="2"/>
  <c r="AN47" i="2"/>
  <c r="AN77" i="2"/>
  <c r="AN196" i="2"/>
  <c r="AN97" i="2"/>
  <c r="AN164" i="2"/>
  <c r="AN92" i="2"/>
  <c r="AN124" i="2"/>
  <c r="AN79" i="2"/>
  <c r="AN67" i="2"/>
  <c r="AN83" i="2"/>
  <c r="AN158" i="2"/>
  <c r="AN94" i="2"/>
  <c r="AN76" i="2"/>
  <c r="AN152" i="2"/>
  <c r="AN59" i="2"/>
  <c r="AN11" i="2"/>
  <c r="AN132" i="2"/>
  <c r="AN86" i="2"/>
  <c r="AN156" i="2"/>
  <c r="AN62" i="2"/>
  <c r="AN128" i="2"/>
  <c r="AN22" i="2"/>
  <c r="AN72" i="2"/>
  <c r="AN120" i="2"/>
  <c r="AN151" i="2"/>
  <c r="AN174" i="2"/>
  <c r="AN63" i="2"/>
  <c r="AN148" i="2"/>
  <c r="AN41" i="2"/>
  <c r="AN45" i="2"/>
  <c r="AN146" i="2"/>
  <c r="AN141" i="2"/>
  <c r="AN58" i="2"/>
  <c r="AN163" i="2"/>
  <c r="AN32" i="2"/>
  <c r="AN96" i="2"/>
  <c r="AN197" i="2"/>
  <c r="AN182" i="2"/>
  <c r="AN198" i="2"/>
  <c r="AN150" i="2"/>
  <c r="AN25" i="2"/>
  <c r="AN70" i="2"/>
  <c r="AN145" i="2"/>
  <c r="AN118" i="2"/>
  <c r="AN162" i="2"/>
  <c r="AN202" i="2"/>
  <c r="AN188" i="2"/>
  <c r="AN91" i="2"/>
  <c r="AN147" i="2"/>
  <c r="AN127" i="2"/>
  <c r="AN49" i="2"/>
  <c r="AN165" i="2"/>
  <c r="AN23" i="2"/>
  <c r="AN131" i="2"/>
  <c r="AN12" i="2"/>
  <c r="AN65" i="2"/>
  <c r="AN101" i="2"/>
  <c r="AN42" i="2"/>
  <c r="AN154" i="2"/>
  <c r="AN78" i="2"/>
  <c r="AN193" i="2"/>
  <c r="AN138" i="2"/>
  <c r="AN46" i="2"/>
  <c r="AN73" i="2"/>
  <c r="AN153" i="2"/>
  <c r="AN31" i="2"/>
  <c r="AN137" i="2"/>
  <c r="AN116" i="2"/>
  <c r="AN29" i="2"/>
  <c r="AN203" i="2"/>
  <c r="AN24" i="2"/>
  <c r="AN17" i="2"/>
  <c r="AN28" i="2"/>
  <c r="AN18" i="2"/>
  <c r="AN168" i="2"/>
  <c r="AN185" i="2"/>
  <c r="AN3" i="2"/>
  <c r="C7" i="4" s="1"/>
  <c r="E7" i="4" s="1"/>
  <c r="F7" i="4" s="1"/>
  <c r="G7" i="4" s="1"/>
  <c r="L7" i="4" s="1"/>
  <c r="AN140" i="2"/>
  <c r="AN107" i="2"/>
  <c r="AN81" i="2"/>
  <c r="AN134" i="2"/>
  <c r="AN80" i="2"/>
  <c r="AN123" i="2"/>
  <c r="AN90" i="2"/>
  <c r="AN52" i="2"/>
  <c r="AN54" i="2"/>
  <c r="AN16" i="2"/>
  <c r="AN13" i="2"/>
  <c r="AN189" i="2"/>
  <c r="AN89" i="2"/>
  <c r="AN95" i="2"/>
  <c r="AN99" i="2"/>
  <c r="AN44" i="2"/>
  <c r="AN66" i="2"/>
  <c r="AN117" i="2"/>
  <c r="AN190" i="2"/>
  <c r="AN181" i="2"/>
  <c r="AN139" i="2"/>
  <c r="AN178" i="2"/>
  <c r="AN60" i="2"/>
  <c r="AN166" i="2"/>
  <c r="AN130" i="2"/>
  <c r="AN179" i="2"/>
  <c r="AN144" i="2"/>
  <c r="AN106" i="2"/>
  <c r="AN61" i="2"/>
  <c r="AN171" i="2"/>
  <c r="AN102" i="2"/>
  <c r="AN126" i="2"/>
  <c r="AN143" i="2"/>
  <c r="AN93" i="2"/>
  <c r="AN6" i="2"/>
  <c r="AN110" i="2"/>
  <c r="AN192" i="2"/>
  <c r="AN176" i="2"/>
  <c r="AN201" i="2"/>
  <c r="AN21" i="2"/>
  <c r="AN187" i="2"/>
  <c r="AN43" i="2"/>
  <c r="AN104" i="2"/>
  <c r="AN180" i="2"/>
  <c r="AN74" i="2"/>
  <c r="AN169" i="2"/>
  <c r="AN170" i="2"/>
  <c r="AN85" i="2"/>
  <c r="AN200" i="2"/>
  <c r="AN184" i="2"/>
  <c r="AN19" i="2"/>
  <c r="AN71" i="2"/>
  <c r="AN88" i="2"/>
  <c r="AN9" i="2"/>
  <c r="AN57" i="2"/>
  <c r="AN36" i="2"/>
  <c r="AN98" i="2"/>
  <c r="AN191" i="2"/>
  <c r="AN40" i="2"/>
  <c r="AN199" i="2"/>
  <c r="AN15" i="2"/>
  <c r="AN64" i="2"/>
  <c r="AN38" i="2"/>
  <c r="AN186" i="2"/>
  <c r="AN4" i="2"/>
  <c r="AN160" i="2"/>
  <c r="AN122" i="2"/>
  <c r="AN161" i="2"/>
  <c r="AN33" i="2"/>
  <c r="AN39" i="2"/>
  <c r="AN5" i="2"/>
  <c r="AN114" i="2"/>
  <c r="AN149" i="2"/>
  <c r="AN26" i="2"/>
  <c r="AN27" i="2"/>
  <c r="AN159" i="2"/>
  <c r="AN111" i="2"/>
  <c r="AN75" i="2"/>
  <c r="AN155" i="2"/>
  <c r="AN14" i="2"/>
  <c r="AN115" i="2"/>
  <c r="FE185" i="2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CD163" i="2" l="1"/>
  <c r="CD55" i="2"/>
  <c r="CD103" i="2"/>
  <c r="CD60" i="2"/>
  <c r="CD111" i="2"/>
  <c r="CD78" i="2"/>
  <c r="CD16" i="2"/>
  <c r="CD144" i="2"/>
  <c r="CD76" i="2"/>
  <c r="CD197" i="2"/>
  <c r="CD167" i="2"/>
  <c r="CD70" i="2"/>
  <c r="CD177" i="2"/>
  <c r="CD82" i="2"/>
  <c r="CD187" i="2"/>
  <c r="CD126" i="2"/>
  <c r="CD139" i="2"/>
  <c r="CD152" i="2"/>
  <c r="CD54" i="2"/>
  <c r="CD155" i="2"/>
  <c r="CD168" i="2"/>
  <c r="CD184" i="2"/>
  <c r="CD200" i="2"/>
  <c r="CD108" i="2"/>
  <c r="CD92" i="2"/>
  <c r="CD59" i="2"/>
  <c r="CD169" i="2"/>
  <c r="CD171" i="2"/>
  <c r="CD34" i="2"/>
  <c r="CD49" i="2"/>
  <c r="CD46" i="2"/>
  <c r="CD5" i="2"/>
  <c r="CD27" i="2"/>
  <c r="CD4" i="2"/>
  <c r="CD118" i="2"/>
  <c r="CD41" i="2"/>
  <c r="CD28" i="2"/>
  <c r="CD156" i="2"/>
  <c r="CD25" i="2"/>
  <c r="CD188" i="2"/>
  <c r="CD140" i="2"/>
  <c r="CD148" i="2"/>
  <c r="CD133" i="2"/>
  <c r="CD191" i="2"/>
  <c r="CD91" i="2"/>
  <c r="CD116" i="2"/>
  <c r="CD9" i="2"/>
  <c r="CD22" i="2"/>
  <c r="CD135" i="2"/>
  <c r="CD112" i="2"/>
  <c r="CD71" i="2"/>
  <c r="CD157" i="2"/>
  <c r="CD39" i="2"/>
  <c r="CD201" i="2"/>
  <c r="CD17" i="2"/>
  <c r="CD99" i="2"/>
  <c r="CD202" i="2"/>
  <c r="CD20" i="2"/>
  <c r="CD181" i="2"/>
  <c r="CD8" i="2"/>
  <c r="CD69" i="2"/>
  <c r="CD58" i="2"/>
  <c r="CD138" i="2"/>
  <c r="CD19" i="2"/>
  <c r="CD147" i="2"/>
  <c r="CD158" i="2"/>
  <c r="CD150" i="2"/>
  <c r="CD114" i="2"/>
  <c r="CD77" i="2"/>
  <c r="CD170" i="2"/>
  <c r="CD66" i="2"/>
  <c r="CD125" i="2"/>
  <c r="CD189" i="2"/>
  <c r="CD94" i="2"/>
  <c r="CD154" i="2"/>
  <c r="CD165" i="2"/>
  <c r="CD93" i="2"/>
  <c r="CD175" i="2"/>
  <c r="CD137" i="2"/>
  <c r="CD161" i="2"/>
  <c r="CD64" i="2"/>
  <c r="CD63" i="2"/>
  <c r="CD162" i="2"/>
  <c r="CD21" i="2"/>
  <c r="CD185" i="2"/>
  <c r="CD89" i="2"/>
  <c r="CD38" i="2"/>
  <c r="CD47" i="2"/>
  <c r="CD134" i="2"/>
  <c r="CD142" i="2"/>
  <c r="CD110" i="2"/>
  <c r="CD42" i="2"/>
  <c r="CD26" i="2"/>
  <c r="CD129" i="2"/>
  <c r="CD179" i="2"/>
  <c r="CD127" i="2"/>
  <c r="CD18" i="2"/>
  <c r="CD11" i="2"/>
  <c r="CD80" i="2"/>
  <c r="CD84" i="2"/>
  <c r="CD149" i="2"/>
  <c r="CD33" i="2"/>
  <c r="CD29" i="2"/>
  <c r="CD56" i="2"/>
  <c r="CD62" i="2"/>
  <c r="CD48" i="2"/>
  <c r="CD40" i="2"/>
  <c r="CD203" i="2"/>
  <c r="CD15" i="2"/>
  <c r="CD85" i="2"/>
  <c r="CD124" i="2"/>
  <c r="CD199" i="2"/>
  <c r="CD101" i="2"/>
  <c r="CD83" i="2"/>
  <c r="CD52" i="2"/>
  <c r="CD102" i="2"/>
  <c r="CD119" i="2"/>
  <c r="CD104" i="2"/>
  <c r="CD57" i="2"/>
  <c r="CD186" i="2"/>
  <c r="CD88" i="2"/>
  <c r="CD131" i="2"/>
  <c r="CD117" i="2"/>
  <c r="CD106" i="2"/>
  <c r="CD130" i="2"/>
  <c r="CD68" i="2"/>
  <c r="CD145" i="2"/>
  <c r="CD198" i="2"/>
  <c r="CD45" i="2"/>
  <c r="CD123" i="2"/>
  <c r="CD107" i="2"/>
  <c r="CD75" i="2"/>
  <c r="CD14" i="2"/>
  <c r="CD115" i="2"/>
  <c r="CD32" i="2"/>
  <c r="CD74" i="2"/>
  <c r="CD190" i="2"/>
  <c r="CD176" i="2"/>
  <c r="CD86" i="2"/>
  <c r="CD160" i="2"/>
  <c r="CD182" i="2"/>
  <c r="CD151" i="2"/>
  <c r="CD90" i="2"/>
  <c r="CD96" i="2"/>
  <c r="CD6" i="2"/>
  <c r="CD36" i="2"/>
  <c r="CD159" i="2"/>
  <c r="CD173" i="2"/>
  <c r="CD136" i="2"/>
  <c r="CD153" i="2"/>
  <c r="CD183" i="2"/>
  <c r="CD194" i="2"/>
  <c r="CD164" i="2"/>
  <c r="CD72" i="2"/>
  <c r="CD195" i="2"/>
  <c r="CD67" i="2"/>
  <c r="CD100" i="2"/>
  <c r="CD24" i="2"/>
  <c r="CD79" i="2"/>
  <c r="CD105" i="2"/>
  <c r="CD141" i="2"/>
  <c r="CD166" i="2"/>
  <c r="CD23" i="2"/>
  <c r="CD53" i="2"/>
  <c r="CD87" i="2"/>
  <c r="CD65" i="2"/>
  <c r="CD97" i="2"/>
  <c r="CD73" i="2"/>
  <c r="CD193" i="2"/>
  <c r="CD3" i="2"/>
  <c r="C9" i="4" s="1"/>
  <c r="E9" i="4" s="1"/>
  <c r="F9" i="4" s="1"/>
  <c r="G9" i="4" s="1"/>
  <c r="L9" i="4" s="1"/>
  <c r="CD120" i="2"/>
  <c r="CD44" i="2"/>
  <c r="CD7" i="2"/>
  <c r="CD122" i="2"/>
  <c r="CD10" i="2"/>
  <c r="CD30" i="2"/>
  <c r="CD35" i="2"/>
  <c r="CD121" i="2"/>
  <c r="CD37" i="2"/>
  <c r="CD12" i="2"/>
  <c r="CD180" i="2"/>
  <c r="CD95" i="2"/>
  <c r="CD61" i="2"/>
  <c r="CD132" i="2"/>
  <c r="CD196" i="2"/>
  <c r="CD192" i="2"/>
  <c r="CD51" i="2"/>
  <c r="CD174" i="2"/>
  <c r="CD128" i="2"/>
  <c r="CD143" i="2"/>
  <c r="CD113" i="2"/>
  <c r="CD50" i="2"/>
  <c r="CD146" i="2"/>
  <c r="CD31" i="2"/>
  <c r="CD172" i="2"/>
  <c r="CD43" i="2"/>
  <c r="CD109" i="2"/>
  <c r="CD13" i="2"/>
  <c r="CD178" i="2"/>
  <c r="CD98" i="2"/>
  <c r="CD81" i="2"/>
  <c r="FE193" i="2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EO116" i="2" l="1"/>
  <c r="EO71" i="2"/>
  <c r="EO114" i="2"/>
  <c r="EO186" i="2"/>
  <c r="EO142" i="2"/>
  <c r="EO5" i="2"/>
  <c r="EO46" i="2"/>
  <c r="EO138" i="2"/>
  <c r="EO72" i="2"/>
  <c r="EO113" i="2"/>
  <c r="EO91" i="2"/>
  <c r="EO34" i="2"/>
  <c r="EO133" i="2"/>
  <c r="EO8" i="2"/>
  <c r="EO161" i="2"/>
  <c r="EO185" i="2"/>
  <c r="EO75" i="2"/>
  <c r="EO126" i="2"/>
  <c r="EO107" i="2"/>
  <c r="EO35" i="2"/>
  <c r="EO156" i="2"/>
  <c r="EO50" i="2"/>
  <c r="EO145" i="2"/>
  <c r="EO40" i="2"/>
  <c r="EO92" i="2"/>
  <c r="EO101" i="2"/>
  <c r="EO139" i="2"/>
  <c r="EO94" i="2"/>
  <c r="EO159" i="2"/>
  <c r="EO182" i="2"/>
  <c r="EO11" i="2"/>
  <c r="EO47" i="2"/>
  <c r="EO33" i="2"/>
  <c r="EO51" i="2"/>
  <c r="EO85" i="2"/>
  <c r="EO127" i="2"/>
  <c r="EO45" i="2"/>
  <c r="EO163" i="2"/>
  <c r="EO179" i="2"/>
  <c r="EO154" i="2"/>
  <c r="EO121" i="2"/>
  <c r="EO95" i="2"/>
  <c r="EO80" i="2"/>
  <c r="EO183" i="2"/>
  <c r="EO187" i="2"/>
  <c r="EO110" i="2"/>
  <c r="EO93" i="2"/>
  <c r="EO55" i="2"/>
  <c r="EO197" i="2"/>
  <c r="EO27" i="2"/>
  <c r="EO24" i="2"/>
  <c r="EO130" i="2"/>
  <c r="EO115" i="2"/>
  <c r="EO43" i="2"/>
  <c r="EO135" i="2"/>
  <c r="EO48" i="2"/>
  <c r="EO201" i="2"/>
  <c r="EO86" i="2"/>
  <c r="EO38" i="2"/>
  <c r="EO198" i="2"/>
  <c r="EO192" i="2"/>
  <c r="EO57" i="2"/>
  <c r="EO194" i="2"/>
  <c r="EO9" i="2"/>
  <c r="EO148" i="2"/>
  <c r="EO37" i="2"/>
  <c r="EO30" i="2"/>
  <c r="EO103" i="2"/>
  <c r="EO166" i="2"/>
  <c r="EO184" i="2"/>
  <c r="EO21" i="2"/>
  <c r="EO63" i="2"/>
  <c r="EO52" i="2"/>
  <c r="EO99" i="2"/>
  <c r="EO25" i="2"/>
  <c r="EO152" i="2"/>
  <c r="EO23" i="2"/>
  <c r="EO147" i="2"/>
  <c r="EO188" i="2"/>
  <c r="EO44" i="2"/>
  <c r="EO14" i="2"/>
  <c r="EO90" i="2"/>
  <c r="EO29" i="2"/>
  <c r="EO158" i="2"/>
  <c r="EO87" i="2"/>
  <c r="EO56" i="2"/>
  <c r="EO16" i="2"/>
  <c r="EO153" i="2"/>
  <c r="EO134" i="2"/>
  <c r="EO19" i="2"/>
  <c r="EO181" i="2"/>
  <c r="EO3" i="2"/>
  <c r="C12" i="4" s="1"/>
  <c r="E12" i="4" s="1"/>
  <c r="F12" i="4" s="1"/>
  <c r="G12" i="4" s="1"/>
  <c r="L12" i="4" s="1"/>
  <c r="EO123" i="2"/>
  <c r="EO162" i="2"/>
  <c r="EO109" i="2"/>
  <c r="EO98" i="2"/>
  <c r="EO10" i="2"/>
  <c r="EO172" i="2"/>
  <c r="EO32" i="2"/>
  <c r="EO150" i="2"/>
  <c r="EO132" i="2"/>
  <c r="EO149" i="2"/>
  <c r="EO84" i="2"/>
  <c r="EO171" i="2"/>
  <c r="EO193" i="2"/>
  <c r="EO173" i="2"/>
  <c r="EO180" i="2"/>
  <c r="EO88" i="2"/>
  <c r="EO73" i="2"/>
  <c r="EO70" i="2"/>
  <c r="EO17" i="2"/>
  <c r="EO177" i="2"/>
  <c r="EO105" i="2"/>
  <c r="EO125" i="2"/>
  <c r="EO39" i="2"/>
  <c r="EO13" i="2"/>
  <c r="EO190" i="2"/>
  <c r="EO6" i="2"/>
  <c r="EO68" i="2"/>
  <c r="EO118" i="2"/>
  <c r="EO141" i="2"/>
  <c r="EO20" i="2"/>
  <c r="EO131" i="2"/>
  <c r="EO122" i="2"/>
  <c r="EO203" i="2"/>
  <c r="EO124" i="2"/>
  <c r="EO15" i="2"/>
  <c r="EO119" i="2"/>
  <c r="EO112" i="2"/>
  <c r="EO176" i="2"/>
  <c r="EO53" i="2"/>
  <c r="EO42" i="2"/>
  <c r="EO157" i="2"/>
  <c r="EO81" i="2"/>
  <c r="EO102" i="2"/>
  <c r="EO74" i="2"/>
  <c r="EO79" i="2"/>
  <c r="EO104" i="2"/>
  <c r="EO69" i="2"/>
  <c r="EO111" i="2"/>
  <c r="EO58" i="2"/>
  <c r="EO89" i="2"/>
  <c r="EO191" i="2"/>
  <c r="EO178" i="2"/>
  <c r="EO199" i="2"/>
  <c r="EO202" i="2"/>
  <c r="EO106" i="2"/>
  <c r="EO62" i="2"/>
  <c r="EO168" i="2"/>
  <c r="EO60" i="2"/>
  <c r="EO167" i="2"/>
  <c r="EO175" i="2"/>
  <c r="EO189" i="2"/>
  <c r="EO28" i="2"/>
  <c r="EO66" i="2"/>
  <c r="EO22" i="2"/>
  <c r="EO100" i="2"/>
  <c r="EO76" i="2"/>
  <c r="EO7" i="2"/>
  <c r="EO78" i="2"/>
  <c r="EO108" i="2"/>
  <c r="EO170" i="2"/>
  <c r="EO36" i="2"/>
  <c r="EO196" i="2"/>
  <c r="EO96" i="2"/>
  <c r="EO144" i="2"/>
  <c r="EO155" i="2"/>
  <c r="EO26" i="2"/>
  <c r="EO54" i="2"/>
  <c r="EO49" i="2"/>
  <c r="EO83" i="2"/>
  <c r="EO129" i="2"/>
  <c r="EO146" i="2"/>
  <c r="EO65" i="2"/>
  <c r="EO64" i="2"/>
  <c r="EO165" i="2"/>
  <c r="EO120" i="2"/>
  <c r="EO77" i="2"/>
  <c r="EO200" i="2"/>
  <c r="EO67" i="2"/>
  <c r="EO41" i="2"/>
  <c r="EO18" i="2"/>
  <c r="EO174" i="2"/>
  <c r="EO143" i="2"/>
  <c r="EO169" i="2"/>
  <c r="EO61" i="2"/>
  <c r="EO137" i="2"/>
  <c r="EO195" i="2"/>
  <c r="EO140" i="2"/>
  <c r="EO164" i="2"/>
  <c r="EO97" i="2"/>
  <c r="EO31" i="2"/>
  <c r="EO128" i="2"/>
  <c r="EO160" i="2"/>
  <c r="EO4" i="2"/>
  <c r="EO151" i="2"/>
  <c r="EO136" i="2"/>
  <c r="EO12" i="2"/>
  <c r="EO59" i="2"/>
  <c r="EO117" i="2"/>
  <c r="EO82" i="2"/>
  <c r="FE196" i="2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<sst xmlns="http://schemas.openxmlformats.org/spreadsheetml/2006/main" count="1183" uniqueCount="331">
  <si>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</si>
  <si>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</si>
  <si>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</si>
  <si>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</si>
  <si>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</si>
  <si>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</si>
  <si>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</si>
  <si>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</si>
  <si>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</si>
  <si>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</si>
  <si>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</si>
  <si>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</si>
  <si>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</si>
  <si>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</si>
  <si>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</si>
  <si>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</si>
  <si>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</si>
  <si>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</si>
  <si>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</si>
  <si>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</si>
  <si>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</si>
  <si>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</si>
  <si>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</si>
  <si>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</si>
  <si>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</si>
  <si>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</si>
  <si>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</si>
  <si>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</si>
  <si>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</si>
  <si>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</si>
  <si>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</si>
  <si>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</si>
  <si>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</si>
  <si>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</si>
  <si>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</si>
  <si>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</si>
  <si>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</si>
  <si>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</si>
  <si>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</si>
  <si>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</si>
  <si>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</si>
  <si>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</si>
  <si>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</si>
  <si>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</si>
  <si>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</si>
  <si>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</si>
  <si>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</si>
  <si>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</si>
  <si>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</si>
  <si>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</si>
  <si>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</si>
  <si>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</si>
  <si>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</si>
  <si>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</si>
  <si>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</si>
  <si>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</si>
  <si>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</si>
  <si>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</si>
  <si>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</si>
  <si>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</si>
  <si>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</si>
  <si>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</si>
  <si>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</si>
  <si>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</si>
  <si>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</si>
  <si>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</si>
  <si>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</si>
  <si>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</si>
  <si>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</si>
  <si>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</si>
  <si>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</si>
  <si>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</si>
  <si>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</si>
  <si>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</si>
  <si>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</si>
  <si>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</si>
  <si>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</si>
  <si>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</si>
  <si>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</si>
  <si>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</si>
  <si>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</si>
  <si>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</si>
  <si>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</si>
  <si>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</si>
  <si>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</si>
  <si>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</si>
  <si>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</si>
  <si>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</si>
  <si>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</si>
  <si>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</si>
  <si>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</si>
  <si>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</si>
  <si>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</si>
  <si>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</si>
  <si>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</si>
  <si>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</si>
  <si>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</si>
  <si>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</si>
  <si>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</si>
  <si>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</si>
  <si>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</si>
  <si>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</si>
  <si>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</si>
  <si>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</si>
  <si>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</si>
  <si>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</si>
  <si>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</si>
  <si>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</si>
  <si>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</si>
  <si>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</si>
  <si>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</si>
  <si>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</si>
  <si>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</si>
  <si>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</si>
  <si>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</si>
  <si>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</si>
  <si>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</si>
  <si>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</si>
  <si>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</si>
  <si>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</si>
  <si>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</si>
  <si>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</si>
  <si>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</si>
  <si>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</si>
  <si>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</si>
  <si>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</si>
  <si>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</si>
  <si>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</si>
  <si>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</si>
  <si>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</si>
  <si>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</si>
  <si>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</si>
  <si>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</si>
  <si>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</si>
  <si>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</si>
  <si>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</si>
  <si>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</si>
  <si>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</si>
  <si>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</si>
  <si>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</si>
  <si>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</si>
  <si>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</si>
  <si>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</si>
  <si>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</si>
  <si>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</si>
  <si>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</si>
  <si>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</si>
  <si>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</si>
  <si>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</si>
  <si>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</si>
  <si>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</si>
  <si>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</si>
  <si>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</si>
  <si>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</si>
  <si>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</si>
  <si>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</si>
  <si>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</si>
  <si>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</si>
  <si>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</si>
  <si>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</si>
  <si>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</si>
  <si>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</si>
  <si>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</si>
  <si>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</si>
  <si>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</si>
  <si>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</si>
  <si>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</si>
  <si>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</si>
  <si>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</si>
  <si>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</si>
  <si>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</si>
  <si>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</si>
  <si>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</si>
  <si>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</si>
  <si>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</si>
  <si>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</si>
  <si>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</si>
  <si>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</si>
  <si>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</si>
  <si>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</si>
  <si>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</si>
  <si>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</si>
  <si>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</si>
  <si>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</si>
  <si>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</si>
  <si>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</si>
  <si>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</si>
  <si>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</si>
  <si>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</si>
  <si>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</si>
  <si>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</si>
  <si>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</si>
  <si>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</si>
  <si>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</si>
  <si>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</si>
  <si>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</si>
  <si>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</si>
  <si>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</si>
  <si>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</si>
  <si>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</si>
  <si>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</si>
  <si>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</si>
  <si>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</si>
  <si>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</si>
  <si>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</si>
  <si>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</si>
  <si>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</si>
  <si>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</si>
  <si>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</si>
  <si>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</si>
  <si>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</si>
  <si>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</si>
  <si>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</si>
  <si>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</si>
  <si>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</si>
  <si>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</si>
  <si>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</si>
  <si>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</si>
  <si>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</si>
  <si>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</si>
  <si>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</si>
  <si>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</si>
  <si>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</si>
  <si>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</si>
  <si>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</si>
  <si>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</si>
  <si>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</si>
  <si>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</si>
  <si>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</si>
  <si>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</si>
  <si>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</si>
  <si>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</si>
  <si>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</si>
  <si>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</si>
  <si>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</si>
  <si>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</si>
  <si>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</si>
  <si>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</si>
  <si>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</si>
  <si>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</si>
  <si>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</si>
  <si>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</si>
  <si>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</si>
  <si>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</si>
  <si>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</si>
  <si>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</si>
  <si>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</si>
  <si>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</si>
  <si>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</si>
  <si>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</si>
  <si>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</si>
  <si>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</si>
  <si>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</si>
  <si>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</si>
  <si>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</si>
  <si>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</si>
  <si>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</si>
  <si>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</si>
  <si>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</si>
  <si>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</si>
  <si>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</si>
  <si>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</si>
  <si>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</si>
  <si>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</si>
  <si>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</si>
  <si>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</si>
  <si>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</si>
  <si>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</si>
  <si>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</si>
  <si>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</si>
  <si>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</si>
  <si>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</si>
  <si>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</si>
  <si>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</si>
  <si>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</si>
  <si>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</si>
  <si>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</si>
  <si>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</si>
  <si>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</si>
  <si>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</si>
  <si>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</si>
  <si>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</si>
  <si>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</si>
  <si>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</si>
  <si>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</si>
  <si>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</si>
  <si>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</si>
  <si>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</si>
  <si>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</si>
  <si>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</si>
  <si>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</si>
  <si>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</si>
  <si>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</si>
  <si>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</si>
  <si>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</si>
  <si>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</si>
  <si>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</si>
  <si>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</si>
  <si>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</si>
  <si>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</si>
  <si>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</si>
  <si>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</si>
  <si>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</si>
  <si>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</si>
  <si>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</si>
  <si>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</si>
  <si>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</si>
  <si>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</si>
  <si>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</si>
  <si>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</si>
  <si>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</si>
  <si>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</si>
  <si>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</si>
  <si>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</si>
  <si>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</si>
  <si>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</si>
  <si>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</si>
  <si>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</si>
  <si>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</si>
  <si>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</si>
  <si>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</si>
  <si>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</si>
  <si>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</si>
  <si>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</si>
  <si>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Duyck, F1</t>
  </si>
  <si>
    <t>ONF_Chêne sessile_Loire basin_régénération nat._F3</t>
  </si>
  <si>
    <t>ONF_CHS_Loire basin_F2_plantation</t>
  </si>
  <si>
    <t>P.J. Faber_1994_F6</t>
  </si>
  <si>
    <t>ONF_Table Chêne sessile_Loire basin_Régé nat._F3</t>
  </si>
  <si>
    <t>ONF_table Chêne pédonculé_N-E France_plantation_F2</t>
  </si>
  <si>
    <t>ONF_Chêne sessile_N-E France_F3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</si>
</sst>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7.813807634357727</c:v>
                </c:pt>
                <c:pt idx="2">
                  <c:v>15.279970626708305</c:v>
                </c:pt>
                <c:pt idx="3">
                  <c:v>22.63386185035996</c:v>
                </c:pt>
                <c:pt idx="4">
                  <c:v>29.918546143509698</c:v>
                </c:pt>
                <c:pt idx="5">
                  <c:v>37.153541902587151</c:v>
                </c:pt>
                <c:pt idx="6">
                  <c:v>44.349983235831616</c:v>
                </c:pt>
                <c:pt idx="7">
                  <c:v>51.51504787231837</c:v>
                </c:pt>
                <c:pt idx="8">
                  <c:v>58.653735383724914</c:v>
                </c:pt>
                <c:pt idx="9">
                  <c:v>65.769720518833893</c:v>
                </c:pt>
                <c:pt idx="10">
                  <c:v>72.865813509005918</c:v>
                </c:pt>
                <c:pt idx="11">
                  <c:v>79.944230015213932</c:v>
                </c:pt>
                <c:pt idx="12">
                  <c:v>87.006759744976691</c:v>
                </c:pt>
                <c:pt idx="13">
                  <c:v>94.05487711178084</c:v>
                </c:pt>
                <c:pt idx="14">
                  <c:v>101.08981681070382</c:v>
                </c:pt>
                <c:pt idx="15">
                  <c:v>108.11262715700541</c:v>
                </c:pt>
                <c:pt idx="16">
                  <c:v>115.12420878283955</c:v>
                </c:pt>
                <c:pt idx="17">
                  <c:v>122.12534337835417</c:v>
                </c:pt>
                <c:pt idx="18">
                  <c:v>129.11671547506282</c:v>
                </c:pt>
                <c:pt idx="19">
                  <c:v>136.09892924968628</c:v>
                </c:pt>
                <c:pt idx="20">
                  <c:v>143.07252168942321</c:v>
                </c:pt>
                <c:pt idx="21">
                  <c:v>150.03797304933872</c:v>
                </c:pt>
                <c:pt idx="22">
                  <c:v>156.99571526143308</c:v>
                </c:pt>
                <c:pt idx="23">
                  <c:v>163.94613877156965</c:v>
                </c:pt>
                <c:pt idx="24">
                  <c:v>170.88959815382097</c:v>
                </c:pt>
                <c:pt idx="25">
                  <c:v>177.82641676272365</c:v>
                </c:pt>
                <c:pt idx="26">
                  <c:v>184.75689062021959</c:v>
                </c:pt>
                <c:pt idx="27">
                  <c:v>191.68129168778592</c:v>
                </c:pt>
                <c:pt idx="28">
                  <c:v>198.59987064017821</c:v>
                </c:pt>
                <c:pt idx="29">
                  <c:v>205.51285923178935</c:v>
                </c:pt>
                <c:pt idx="30">
                  <c:v>212.420472327444</c:v>
                </c:pt>
                <c:pt idx="31">
                  <c:v>219.32290965481434</c:v>
                </c:pt>
                <c:pt idx="32">
                  <c:v>226.22035732436544</c:v>
                </c:pt>
                <c:pt idx="33">
                  <c:v>233.11298915397074</c:v>
                </c:pt>
                <c:pt idx="34">
                  <c:v>240.00096782845628</c:v>
                </c:pt>
                <c:pt idx="35">
                  <c:v>246.88444591889507</c:v>
                </c:pt>
                <c:pt idx="36">
                  <c:v>253.76356678213608</c:v>
                </c:pt>
                <c:pt idx="37">
                  <c:v>260.63846535757597</c:v>
                </c:pt>
                <c:pt idx="38">
                  <c:v>267.50926887537111</c:v>
                </c:pt>
                <c:pt idx="39">
                  <c:v>274.37609748800338</c:v>
                </c:pt>
                <c:pt idx="40">
                  <c:v>281.23906483524769</c:v>
                </c:pt>
                <c:pt idx="41">
                  <c:v>288.0982785510526</c:v>
                </c:pt>
                <c:pt idx="42">
                  <c:v>294.95384071957625</c:v>
                </c:pt>
                <c:pt idx="43">
                  <c:v>301.80584828656708</c:v>
                </c:pt>
                <c:pt idx="44">
                  <c:v>308.65439343139883</c:v>
                </c:pt>
                <c:pt idx="45">
                  <c:v>315.49956390432982</c:v>
                </c:pt>
                <c:pt idx="46">
                  <c:v>322.34144333293938</c:v>
                </c:pt>
                <c:pt idx="47">
                  <c:v>329.18011150116502</c:v>
                </c:pt>
                <c:pt idx="48">
                  <c:v>226.78087793485346</c:v>
                </c:pt>
                <c:pt idx="49">
                  <c:v>242.03799151768615</c:v>
                </c:pt>
                <c:pt idx="50">
                  <c:v>257.27323108553861</c:v>
                </c:pt>
                <c:pt idx="51">
                  <c:v>272.48807450999556</c:v>
                </c:pt>
                <c:pt idx="52">
                  <c:v>287.68382108520251</c:v>
                </c:pt>
                <c:pt idx="53">
                  <c:v>302.86162159949333</c:v>
                </c:pt>
                <c:pt idx="54">
                  <c:v>318.02250205845752</c:v>
                </c:pt>
                <c:pt idx="55">
                  <c:v>333.16738264463419</c:v>
                </c:pt>
                <c:pt idx="56">
                  <c:v>266.7953595106315</c:v>
                </c:pt>
                <c:pt idx="57">
                  <c:v>281.74529418466761</c:v>
                </c:pt>
                <c:pt idx="58">
                  <c:v>296.67745588780025</c:v>
                </c:pt>
                <c:pt idx="59">
                  <c:v>311.59286516288279</c:v>
                </c:pt>
                <c:pt idx="60">
                  <c:v>326.49243685605762</c:v>
                </c:pt>
                <c:pt idx="61">
                  <c:v>341.37699548931954</c:v>
                </c:pt>
                <c:pt idx="62">
                  <c:v>356.24728781065909</c:v>
                </c:pt>
                <c:pt idx="63">
                  <c:v>371.10399313855078</c:v>
                </c:pt>
                <c:pt idx="64">
                  <c:v>309.82860963769798</c:v>
                </c:pt>
                <c:pt idx="65">
                  <c:v>324.74518645394323</c:v>
                </c:pt>
                <c:pt idx="66">
                  <c:v>339.64662691106673</c:v>
                </c:pt>
                <c:pt idx="67">
                  <c:v>354.53368858443531</c:v>
                </c:pt>
                <c:pt idx="68">
                  <c:v>369.40706023373633</c:v>
                </c:pt>
                <c:pt idx="69">
                  <c:v>384.26737063110676</c:v>
                </c:pt>
                <c:pt idx="70">
                  <c:v>399.11519595211456</c:v>
                </c:pt>
                <c:pt idx="71">
                  <c:v>413.9510660093851</c:v>
                </c:pt>
                <c:pt idx="72">
                  <c:v>428.77546954592003</c:v>
                </c:pt>
                <c:pt idx="73">
                  <c:v>443.58885875820789</c:v>
                </c:pt>
                <c:pt idx="74">
                  <c:v>378.8645059372306</c:v>
                </c:pt>
                <c:pt idx="75">
                  <c:v>393.72544340383564</c:v>
                </c:pt>
                <c:pt idx="76">
                  <c:v>408.57422410976869</c:v>
                </c:pt>
                <c:pt idx="77">
                  <c:v>423.4113520172441</c:v>
                </c:pt>
                <c:pt idx="78">
                  <c:v>438.23729289326252</c:v>
                </c:pt>
                <c:pt idx="79">
                  <c:v>453.0524784256209</c:v>
                </c:pt>
                <c:pt idx="80">
                  <c:v>467.85730977252615</c:v>
                </c:pt>
                <c:pt idx="81">
                  <c:v>482.65216063956808</c:v>
                </c:pt>
                <c:pt idx="82">
                  <c:v>497.43737995983474</c:v>
                </c:pt>
                <c:pt idx="83">
                  <c:v>512.21329423886823</c:v>
                </c:pt>
                <c:pt idx="84">
                  <c:v>440.89709830032524</c:v>
                </c:pt>
                <c:pt idx="85">
                  <c:v>455.75128521889451</c:v>
                </c:pt>
                <c:pt idx="86">
                  <c:v>470.59513113405154</c:v>
                </c:pt>
                <c:pt idx="87">
                  <c:v>485.42900807907387</c:v>
                </c:pt>
                <c:pt idx="88">
                  <c:v>500.25326350221093</c:v>
                </c:pt>
                <c:pt idx="89">
                  <c:v>515.06822258688044</c:v>
                </c:pt>
                <c:pt idx="90">
                  <c:v>529.87419029109572</c:v>
                </c:pt>
                <c:pt idx="91">
                  <c:v>544.67145314715674</c:v>
                </c:pt>
                <c:pt idx="92">
                  <c:v>559.46028085566286</c:v>
                </c:pt>
                <c:pt idx="93">
                  <c:v>574.24092770227628</c:v>
                </c:pt>
                <c:pt idx="94">
                  <c:v>496.01105242450564</c:v>
                </c:pt>
                <c:pt idx="95">
                  <c:v>510.98965074378657</c:v>
                </c:pt>
                <c:pt idx="96">
                  <c:v>525.95897726337319</c:v>
                </c:pt>
                <c:pt idx="97">
                  <c:v>540.9193329326057</c:v>
                </c:pt>
                <c:pt idx="98">
                  <c:v>555.87100070348299</c:v>
                </c:pt>
                <c:pt idx="99">
                  <c:v>570.81424707211056</c:v>
                </c:pt>
                <c:pt idx="100">
                  <c:v>585.74932345040622</c:v>
                </c:pt>
                <c:pt idx="101">
                  <c:v>600.67646739069517</c:v>
                </c:pt>
                <c:pt idx="102">
                  <c:v>615.59590368230658</c:v>
                </c:pt>
                <c:pt idx="103">
                  <c:v>630.50784533639091</c:v>
                </c:pt>
                <c:pt idx="104">
                  <c:v>541.51970880019155</c:v>
                </c:pt>
                <c:pt idx="105">
                  <c:v>556.52460717397105</c:v>
                </c:pt>
                <c:pt idx="106">
                  <c:v>571.52103504055015</c:v>
                </c:pt>
                <c:pt idx="107">
                  <c:v>586.50924586246936</c:v>
                </c:pt>
                <c:pt idx="108">
                  <c:v>601.4894790981632</c:v>
                </c:pt>
                <c:pt idx="109">
                  <c:v>616.46196131242471</c:v>
                </c:pt>
                <c:pt idx="110">
                  <c:v>631.42690717343282</c:v>
                </c:pt>
                <c:pt idx="111">
                  <c:v>646.38452035040075</c:v>
                </c:pt>
                <c:pt idx="112">
                  <c:v>661.33499432386691</c:v>
                </c:pt>
                <c:pt idx="113">
                  <c:v>676.27851311895085</c:v>
                </c:pt>
                <c:pt idx="114">
                  <c:v>591.18249714086733</c:v>
                </c:pt>
                <c:pt idx="115">
                  <c:v>606.59524238090637</c:v>
                </c:pt>
                <c:pt idx="116">
                  <c:v>621.99985857292097</c:v>
                </c:pt>
                <c:pt idx="117">
                  <c:v>637.39657528002647</c:v>
                </c:pt>
                <c:pt idx="118">
                  <c:v>652.78561007766427</c:v>
                </c:pt>
                <c:pt idx="119">
                  <c:v>668.16716945325891</c:v>
                </c:pt>
                <c:pt idx="120">
                  <c:v>683.54144961878228</c:v>
                </c:pt>
                <c:pt idx="121">
                  <c:v>698.90863724646306</c:v>
                </c:pt>
                <c:pt idx="122">
                  <c:v>714.26891013647366</c:v>
                </c:pt>
                <c:pt idx="123">
                  <c:v>729.62243782424446</c:v>
                </c:pt>
                <c:pt idx="124">
                  <c:v>744.96938213403939</c:v>
                </c:pt>
                <c:pt idx="125">
                  <c:v>760.30989768458448</c:v>
                </c:pt>
                <c:pt idx="126">
                  <c:v>647.71433108284896</c:v>
                </c:pt>
                <c:pt idx="127">
                  <c:v>663.5022314439999</c:v>
                </c:pt>
                <c:pt idx="128">
                  <c:v>679.28240362235704</c:v>
                </c:pt>
                <c:pt idx="129">
                  <c:v>695.05505230617553</c:v>
                </c:pt>
                <c:pt idx="130">
                  <c:v>710.82037214356558</c:v>
                </c:pt>
                <c:pt idx="131">
                  <c:v>726.5785484512993</c:v>
                </c:pt>
                <c:pt idx="132">
                  <c:v>742.3297578589777</c:v>
                </c:pt>
                <c:pt idx="133">
                  <c:v>758.0741688957296</c:v>
                </c:pt>
                <c:pt idx="134">
                  <c:v>773.81194252567775</c:v>
                </c:pt>
                <c:pt idx="135">
                  <c:v>789.54323263762137</c:v>
                </c:pt>
                <c:pt idx="136">
                  <c:v>805.26818649369761</c:v>
                </c:pt>
                <c:pt idx="137">
                  <c:v>820.98694514121189</c:v>
                </c:pt>
                <c:pt idx="138">
                  <c:v>714.33997379722575</c:v>
                </c:pt>
                <c:pt idx="139">
                  <c:v>730.5884722318583</c:v>
                </c:pt>
                <c:pt idx="140">
                  <c:v>746.82960825267685</c:v>
                </c:pt>
                <c:pt idx="141">
                  <c:v>763.06356438171463</c:v>
                </c:pt>
                <c:pt idx="142">
                  <c:v>779.29051474868618</c:v>
                </c:pt>
                <c:pt idx="143">
                  <c:v>795.5106256471496</c:v>
                </c:pt>
                <c:pt idx="144">
                  <c:v>811.72405604299354</c:v>
                </c:pt>
                <c:pt idx="145">
                  <c:v>827.93095804022857</c:v>
                </c:pt>
                <c:pt idx="146">
                  <c:v>844.13147730844673</c:v>
                </c:pt>
                <c:pt idx="147">
                  <c:v>860.32575347579711</c:v>
                </c:pt>
                <c:pt idx="148">
                  <c:v>876.51392049086587</c:v>
                </c:pt>
                <c:pt idx="149">
                  <c:v>892.69610695646134</c:v>
                </c:pt>
                <c:pt idx="150">
                  <c:v>772.17336181773817</c:v>
                </c:pt>
                <c:pt idx="151">
                  <c:v>789.03332050581685</c:v>
                </c:pt>
                <c:pt idx="152">
                  <c:v>805.88599605863601</c:v>
                </c:pt>
                <c:pt idx="153">
                  <c:v>822.73156208144337</c:v>
                </c:pt>
                <c:pt idx="154">
                  <c:v>839.57018449809573</c:v>
                </c:pt>
                <c:pt idx="155">
                  <c:v>856.40202204130526</c:v>
                </c:pt>
                <c:pt idx="156">
                  <c:v>873.22722670238545</c:v>
                </c:pt>
                <c:pt idx="157">
                  <c:v>890.04594414457051</c:v>
                </c:pt>
                <c:pt idx="158">
                  <c:v>906.85831408350771</c:v>
                </c:pt>
                <c:pt idx="159">
                  <c:v>923.66447063809926</c:v>
                </c:pt>
                <c:pt idx="160">
                  <c:v>940.46454265451632</c:v>
                </c:pt>
                <c:pt idx="161">
                  <c:v>957.25865400588384</c:v>
                </c:pt>
                <c:pt idx="162">
                  <c:v>974.04692386986835</c:v>
                </c:pt>
                <c:pt idx="163">
                  <c:v>990.82946698616081</c:v>
                </c:pt>
                <c:pt idx="164">
                  <c:v>1007.6063938956295</c:v>
                </c:pt>
                <c:pt idx="165">
                  <c:v>849.03927215991962</c:v>
                </c:pt>
                <c:pt idx="166">
                  <c:v>866.37136481589653</c:v>
                </c:pt>
                <c:pt idx="167">
                  <c:v>883.69651354629138</c:v>
                </c:pt>
                <c:pt idx="168">
                  <c:v>901.01487350914658</c:v>
                </c:pt>
                <c:pt idx="169">
                  <c:v>918.32659341871658</c:v>
                </c:pt>
                <c:pt idx="170">
                  <c:v>935.63181593196748</c:v>
                </c:pt>
                <c:pt idx="171">
                  <c:v>952.9306780050315</c:v>
                </c:pt>
                <c:pt idx="172">
                  <c:v>970.22331122246794</c:v>
                </c:pt>
                <c:pt idx="173">
                  <c:v>987.50984210185823</c:v>
                </c:pt>
                <c:pt idx="174">
                  <c:v>1004.7903923759958</c:v>
                </c:pt>
                <c:pt idx="175">
                  <c:v>1022.0650792546788</c:v>
                </c:pt>
                <c:pt idx="176">
                  <c:v>1039.3340156679096</c:v>
                </c:pt>
                <c:pt idx="177">
                  <c:v>1056.5973104921131</c:v>
                </c:pt>
                <c:pt idx="178">
                  <c:v>1073.8550687608247</c:v>
                </c:pt>
                <c:pt idx="179">
                  <c:v>1091.1073918611482</c:v>
                </c:pt>
                <c:pt idx="180">
                  <c:v>620.01859233892537</c:v>
                </c:pt>
                <c:pt idx="181">
                  <c:v>631.37703631120291</c:v>
                </c:pt>
                <c:pt idx="182">
                  <c:v>642.73125535952374</c:v>
                </c:pt>
                <c:pt idx="183">
                  <c:v>431.67064446168234</c:v>
                </c:pt>
                <c:pt idx="184">
                  <c:v>438.53523699677999</c:v>
                </c:pt>
                <c:pt idx="185">
                  <c:v>445.39752503280994</c:v>
                </c:pt>
                <c:pt idx="186">
                  <c:v>296.12713130671472</c:v>
                </c:pt>
                <c:pt idx="187">
                  <c:v>300.46394305226096</c:v>
                </c:pt>
                <c:pt idx="188">
                  <c:v>304.79936078603049</c:v>
                </c:pt>
                <c:pt idx="189">
                  <c:v>7.1684365481255119E-12</c:v>
                </c:pt>
                <c:pt idx="190">
                  <c:v>7.1684365481255119E-12</c:v>
                </c:pt>
                <c:pt idx="191">
                  <c:v>7.1684365481255119E-12</c:v>
                </c:pt>
                <c:pt idx="192">
                  <c:v>7.1684365481255119E-12</c:v>
                </c:pt>
                <c:pt idx="193">
                  <c:v>7.1684365481255119E-12</c:v>
                </c:pt>
                <c:pt idx="194">
                  <c:v>7.1684365481255119E-12</c:v>
                </c:pt>
                <c:pt idx="195">
                  <c:v>7.1684365481255119E-12</c:v>
                </c:pt>
                <c:pt idx="196">
                  <c:v>7.1684365481255119E-12</c:v>
                </c:pt>
                <c:pt idx="197">
                  <c:v>7.1684365481255119E-12</c:v>
                </c:pt>
                <c:pt idx="198">
                  <c:v>7.1684365481255119E-12</c:v>
                </c:pt>
                <c:pt idx="199">
                  <c:v>7.1684365481255119E-12</c:v>
                </c:pt>
                <c:pt idx="200">
                  <c:v>7.1684365481255119E-12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9.0050020993719304</c:v>
                </c:pt>
                <c:pt idx="2">
                  <c:v>17.614224179099281</c:v>
                </c:pt>
                <c:pt idx="3">
                  <c:v>26.095629179395626</c:v>
                </c:pt>
                <c:pt idx="4">
                  <c:v>34.49824475795532</c:v>
                </c:pt>
                <c:pt idx="5">
                  <c:v>42.84429185647835</c:v>
                </c:pt>
                <c:pt idx="6">
                  <c:v>51.146446227860601</c:v>
                </c:pt>
                <c:pt idx="7">
                  <c:v>59.412879439878935</c:v>
                </c:pt>
                <c:pt idx="8">
                  <c:v>67.649283312103222</c:v>
                </c:pt>
                <c:pt idx="9">
                  <c:v>75.85984140432312</c:v>
                </c:pt>
                <c:pt idx="10">
                  <c:v>84.04775305657931</c:v>
                </c:pt>
                <c:pt idx="11">
                  <c:v>92.215540713452924</c:v>
                </c:pt>
                <c:pt idx="12">
                  <c:v>100.36524188794243</c:v>
                </c:pt>
                <c:pt idx="13">
                  <c:v>108.4985351429486</c:v>
                </c:pt>
                <c:pt idx="14">
                  <c:v>116.61682613120678</c:v>
                </c:pt>
                <c:pt idx="15">
                  <c:v>124.72130831921697</c:v>
                </c:pt>
                <c:pt idx="16">
                  <c:v>132.81300704195772</c:v>
                </c:pt>
                <c:pt idx="17">
                  <c:v>140.89281222352039</c:v>
                </c:pt>
                <c:pt idx="18">
                  <c:v>148.96150317663719</c:v>
                </c:pt>
                <c:pt idx="19">
                  <c:v>157.01976773320771</c:v>
                </c:pt>
                <c:pt idx="20">
                  <c:v>165.06821723245113</c:v>
                </c:pt>
                <c:pt idx="21">
                  <c:v>173.10739842624028</c:v>
                </c:pt>
                <c:pt idx="22">
                  <c:v>181.13780305250211</c:v>
                </c:pt>
                <c:pt idx="23">
                  <c:v>189.15987561879626</c:v>
                </c:pt>
                <c:pt idx="24">
                  <c:v>197.17401979403192</c:v>
                </c:pt>
                <c:pt idx="25">
                  <c:v>205.18060370488044</c:v>
                </c:pt>
                <c:pt idx="26">
                  <c:v>213.1799643609078</c:v>
                </c:pt>
                <c:pt idx="27">
                  <c:v>221.17241137976885</c:v>
                </c:pt>
                <c:pt idx="28">
                  <c:v>229.15823014500677</c:v>
                </c:pt>
                <c:pt idx="29">
                  <c:v>237.13768450006134</c:v>
                </c:pt>
                <c:pt idx="30">
                  <c:v>245.11101906025024</c:v>
                </c:pt>
                <c:pt idx="31">
                  <c:v>253.07846120782642</c:v>
                </c:pt>
                <c:pt idx="32">
                  <c:v>261.04022282237821</c:v>
                </c:pt>
                <c:pt idx="33">
                  <c:v>268.99650178885196</c:v>
                </c:pt>
                <c:pt idx="34">
                  <c:v>276.94748331764885</c:v>
                </c:pt>
                <c:pt idx="35">
                  <c:v>284.89334110505234</c:v>
                </c:pt>
                <c:pt idx="36">
                  <c:v>292.83423835730713</c:v>
                </c:pt>
                <c:pt idx="37">
                  <c:v>300.77032869771307</c:v>
                </c:pt>
                <c:pt idx="38">
                  <c:v>308.70175697289704</c:v>
                </c:pt>
                <c:pt idx="39">
                  <c:v>316.62865997182678</c:v>
                </c:pt>
                <c:pt idx="40">
                  <c:v>324.55116706900372</c:v>
                </c:pt>
                <c:pt idx="41">
                  <c:v>332.46940080152797</c:v>
                </c:pt>
                <c:pt idx="42">
                  <c:v>340.3834773882773</c:v>
                </c:pt>
                <c:pt idx="43">
                  <c:v>273.75218029395825</c:v>
                </c:pt>
                <c:pt idx="44">
                  <c:v>293.36881382704775</c:v>
                </c:pt>
                <c:pt idx="45">
                  <c:v>312.95617609403075</c:v>
                </c:pt>
                <c:pt idx="46">
                  <c:v>332.51635617745427</c:v>
                </c:pt>
                <c:pt idx="47">
                  <c:v>352.05117734371078</c:v>
                </c:pt>
                <c:pt idx="48">
                  <c:v>371.56224404609662</c:v>
                </c:pt>
                <c:pt idx="49">
                  <c:v>391.0509785343383</c:v>
                </c:pt>
                <c:pt idx="50">
                  <c:v>410.51864978264985</c:v>
                </c:pt>
                <c:pt idx="51">
                  <c:v>358.14000932688845</c:v>
                </c:pt>
                <c:pt idx="52">
                  <c:v>378.133205362853</c:v>
                </c:pt>
                <c:pt idx="53">
                  <c:v>398.10339955589421</c:v>
                </c:pt>
                <c:pt idx="54">
                  <c:v>418.05190742655623</c:v>
                </c:pt>
                <c:pt idx="55">
                  <c:v>437.97990876559203</c:v>
                </c:pt>
                <c:pt idx="56">
                  <c:v>457.88846730300457</c:v>
                </c:pt>
                <c:pt idx="57">
                  <c:v>477.7785467783458</c:v>
                </c:pt>
                <c:pt idx="58">
                  <c:v>497.651024196067</c:v>
                </c:pt>
                <c:pt idx="59">
                  <c:v>425.3081979788314</c:v>
                </c:pt>
                <c:pt idx="60">
                  <c:v>444.73668447776726</c:v>
                </c:pt>
                <c:pt idx="61">
                  <c:v>464.14699911725734</c:v>
                </c:pt>
                <c:pt idx="62">
                  <c:v>483.54000828600118</c:v>
                </c:pt>
                <c:pt idx="63">
                  <c:v>502.91650325255364</c:v>
                </c:pt>
                <c:pt idx="64">
                  <c:v>522.27720938092455</c:v>
                </c:pt>
                <c:pt idx="65">
                  <c:v>541.62279390908645</c:v>
                </c:pt>
                <c:pt idx="66">
                  <c:v>560.95387255882349</c:v>
                </c:pt>
                <c:pt idx="67">
                  <c:v>476.79537882809342</c:v>
                </c:pt>
                <c:pt idx="68">
                  <c:v>495.46111981441936</c:v>
                </c:pt>
                <c:pt idx="69">
                  <c:v>514.11196622588784</c:v>
                </c:pt>
                <c:pt idx="70">
                  <c:v>532.74853410341427</c:v>
                </c:pt>
                <c:pt idx="71">
                  <c:v>551.37139290172445</c:v>
                </c:pt>
                <c:pt idx="72">
                  <c:v>569.98107049885277</c:v>
                </c:pt>
                <c:pt idx="73">
                  <c:v>588.57805751771946</c:v>
                </c:pt>
                <c:pt idx="74">
                  <c:v>607.16281107343082</c:v>
                </c:pt>
                <c:pt idx="75">
                  <c:v>527.27795667733812</c:v>
                </c:pt>
                <c:pt idx="76">
                  <c:v>545.54754028313835</c:v>
                </c:pt>
                <c:pt idx="77">
                  <c:v>563.80428892622592</c:v>
                </c:pt>
                <c:pt idx="78">
                  <c:v>582.04867643370324</c:v>
                </c:pt>
                <c:pt idx="79">
                  <c:v>600.28114452830425</c:v>
                </c:pt>
                <c:pt idx="80">
                  <c:v>618.50210593255088</c:v>
                </c:pt>
                <c:pt idx="81">
                  <c:v>636.71194708833502</c:v>
                </c:pt>
                <c:pt idx="82">
                  <c:v>654.91103054942675</c:v>
                </c:pt>
                <c:pt idx="83">
                  <c:v>673.09969709441123</c:v>
                </c:pt>
                <c:pt idx="84">
                  <c:v>691.27826759955133</c:v>
                </c:pt>
                <c:pt idx="85">
                  <c:v>581.59973453568659</c:v>
                </c:pt>
                <c:pt idx="86">
                  <c:v>599.11844918899601</c:v>
                </c:pt>
                <c:pt idx="87">
                  <c:v>616.62651763378562</c:v>
                </c:pt>
                <c:pt idx="88">
                  <c:v>634.12428449003357</c:v>
                </c:pt>
                <c:pt idx="89">
                  <c:v>651.61207382332452</c:v>
                </c:pt>
                <c:pt idx="90">
                  <c:v>669.09019090077402</c:v>
                </c:pt>
                <c:pt idx="91">
                  <c:v>686.55892375407859</c:v>
                </c:pt>
                <c:pt idx="92">
                  <c:v>704.01854457534034</c:v>
                </c:pt>
                <c:pt idx="93">
                  <c:v>721.46931096734397</c:v>
                </c:pt>
                <c:pt idx="94">
                  <c:v>738.91146706668712</c:v>
                </c:pt>
                <c:pt idx="95">
                  <c:v>627.697086725389</c:v>
                </c:pt>
                <c:pt idx="96">
                  <c:v>644.74814711906788</c:v>
                </c:pt>
                <c:pt idx="97">
                  <c:v>661.78990449197136</c:v>
                </c:pt>
                <c:pt idx="98">
                  <c:v>678.82263195520943</c:v>
                </c:pt>
                <c:pt idx="99">
                  <c:v>695.84658780820121</c:v>
                </c:pt>
                <c:pt idx="100">
                  <c:v>712.86201669207321</c:v>
                </c:pt>
                <c:pt idx="101">
                  <c:v>729.86915062730213</c:v>
                </c:pt>
                <c:pt idx="102">
                  <c:v>746.86820994969855</c:v>
                </c:pt>
                <c:pt idx="103">
                  <c:v>763.85940415682887</c:v>
                </c:pt>
                <c:pt idx="104">
                  <c:v>780.84293267527562</c:v>
                </c:pt>
                <c:pt idx="105">
                  <c:v>671.97975155410234</c:v>
                </c:pt>
                <c:pt idx="106">
                  <c:v>688.82254008714096</c:v>
                </c:pt>
                <c:pt idx="107">
                  <c:v>705.65688844321483</c:v>
                </c:pt>
                <c:pt idx="108">
                  <c:v>722.4830261622709</c:v>
                </c:pt>
                <c:pt idx="109">
                  <c:v>739.30117123035416</c:v>
                </c:pt>
                <c:pt idx="110">
                  <c:v>756.11153091614267</c:v>
                </c:pt>
                <c:pt idx="111">
                  <c:v>772.91430252928774</c:v>
                </c:pt>
                <c:pt idx="112">
                  <c:v>789.70967410944593</c:v>
                </c:pt>
                <c:pt idx="113">
                  <c:v>806.49782505370615</c:v>
                </c:pt>
                <c:pt idx="114">
                  <c:v>823.27892668911102</c:v>
                </c:pt>
                <c:pt idx="115">
                  <c:v>722.72266190929292</c:v>
                </c:pt>
                <c:pt idx="116">
                  <c:v>739.67566348659057</c:v>
                </c:pt>
                <c:pt idx="117">
                  <c:v>756.62075875063954</c:v>
                </c:pt>
                <c:pt idx="118">
                  <c:v>773.55814954391769</c:v>
                </c:pt>
                <c:pt idx="119">
                  <c:v>790.48802815801503</c:v>
                </c:pt>
                <c:pt idx="120">
                  <c:v>807.41057798460258</c:v>
                </c:pt>
                <c:pt idx="121">
                  <c:v>824.32597410904464</c:v>
                </c:pt>
                <c:pt idx="122">
                  <c:v>841.23438385280679</c:v>
                </c:pt>
                <c:pt idx="123">
                  <c:v>858.13596727003414</c:v>
                </c:pt>
                <c:pt idx="124">
                  <c:v>875.03087760302014</c:v>
                </c:pt>
                <c:pt idx="125">
                  <c:v>782.50061686170341</c:v>
                </c:pt>
                <c:pt idx="126">
                  <c:v>799.62968518227046</c:v>
                </c:pt>
                <c:pt idx="127">
                  <c:v>816.75134561555353</c:v>
                </c:pt>
                <c:pt idx="128">
                  <c:v>833.86577516673162</c:v>
                </c:pt>
                <c:pt idx="129">
                  <c:v>850.97314299064567</c:v>
                </c:pt>
                <c:pt idx="130">
                  <c:v>868.07361089398819</c:v>
                </c:pt>
                <c:pt idx="131">
                  <c:v>885.16733379591051</c:v>
                </c:pt>
                <c:pt idx="132">
                  <c:v>902.2544601512418</c:v>
                </c:pt>
                <c:pt idx="133">
                  <c:v>919.33513234002146</c:v>
                </c:pt>
                <c:pt idx="134">
                  <c:v>936.40948702661092</c:v>
                </c:pt>
                <c:pt idx="135">
                  <c:v>838.6102011221443</c:v>
                </c:pt>
                <c:pt idx="136">
                  <c:v>855.94497971688827</c:v>
                </c:pt>
                <c:pt idx="137">
                  <c:v>873.27271903682515</c:v>
                </c:pt>
                <c:pt idx="138">
                  <c:v>890.5935782737007</c:v>
                </c:pt>
                <c:pt idx="139">
                  <c:v>907.90770992953412</c:v>
                </c:pt>
                <c:pt idx="140">
                  <c:v>925.21526022253431</c:v>
                </c:pt>
                <c:pt idx="141">
                  <c:v>942.51636946110614</c:v>
                </c:pt>
                <c:pt idx="142">
                  <c:v>959.81117238899981</c:v>
                </c:pt>
                <c:pt idx="143">
                  <c:v>977.0997985043233</c:v>
                </c:pt>
                <c:pt idx="144">
                  <c:v>994.38237235483496</c:v>
                </c:pt>
                <c:pt idx="145">
                  <c:v>895.13672120800663</c:v>
                </c:pt>
                <c:pt idx="146">
                  <c:v>912.81066349155742</c:v>
                </c:pt>
                <c:pt idx="147">
                  <c:v>930.4777886047126</c:v>
                </c:pt>
                <c:pt idx="148">
                  <c:v>948.13824405935259</c:v>
                </c:pt>
                <c:pt idx="149">
                  <c:v>965.79217143106382</c:v>
                </c:pt>
                <c:pt idx="150">
                  <c:v>983.43970670436431</c:v>
                </c:pt>
                <c:pt idx="151">
                  <c:v>1001.0809805918944</c:v>
                </c:pt>
                <c:pt idx="152">
                  <c:v>1018.71611882997</c:v>
                </c:pt>
                <c:pt idx="153">
                  <c:v>1036.3452424526342</c:v>
                </c:pt>
                <c:pt idx="154">
                  <c:v>1053.9684680461214</c:v>
                </c:pt>
                <c:pt idx="155">
                  <c:v>956.55090506127237</c:v>
                </c:pt>
                <c:pt idx="156">
                  <c:v>974.49101342927031</c:v>
                </c:pt>
                <c:pt idx="157">
                  <c:v>992.4245856504881</c:v>
                </c:pt>
                <c:pt idx="158">
                  <c:v>1010.3517563163817</c:v>
                </c:pt>
                <c:pt idx="159">
                  <c:v>1028.272654859283</c:v>
                </c:pt>
                <c:pt idx="160">
                  <c:v>1046.1874058384321</c:v>
                </c:pt>
                <c:pt idx="161">
                  <c:v>1064.0961292054305</c:v>
                </c:pt>
                <c:pt idx="162">
                  <c:v>1081.9989405509189</c:v>
                </c:pt>
                <c:pt idx="163">
                  <c:v>1099.8959513341035</c:v>
                </c:pt>
                <c:pt idx="164">
                  <c:v>1117.7872690965953</c:v>
                </c:pt>
                <c:pt idx="165">
                  <c:v>1011.3529825308154</c:v>
                </c:pt>
                <c:pt idx="166">
                  <c:v>1029.5265839652609</c:v>
                </c:pt>
                <c:pt idx="167">
                  <c:v>1047.6938717377543</c:v>
                </c:pt>
                <c:pt idx="168">
                  <c:v>1065.8549705958526</c:v>
                </c:pt>
                <c:pt idx="169">
                  <c:v>1084.0100006955302</c:v>
                </c:pt>
                <c:pt idx="170">
                  <c:v>1102.1590778457946</c:v>
                </c:pt>
                <c:pt idx="171">
                  <c:v>1120.3023137363737</c:v>
                </c:pt>
                <c:pt idx="172">
                  <c:v>1138.4398161499098</c:v>
                </c:pt>
                <c:pt idx="173">
                  <c:v>1156.5716891599543</c:v>
                </c:pt>
                <c:pt idx="174">
                  <c:v>1174.698033315914</c:v>
                </c:pt>
                <c:pt idx="175">
                  <c:v>732.31437435591215</c:v>
                </c:pt>
                <c:pt idx="176">
                  <c:v>743.98679945215974</c:v>
                </c:pt>
                <c:pt idx="177">
                  <c:v>755.65550007785635</c:v>
                </c:pt>
                <c:pt idx="178">
                  <c:v>517.46121739591933</c:v>
                </c:pt>
                <c:pt idx="179">
                  <c:v>524.66092206348958</c:v>
                </c:pt>
                <c:pt idx="180">
                  <c:v>531.85854549909652</c:v>
                </c:pt>
                <c:pt idx="181">
                  <c:v>369.1961442433323</c:v>
                </c:pt>
                <c:pt idx="182">
                  <c:v>373.61945496476648</c:v>
                </c:pt>
                <c:pt idx="183">
                  <c:v>378.04162441819318</c:v>
                </c:pt>
                <c:pt idx="184">
                  <c:v>1.6226126790761848E-11</c:v>
                </c:pt>
                <c:pt idx="185">
                  <c:v>1.6226126790761848E-11</c:v>
                </c:pt>
                <c:pt idx="186">
                  <c:v>1.6226126790761848E-11</c:v>
                </c:pt>
                <c:pt idx="187">
                  <c:v>1.6226126790761848E-11</c:v>
                </c:pt>
                <c:pt idx="188">
                  <c:v>1.6226126790761848E-11</c:v>
                </c:pt>
                <c:pt idx="189">
                  <c:v>1.6226126790761848E-11</c:v>
                </c:pt>
                <c:pt idx="190">
                  <c:v>1.6226126790761848E-11</c:v>
                </c:pt>
                <c:pt idx="191">
                  <c:v>1.6226126790761848E-11</c:v>
                </c:pt>
                <c:pt idx="192">
                  <c:v>1.6226126790761848E-11</c:v>
                </c:pt>
                <c:pt idx="193">
                  <c:v>1.6226126790761848E-11</c:v>
                </c:pt>
                <c:pt idx="194">
                  <c:v>1.6226126790761848E-11</c:v>
                </c:pt>
                <c:pt idx="195">
                  <c:v>1.6226126790761848E-11</c:v>
                </c:pt>
                <c:pt idx="196">
                  <c:v>1.6226126790761848E-11</c:v>
                </c:pt>
                <c:pt idx="197">
                  <c:v>1.6226126790761848E-11</c:v>
                </c:pt>
                <c:pt idx="198">
                  <c:v>1.6226126790761848E-11</c:v>
                </c:pt>
                <c:pt idx="199">
                  <c:v>1.6226126790761848E-11</c:v>
                </c:pt>
                <c:pt idx="200">
                  <c:v>1.6226126790761848E-11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2.7111405293587882</c:v>
                </c:pt>
                <c:pt idx="2">
                  <c:v>3.2908473996675931</c:v>
                </c:pt>
                <c:pt idx="3">
                  <c:v>3.9949765055224975</c:v>
                </c:pt>
                <c:pt idx="4">
                  <c:v>4.8503270992906033</c:v>
                </c:pt>
                <c:pt idx="5">
                  <c:v>5.8894897884578539</c:v>
                </c:pt>
                <c:pt idx="6">
                  <c:v>7.1521018898588977</c:v>
                </c:pt>
                <c:pt idx="7">
                  <c:v>8.68637566708877</c:v>
                </c:pt>
                <c:pt idx="8">
                  <c:v>10.550958922648077</c:v>
                </c:pt>
                <c:pt idx="9">
                  <c:v>12.81720040803434</c:v>
                </c:pt>
                <c:pt idx="10">
                  <c:v>15.57190835077529</c:v>
                </c:pt>
                <c:pt idx="11">
                  <c:v>18.920709701141291</c:v>
                </c:pt>
                <c:pt idx="12">
                  <c:v>22.992141233881114</c:v>
                </c:pt>
                <c:pt idx="13">
                  <c:v>27.942632329942111</c:v>
                </c:pt>
                <c:pt idx="14">
                  <c:v>33.962574241954997</c:v>
                </c:pt>
                <c:pt idx="15">
                  <c:v>41.283713296453428</c:v>
                </c:pt>
                <c:pt idx="16">
                  <c:v>50.188157490334476</c:v>
                </c:pt>
                <c:pt idx="17">
                  <c:v>61.019349354653826</c:v>
                </c:pt>
                <c:pt idx="18">
                  <c:v>74.19543529360925</c:v>
                </c:pt>
                <c:pt idx="19">
                  <c:v>90.225555920736483</c:v>
                </c:pt>
                <c:pt idx="20">
                  <c:v>109.72969694198621</c:v>
                </c:pt>
                <c:pt idx="21">
                  <c:v>83.859901104581681</c:v>
                </c:pt>
                <c:pt idx="22">
                  <c:v>93.735681241434449</c:v>
                </c:pt>
                <c:pt idx="23">
                  <c:v>103.58548385887735</c:v>
                </c:pt>
                <c:pt idx="24">
                  <c:v>113.41213176407329</c:v>
                </c:pt>
                <c:pt idx="25">
                  <c:v>123.21791719691173</c:v>
                </c:pt>
                <c:pt idx="26">
                  <c:v>109.72969694198622</c:v>
                </c:pt>
                <c:pt idx="27">
                  <c:v>119.54306466746483</c:v>
                </c:pt>
                <c:pt idx="28">
                  <c:v>129.33679508789007</c:v>
                </c:pt>
                <c:pt idx="29">
                  <c:v>139.11258684370458</c:v>
                </c:pt>
                <c:pt idx="30">
                  <c:v>148.87187984842743</c:v>
                </c:pt>
                <c:pt idx="31">
                  <c:v>133.24917866009699</c:v>
                </c:pt>
                <c:pt idx="32">
                  <c:v>142.04204735312013</c:v>
                </c:pt>
                <c:pt idx="33">
                  <c:v>150.82187042131599</c:v>
                </c:pt>
                <c:pt idx="34">
                  <c:v>159.58951541202768</c:v>
                </c:pt>
                <c:pt idx="35">
                  <c:v>168.34574659970926</c:v>
                </c:pt>
                <c:pt idx="36">
                  <c:v>152.52761887470743</c:v>
                </c:pt>
                <c:pt idx="37">
                  <c:v>161.04966060230029</c:v>
                </c:pt>
                <c:pt idx="38">
                  <c:v>169.56102628246936</c:v>
                </c:pt>
                <c:pt idx="39">
                  <c:v>178.06232809976677</c:v>
                </c:pt>
                <c:pt idx="40">
                  <c:v>186.55411491856782</c:v>
                </c:pt>
                <c:pt idx="41">
                  <c:v>170.04708058296916</c:v>
                </c:pt>
                <c:pt idx="42">
                  <c:v>177.81956828372506</c:v>
                </c:pt>
                <c:pt idx="43">
                  <c:v>185.58409039382227</c:v>
                </c:pt>
                <c:pt idx="44">
                  <c:v>193.34102766077947</c:v>
                </c:pt>
                <c:pt idx="45">
                  <c:v>201.09072773869752</c:v>
                </c:pt>
                <c:pt idx="46">
                  <c:v>185.34156577928113</c:v>
                </c:pt>
                <c:pt idx="47">
                  <c:v>192.61412738977924</c:v>
                </c:pt>
                <c:pt idx="48">
                  <c:v>199.88030093828698</c:v>
                </c:pt>
                <c:pt idx="49">
                  <c:v>207.14035174929199</c:v>
                </c:pt>
                <c:pt idx="50">
                  <c:v>214.39452500136431</c:v>
                </c:pt>
                <c:pt idx="51">
                  <c:v>198.91183713251789</c:v>
                </c:pt>
                <c:pt idx="52">
                  <c:v>205.20492267834979</c:v>
                </c:pt>
                <c:pt idx="53">
                  <c:v>211.49354608688319</c:v>
                </c:pt>
                <c:pt idx="54">
                  <c:v>217.77785897700315</c:v>
                </c:pt>
                <c:pt idx="55">
                  <c:v>224.05800348821421</c:v>
                </c:pt>
                <c:pt idx="56">
                  <c:v>209.55905099136109</c:v>
                </c:pt>
                <c:pt idx="57">
                  <c:v>215.60299864573804</c:v>
                </c:pt>
                <c:pt idx="58">
                  <c:v>221.6430479019896</c:v>
                </c:pt>
                <c:pt idx="59">
                  <c:v>227.67932016371938</c:v>
                </c:pt>
                <c:pt idx="60">
                  <c:v>233.71192986094184</c:v>
                </c:pt>
                <c:pt idx="61">
                  <c:v>219.71064874291372</c:v>
                </c:pt>
                <c:pt idx="62">
                  <c:v>225.02381820970098</c:v>
                </c:pt>
                <c:pt idx="63">
                  <c:v>230.33411312840303</c:v>
                </c:pt>
                <c:pt idx="64">
                  <c:v>235.641609242801</c:v>
                </c:pt>
                <c:pt idx="65">
                  <c:v>240.94637860003544</c:v>
                </c:pt>
                <c:pt idx="66">
                  <c:v>227.92069413364416</c:v>
                </c:pt>
                <c:pt idx="67">
                  <c:v>232.98820644971894</c:v>
                </c:pt>
                <c:pt idx="68">
                  <c:v>238.05320186844813</c:v>
                </c:pt>
                <c:pt idx="69">
                  <c:v>243.11574159622663</c:v>
                </c:pt>
                <c:pt idx="70">
                  <c:v>248.1758840777369</c:v>
                </c:pt>
                <c:pt idx="71">
                  <c:v>235.40041910588846</c:v>
                </c:pt>
                <c:pt idx="72">
                  <c:v>239.49988976533089</c:v>
                </c:pt>
                <c:pt idx="73">
                  <c:v>243.59776231305099</c:v>
                </c:pt>
                <c:pt idx="74">
                  <c:v>247.69406748216693</c:v>
                </c:pt>
                <c:pt idx="75">
                  <c:v>251.78883490429246</c:v>
                </c:pt>
                <c:pt idx="76">
                  <c:v>241.18744081547288</c:v>
                </c:pt>
                <c:pt idx="77">
                  <c:v>245.04369450396993</c:v>
                </c:pt>
                <c:pt idx="78">
                  <c:v>248.89856916975472</c:v>
                </c:pt>
                <c:pt idx="79">
                  <c:v>252.75208922948948</c:v>
                </c:pt>
                <c:pt idx="80">
                  <c:v>256.60427829304331</c:v>
                </c:pt>
                <c:pt idx="81">
                  <c:v>246.73037039602514</c:v>
                </c:pt>
                <c:pt idx="82">
                  <c:v>250.10293857751753</c:v>
                </c:pt>
                <c:pt idx="83">
                  <c:v>253.47447536439972</c:v>
                </c:pt>
                <c:pt idx="84">
                  <c:v>256.84499644168284</c:v>
                </c:pt>
                <c:pt idx="85">
                  <c:v>260.21451704825046</c:v>
                </c:pt>
                <c:pt idx="86">
                  <c:v>251.54800828294844</c:v>
                </c:pt>
                <c:pt idx="87">
                  <c:v>254.91910787155098</c:v>
                </c:pt>
                <c:pt idx="88">
                  <c:v>258.28919833503375</c:v>
                </c:pt>
                <c:pt idx="89">
                  <c:v>261.65829472678655</c:v>
                </c:pt>
                <c:pt idx="90">
                  <c:v>265.02641168010274</c:v>
                </c:pt>
                <c:pt idx="91">
                  <c:v>256.36355503466274</c:v>
                </c:pt>
                <c:pt idx="92">
                  <c:v>259.73321764902863</c:v>
                </c:pt>
                <c:pt idx="93">
                  <c:v>263.10189251350153</c:v>
                </c:pt>
                <c:pt idx="94">
                  <c:v>266.46959408660342</c:v>
                </c:pt>
                <c:pt idx="95">
                  <c:v>269.83633643082231</c:v>
                </c:pt>
                <c:pt idx="96">
                  <c:v>260.21451704825063</c:v>
                </c:pt>
                <c:pt idx="97">
                  <c:v>263.82362430075233</c:v>
                </c:pt>
                <c:pt idx="98">
                  <c:v>267.43161774582057</c:v>
                </c:pt>
                <c:pt idx="99">
                  <c:v>271.0385145613493</c:v>
                </c:pt>
                <c:pt idx="100">
                  <c:v>274.64433142982574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7.697583527263002</c:v>
                </c:pt>
                <c:pt idx="2">
                  <c:v>15.052252496156603</c:v>
                </c:pt>
                <c:pt idx="3">
                  <c:v>22.29617727593093</c:v>
                </c:pt>
                <c:pt idx="4">
                  <c:v>29.471836760799089</c:v>
                </c:pt>
                <c:pt idx="5">
                  <c:v>36.598483778168706</c:v>
                </c:pt>
                <c:pt idx="6">
                  <c:v>43.687100944621086</c:v>
                </c:pt>
                <c:pt idx="7">
                  <c:v>50.744768328417116</c:v>
                </c:pt>
                <c:pt idx="8">
                  <c:v>57.776417476621468</c:v>
                </c:pt>
                <c:pt idx="9">
                  <c:v>64.785673139060947</c:v>
                </c:pt>
                <c:pt idx="10">
                  <c:v>71.775307310840645</c:v>
                </c:pt>
                <c:pt idx="11">
                  <c:v>78.747505506454971</c:v>
                </c:pt>
                <c:pt idx="12">
                  <c:v>85.704033082504509</c:v>
                </c:pt>
                <c:pt idx="13">
                  <c:v>92.646344391476063</c:v>
                </c:pt>
                <c:pt idx="14">
                  <c:v>99.575657329076975</c:v>
                </c:pt>
                <c:pt idx="15">
                  <c:v>106.49300594709727</c:v>
                </c:pt>
                <c:pt idx="16">
                  <c:v>113.39927862361037</c:v>
                </c:pt>
                <c:pt idx="17">
                  <c:v>120.29524641301924</c:v>
                </c:pt>
                <c:pt idx="18">
                  <c:v>127.18158453304126</c:v>
                </c:pt>
                <c:pt idx="19">
                  <c:v>134.05888893991556</c:v>
                </c:pt>
                <c:pt idx="20">
                  <c:v>140.9276893145456</c:v>
                </c:pt>
                <c:pt idx="21">
                  <c:v>147.78845937760369</c:v>
                </c:pt>
                <c:pt idx="22">
                  <c:v>154.64162518418536</c:v>
                </c:pt>
                <c:pt idx="23">
                  <c:v>161.48757186771309</c:v>
                </c:pt>
                <c:pt idx="24">
                  <c:v>168.3266491778933</c:v>
                </c:pt>
                <c:pt idx="25">
                  <c:v>175.15917606967238</c:v>
                </c:pt>
                <c:pt idx="26">
                  <c:v>181.9854445372915</c:v>
                </c:pt>
                <c:pt idx="27">
                  <c:v>188.80572284189591</c:v>
                </c:pt>
                <c:pt idx="28">
                  <c:v>195.6202582475386</c:v>
                </c:pt>
                <c:pt idx="29">
                  <c:v>202.42927935534158</c:v>
                </c:pt>
                <c:pt idx="30">
                  <c:v>209.23299810665981</c:v>
                </c:pt>
                <c:pt idx="31">
                  <c:v>216.03161151165315</c:v>
                </c:pt>
                <c:pt idx="32">
                  <c:v>222.82530314855126</c:v>
                </c:pt>
                <c:pt idx="33">
                  <c:v>229.61424447024635</c:v>
                </c:pt>
                <c:pt idx="34">
                  <c:v>236.39859594806023</c:v>
                </c:pt>
                <c:pt idx="35">
                  <c:v>243.17850807717068</c:v>
                </c:pt>
                <c:pt idx="36">
                  <c:v>249.95412226390053</c:v>
                </c:pt>
                <c:pt idx="37">
                  <c:v>256.72557161164923</c:v>
                </c:pt>
                <c:pt idx="38">
                  <c:v>263.49298161946837</c:v>
                </c:pt>
                <c:pt idx="39">
                  <c:v>270.25647080503455</c:v>
                </c:pt>
                <c:pt idx="40">
                  <c:v>277.01615126193008</c:v>
                </c:pt>
                <c:pt idx="41">
                  <c:v>283.77212915962639</c:v>
                </c:pt>
                <c:pt idx="42">
                  <c:v>290.52450519331529</c:v>
                </c:pt>
                <c:pt idx="43">
                  <c:v>297.27337498969342</c:v>
                </c:pt>
                <c:pt idx="44">
                  <c:v>304.01882947393329</c:v>
                </c:pt>
                <c:pt idx="45">
                  <c:v>310.76095520235594</c:v>
                </c:pt>
                <c:pt idx="46">
                  <c:v>317.49983466469604</c:v>
                </c:pt>
                <c:pt idx="47">
                  <c:v>324.23554655934407</c:v>
                </c:pt>
                <c:pt idx="48">
                  <c:v>223.37739172485814</c:v>
                </c:pt>
                <c:pt idx="49">
                  <c:v>238.40497208757236</c:v>
                </c:pt>
                <c:pt idx="50">
                  <c:v>253.41097605508207</c:v>
                </c:pt>
                <c:pt idx="51">
                  <c:v>268.39686139092083</c:v>
                </c:pt>
                <c:pt idx="52">
                  <c:v>283.36390971092345</c:v>
                </c:pt>
                <c:pt idx="53">
                  <c:v>298.31325614569658</c:v>
                </c:pt>
                <c:pt idx="54">
                  <c:v>313.24591274090682</c:v>
                </c:pt>
                <c:pt idx="55">
                  <c:v>328.16278715900881</c:v>
                </c:pt>
                <c:pt idx="56">
                  <c:v>262.78981560501092</c:v>
                </c:pt>
                <c:pt idx="57">
                  <c:v>277.51476169977025</c:v>
                </c:pt>
                <c:pt idx="58">
                  <c:v>292.22217664423465</c:v>
                </c:pt>
                <c:pt idx="59">
                  <c:v>306.91306709566135</c:v>
                </c:pt>
                <c:pt idx="60">
                  <c:v>321.58833545271574</c:v>
                </c:pt>
                <c:pt idx="61">
                  <c:v>336.24879501887341</c:v>
                </c:pt>
                <c:pt idx="62">
                  <c:v>350.89518238180608</c:v>
                </c:pt>
                <c:pt idx="63">
                  <c:v>365.5281676171212</c:v>
                </c:pt>
                <c:pt idx="64">
                  <c:v>305.17536979366787</c:v>
                </c:pt>
                <c:pt idx="65">
                  <c:v>319.8673899138131</c:v>
                </c:pt>
                <c:pt idx="66">
                  <c:v>334.54447962147259</c:v>
                </c:pt>
                <c:pt idx="67">
                  <c:v>349.20738618437628</c:v>
                </c:pt>
                <c:pt idx="68">
                  <c:v>363.8567889908864</c:v>
                </c:pt>
                <c:pt idx="69">
                  <c:v>378.49330825801081</c:v>
                </c:pt>
                <c:pt idx="70">
                  <c:v>393.11751232182195</c:v>
                </c:pt>
                <c:pt idx="71">
                  <c:v>407.72992378626788</c:v>
                </c:pt>
                <c:pt idx="72">
                  <c:v>422.33102474446986</c:v>
                </c:pt>
                <c:pt idx="73">
                  <c:v>436.92126124029113</c:v>
                </c:pt>
                <c:pt idx="74">
                  <c:v>373.17181097842905</c:v>
                </c:pt>
                <c:pt idx="75">
                  <c:v>387.80893621895649</c:v>
                </c:pt>
                <c:pt idx="76">
                  <c:v>402.43407010476926</c:v>
                </c:pt>
                <c:pt idx="77">
                  <c:v>417.04770974112699</c:v>
                </c:pt>
                <c:pt idx="78">
                  <c:v>431.65031455776375</c:v>
                </c:pt>
                <c:pt idx="79">
                  <c:v>446.24231036889415</c:v>
                </c:pt>
                <c:pt idx="80">
                  <c:v>460.82409287453146</c:v>
                </c:pt>
                <c:pt idx="81">
                  <c:v>475.39603069559365</c:v>
                </c:pt>
                <c:pt idx="82">
                  <c:v>489.95846801755528</c:v>
                </c:pt>
                <c:pt idx="83">
                  <c:v>504.51172690349432</c:v>
                </c:pt>
                <c:pt idx="84">
                  <c:v>434.27005132249661</c:v>
                </c:pt>
                <c:pt idx="85">
                  <c:v>448.90045818514682</c:v>
                </c:pt>
                <c:pt idx="86">
                  <c:v>463.52066474498884</c:v>
                </c:pt>
                <c:pt idx="87">
                  <c:v>478.13103797338209</c:v>
                </c:pt>
                <c:pt idx="88">
                  <c:v>492.73192059116496</c:v>
                </c:pt>
                <c:pt idx="89">
                  <c:v>507.3236333572807</c:v>
                </c:pt>
                <c:pt idx="90">
                  <c:v>521.90647708045708</c:v>
                </c:pt>
                <c:pt idx="91">
                  <c:v>536.48073439441043</c:v>
                </c:pt>
                <c:pt idx="92">
                  <c:v>551.04667133016972</c:v>
                </c:pt>
                <c:pt idx="93">
                  <c:v>565.60453871356447</c:v>
                </c:pt>
                <c:pt idx="94">
                  <c:v>488.55363282316489</c:v>
                </c:pt>
                <c:pt idx="95">
                  <c:v>503.30652276144025</c:v>
                </c:pt>
                <c:pt idx="96">
                  <c:v>518.0502670529446</c:v>
                </c:pt>
                <c:pt idx="97">
                  <c:v>532.78516255227566</c:v>
                </c:pt>
                <c:pt idx="98">
                  <c:v>547.5114883615621</c:v>
                </c:pt>
                <c:pt idx="99">
                  <c:v>562.22950735094003</c:v>
                </c:pt>
                <c:pt idx="100">
                  <c:v>576.93946751159467</c:v>
                </c:pt>
                <c:pt idx="101">
                  <c:v>591.64160316369305</c:v>
                </c:pt>
                <c:pt idx="102">
                  <c:v>606.33613603806123</c:v>
                </c:pt>
                <c:pt idx="103">
                  <c:v>621.02327624760107</c:v>
                </c:pt>
                <c:pt idx="104">
                  <c:v>533.3764901818397</c:v>
                </c:pt>
                <c:pt idx="105">
                  <c:v>548.15524380955242</c:v>
                </c:pt>
                <c:pt idx="106">
                  <c:v>562.92564218053246</c:v>
                </c:pt>
                <c:pt idx="107">
                  <c:v>577.68793530868641</c:v>
                </c:pt>
                <c:pt idx="108">
                  <c:v>592.44235939435634</c:v>
                </c:pt>
                <c:pt idx="109">
                  <c:v>607.18913791967464</c:v>
                </c:pt>
                <c:pt idx="110">
                  <c:v>621.92848263202575</c:v>
                </c:pt>
                <c:pt idx="111">
                  <c:v>636.66059442948233</c:v>
                </c:pt>
                <c:pt idx="112">
                  <c:v>651.38566416006904</c:v>
                </c:pt>
                <c:pt idx="113">
                  <c:v>666.10387334504355</c:v>
                </c:pt>
                <c:pt idx="114">
                  <c:v>582.2907441380753</c:v>
                </c:pt>
                <c:pt idx="115">
                  <c:v>597.47115676813644</c:v>
                </c:pt>
                <c:pt idx="116">
                  <c:v>612.64355095471751</c:v>
                </c:pt>
                <c:pt idx="117">
                  <c:v>627.80815313747701</c:v>
                </c:pt>
                <c:pt idx="118">
                  <c:v>642.96517793150599</c:v>
                </c:pt>
                <c:pt idx="119">
                  <c:v>658.11482901474324</c:v>
                </c:pt>
                <c:pt idx="120">
                  <c:v>673.25729992948266</c:v>
                </c:pt>
                <c:pt idx="121">
                  <c:v>688.39277480807448</c:v>
                </c:pt>
                <c:pt idx="122">
                  <c:v>703.52142903152651</c:v>
                </c:pt>
                <c:pt idx="123">
                  <c:v>718.64342982855476</c:v>
                </c:pt>
                <c:pt idx="124">
                  <c:v>733.75893682162814</c:v>
                </c:pt>
                <c:pt idx="125">
                  <c:v>748.86810252571649</c:v>
                </c:pt>
                <c:pt idx="126">
                  <c:v>637.9703563872921</c:v>
                </c:pt>
                <c:pt idx="127">
                  <c:v>653.52022557836733</c:v>
                </c:pt>
                <c:pt idx="128">
                  <c:v>669.062471736985</c:v>
                </c:pt>
                <c:pt idx="129">
                  <c:v>684.5972967663937</c:v>
                </c:pt>
                <c:pt idx="130">
                  <c:v>700.12489266630439</c:v>
                </c:pt>
                <c:pt idx="131">
                  <c:v>715.64544223205303</c:v>
                </c:pt>
                <c:pt idx="132">
                  <c:v>731.15911969000251</c:v>
                </c:pt>
                <c:pt idx="133">
                  <c:v>746.66609127625918</c:v>
                </c:pt>
                <c:pt idx="134">
                  <c:v>762.16651576485413</c:v>
                </c:pt>
                <c:pt idx="135">
                  <c:v>777.6605449507623</c:v>
                </c:pt>
                <c:pt idx="136">
                  <c:v>793.14832409245844</c:v>
                </c:pt>
                <c:pt idx="137">
                  <c:v>808.62999231814626</c:v>
                </c:pt>
                <c:pt idx="138">
                  <c:v>703.59142109491222</c:v>
                </c:pt>
                <c:pt idx="139">
                  <c:v>719.5948963813621</c:v>
                </c:pt>
                <c:pt idx="140">
                  <c:v>735.59110942764926</c:v>
                </c:pt>
                <c:pt idx="141">
                  <c:v>751.58024027239537</c:v>
                </c:pt>
                <c:pt idx="142">
                  <c:v>767.56246067609209</c:v>
                </c:pt>
                <c:pt idx="143">
                  <c:v>783.53793466969148</c:v>
                </c:pt>
                <c:pt idx="144">
                  <c:v>799.5068190561791</c:v>
                </c:pt>
                <c:pt idx="145">
                  <c:v>815.46926387002452</c:v>
                </c:pt>
                <c:pt idx="146">
                  <c:v>831.42541279882653</c:v>
                </c:pt>
                <c:pt idx="147">
                  <c:v>847.37540357094178</c:v>
                </c:pt>
                <c:pt idx="148">
                  <c:v>863.31936831243911</c:v>
                </c:pt>
                <c:pt idx="149">
                  <c:v>879.25743387634668</c:v>
                </c:pt>
                <c:pt idx="150">
                  <c:v>760.55264775234548</c:v>
                </c:pt>
                <c:pt idx="151">
                  <c:v>777.15832351370602</c:v>
                </c:pt>
                <c:pt idx="152">
                  <c:v>793.7568152347875</c:v>
                </c:pt>
                <c:pt idx="153">
                  <c:v>810.3482941587489</c:v>
                </c:pt>
                <c:pt idx="154">
                  <c:v>826.93292395187245</c:v>
                </c:pt>
                <c:pt idx="155">
                  <c:v>843.51086118713954</c:v>
                </c:pt>
                <c:pt idx="156">
                  <c:v>860.08225578785607</c:v>
                </c:pt>
                <c:pt idx="157">
                  <c:v>876.64725143534918</c:v>
                </c:pt>
                <c:pt idx="158">
                  <c:v>893.20598594428327</c:v>
                </c:pt>
                <c:pt idx="159">
                  <c:v>909.75859160872687</c:v>
                </c:pt>
                <c:pt idx="160">
                  <c:v>926.30519552175872</c:v>
                </c:pt>
                <c:pt idx="161">
                  <c:v>942.84591987107444</c:v>
                </c:pt>
                <c:pt idx="162">
                  <c:v>959.38088221279975</c:v>
                </c:pt>
                <c:pt idx="163">
                  <c:v>975.91019572546691</c:v>
                </c:pt>
                <c:pt idx="164">
                  <c:v>992.43396944591507</c:v>
                </c:pt>
                <c:pt idx="165">
                  <c:v>836.25917612481078</c:v>
                </c:pt>
                <c:pt idx="166">
                  <c:v>853.32981650127419</c:v>
                </c:pt>
                <c:pt idx="167">
                  <c:v>870.39360743181862</c:v>
                </c:pt>
                <c:pt idx="168">
                  <c:v>887.45070196339327</c:v>
                </c:pt>
                <c:pt idx="169">
                  <c:v>904.50124678683278</c:v>
                </c:pt>
                <c:pt idx="170">
                  <c:v>921.54538261810001</c:v>
                </c:pt>
                <c:pt idx="171">
                  <c:v>938.58324454989008</c:v>
                </c:pt>
                <c:pt idx="172">
                  <c:v>955.61496237641143</c:v>
                </c:pt>
                <c:pt idx="173">
                  <c:v>972.6406608938355</c:v>
                </c:pt>
                <c:pt idx="174">
                  <c:v>989.66046017864949</c:v>
                </c:pt>
                <c:pt idx="175">
                  <c:v>1006.6744758458841</c:v>
                </c:pt>
                <c:pt idx="176">
                  <c:v>1023.682819289006</c:v>
                </c:pt>
                <c:pt idx="177">
                  <c:v>1040.6855979030584</c:v>
                </c:pt>
                <c:pt idx="178">
                  <c:v>1057.6829152924804</c:v>
                </c:pt>
                <c:pt idx="179">
                  <c:v>1074.674871464895</c:v>
                </c:pt>
                <c:pt idx="180">
                  <c:v>610.69215263411149</c:v>
                </c:pt>
                <c:pt idx="181">
                  <c:v>621.87936360639742</c:v>
                </c:pt>
                <c:pt idx="182">
                  <c:v>633.06240713941395</c:v>
                </c:pt>
                <c:pt idx="183">
                  <c:v>425.18258724109478</c:v>
                </c:pt>
                <c:pt idx="184">
                  <c:v>431.94377030696938</c:v>
                </c:pt>
                <c:pt idx="185">
                  <c:v>438.70268022899398</c:v>
                </c:pt>
                <c:pt idx="186">
                  <c:v>291.68013553980774</c:v>
                </c:pt>
                <c:pt idx="187">
                  <c:v>295.95166877631669</c:v>
                </c:pt>
                <c:pt idx="188">
                  <c:v>300.2218269680962</c:v>
                </c:pt>
                <c:pt idx="189">
                  <c:v>7.070009451869665E-12</c:v>
                </c:pt>
                <c:pt idx="190">
                  <c:v>7.070009451869665E-12</c:v>
                </c:pt>
                <c:pt idx="191">
                  <c:v>7.070009451869665E-12</c:v>
                </c:pt>
                <c:pt idx="192">
                  <c:v>7.070009451869665E-12</c:v>
                </c:pt>
                <c:pt idx="193">
                  <c:v>7.070009451869665E-12</c:v>
                </c:pt>
                <c:pt idx="194">
                  <c:v>7.070009451869665E-12</c:v>
                </c:pt>
                <c:pt idx="195">
                  <c:v>7.070009451869665E-12</c:v>
                </c:pt>
                <c:pt idx="196">
                  <c:v>7.070009451869665E-12</c:v>
                </c:pt>
                <c:pt idx="197">
                  <c:v>7.070009451869665E-12</c:v>
                </c:pt>
                <c:pt idx="198">
                  <c:v>7.070009451869665E-12</c:v>
                </c:pt>
                <c:pt idx="199">
                  <c:v>7.070009451869665E-12</c:v>
                </c:pt>
                <c:pt idx="200">
                  <c:v>7.070009451869665E-12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9.2814592541766938</c:v>
                </c:pt>
                <c:pt idx="2">
                  <c:v>18.156050862234036</c:v>
                </c:pt>
                <c:pt idx="3">
                  <c:v>26.89924464407305</c:v>
                </c:pt>
                <c:pt idx="4">
                  <c:v>35.561441748540922</c:v>
                </c:pt>
                <c:pt idx="5">
                  <c:v>44.16548562855413</c:v>
                </c:pt>
                <c:pt idx="6">
                  <c:v>52.724407143396995</c:v>
                </c:pt>
                <c:pt idx="7">
                  <c:v>61.246606784204609</c:v>
                </c:pt>
                <c:pt idx="8">
                  <c:v>69.737935824703797</c:v>
                </c:pt>
                <c:pt idx="9">
                  <c:v>78.202695025517883</c:v>
                </c:pt>
                <c:pt idx="10">
                  <c:v>86.644173354980055</c:v>
                </c:pt>
                <c:pt idx="11">
                  <c:v>95.064963922995389</c:v>
                </c:pt>
                <c:pt idx="12">
                  <c:v>103.4671613227128</c:v>
                </c:pt>
                <c:pt idx="13">
                  <c:v>111.85249114133325</c:v>
                </c:pt>
                <c:pt idx="14">
                  <c:v>120.22239841041811</c:v>
                </c:pt>
                <c:pt idx="15">
                  <c:v>128.57811003097649</c:v>
                </c:pt>
                <c:pt idx="16">
                  <c:v>136.92068006235593</c:v>
                </c:pt>
                <c:pt idx="17">
                  <c:v>145.25102335953207</c:v>
                </c:pt>
                <c:pt idx="18">
                  <c:v>153.56994106738651</c:v>
                </c:pt>
                <c:pt idx="19">
                  <c:v>161.87814028716744</c:v>
                </c:pt>
                <c:pt idx="20">
                  <c:v>170.17624948452939</c:v>
                </c:pt>
                <c:pt idx="21">
                  <c:v>178.46483072839058</c:v>
                </c:pt>
                <c:pt idx="22">
                  <c:v>186.74438953252874</c:v>
                </c:pt>
                <c:pt idx="23">
                  <c:v>195.01538285721335</c:v>
                </c:pt>
                <c:pt idx="24">
                  <c:v>203.27822567998433</c:v>
                </c:pt>
                <c:pt idx="25">
                  <c:v>211.53329644044149</c:v>
                </c:pt>
                <c:pt idx="26">
                  <c:v>219.78094158934547</c:v>
                </c:pt>
                <c:pt idx="27">
                  <c:v>228.02147941817165</c:v>
                </c:pt>
                <c:pt idx="28">
                  <c:v>236.25520330537464</c:v>
                </c:pt>
                <c:pt idx="29">
                  <c:v>244.48238448586758</c:v>
                </c:pt>
                <c:pt idx="30">
                  <c:v>252.70327442777295</c:v>
                </c:pt>
                <c:pt idx="31">
                  <c:v>260.91810688337119</c:v>
                </c:pt>
                <c:pt idx="32">
                  <c:v>269.12709966797632</c:v>
                </c:pt>
                <c:pt idx="33">
                  <c:v>277.33045621020614</c:v>
                </c:pt>
                <c:pt idx="34">
                  <c:v>285.52836690906082</c:v>
                </c:pt>
                <c:pt idx="35">
                  <c:v>293.72101032685873</c:v>
                </c:pt>
                <c:pt idx="36">
                  <c:v>301.90855424200555</c:v>
                </c:pt>
                <c:pt idx="37">
                  <c:v>310.09115658149926</c:v>
                </c:pt>
                <c:pt idx="38">
                  <c:v>318.26896624979003</c:v>
                </c:pt>
                <c:pt idx="39">
                  <c:v>191.9101217139978</c:v>
                </c:pt>
                <c:pt idx="40">
                  <c:v>212.09049210693217</c:v>
                </c:pt>
                <c:pt idx="41">
                  <c:v>232.22660564527078</c:v>
                </c:pt>
                <c:pt idx="42">
                  <c:v>252.32283948832352</c:v>
                </c:pt>
                <c:pt idx="43">
                  <c:v>272.38281610504754</c:v>
                </c:pt>
                <c:pt idx="44">
                  <c:v>292.4095806006253</c:v>
                </c:pt>
                <c:pt idx="45">
                  <c:v>312.40572682672854</c:v>
                </c:pt>
                <c:pt idx="46">
                  <c:v>247.71827804440349</c:v>
                </c:pt>
                <c:pt idx="47">
                  <c:v>268.17158173268894</c:v>
                </c:pt>
                <c:pt idx="48">
                  <c:v>288.5897611303098</c:v>
                </c:pt>
                <c:pt idx="49">
                  <c:v>308.97565001903934</c:v>
                </c:pt>
                <c:pt idx="50">
                  <c:v>329.33167768857032</c:v>
                </c:pt>
                <c:pt idx="51">
                  <c:v>349.65994863235909</c:v>
                </c:pt>
                <c:pt idx="52">
                  <c:v>369.96230272517363</c:v>
                </c:pt>
                <c:pt idx="53">
                  <c:v>299.78093796348435</c:v>
                </c:pt>
                <c:pt idx="54">
                  <c:v>319.90884698949952</c:v>
                </c:pt>
                <c:pt idx="55">
                  <c:v>340.00873782334116</c:v>
                </c:pt>
                <c:pt idx="56">
                  <c:v>360.08249899753582</c:v>
                </c:pt>
                <c:pt idx="57">
                  <c:v>380.13179135254126</c:v>
                </c:pt>
                <c:pt idx="58">
                  <c:v>400.15808629834527</c:v>
                </c:pt>
                <c:pt idx="59">
                  <c:v>420.16269601462477</c:v>
                </c:pt>
                <c:pt idx="60">
                  <c:v>355.19187124027127</c:v>
                </c:pt>
                <c:pt idx="61">
                  <c:v>374.98260902977336</c:v>
                </c:pt>
                <c:pt idx="62">
                  <c:v>394.7506001517263</c:v>
                </c:pt>
                <c:pt idx="63">
                  <c:v>414.49714332625496</c:v>
                </c:pt>
                <c:pt idx="64">
                  <c:v>434.22340349345751</c:v>
                </c:pt>
                <c:pt idx="65">
                  <c:v>453.93043117002759</c:v>
                </c:pt>
                <c:pt idx="66">
                  <c:v>473.61917826951543</c:v>
                </c:pt>
                <c:pt idx="67">
                  <c:v>493.29051115534702</c:v>
                </c:pt>
                <c:pt idx="68">
                  <c:v>426.87070846345961</c:v>
                </c:pt>
                <c:pt idx="69">
                  <c:v>446.3903198300689</c:v>
                </c:pt>
                <c:pt idx="70">
                  <c:v>465.8916632033463</c:v>
                </c:pt>
                <c:pt idx="71">
                  <c:v>485.37561035454365</c:v>
                </c:pt>
                <c:pt idx="72">
                  <c:v>504.84295740152987</c:v>
                </c:pt>
                <c:pt idx="73">
                  <c:v>524.29443409766043</c:v>
                </c:pt>
                <c:pt idx="74">
                  <c:v>543.73071167094952</c:v>
                </c:pt>
                <c:pt idx="75">
                  <c:v>563.15240948454345</c:v>
                </c:pt>
                <c:pt idx="76">
                  <c:v>494.62871898759676</c:v>
                </c:pt>
                <c:pt idx="77">
                  <c:v>513.74094549179301</c:v>
                </c:pt>
                <c:pt idx="78">
                  <c:v>532.83816646386731</c:v>
                </c:pt>
                <c:pt idx="79">
                  <c:v>551.92099501784321</c:v>
                </c:pt>
                <c:pt idx="80">
                  <c:v>570.98999844477783</c:v>
                </c:pt>
                <c:pt idx="81">
                  <c:v>590.04570308454447</c:v>
                </c:pt>
                <c:pt idx="82">
                  <c:v>609.08859853591491</c:v>
                </c:pt>
                <c:pt idx="83">
                  <c:v>628.11914131309391</c:v>
                </c:pt>
                <c:pt idx="84">
                  <c:v>546.34675191309282</c:v>
                </c:pt>
                <c:pt idx="85">
                  <c:v>564.9980529687241</c:v>
                </c:pt>
                <c:pt idx="86">
                  <c:v>583.63648288916681</c:v>
                </c:pt>
                <c:pt idx="87">
                  <c:v>602.2625102615774</c:v>
                </c:pt>
                <c:pt idx="88">
                  <c:v>620.87657234938786</c:v>
                </c:pt>
                <c:pt idx="89">
                  <c:v>639.47907808161142</c:v>
                </c:pt>
                <c:pt idx="90">
                  <c:v>658.07041067647913</c:v>
                </c:pt>
                <c:pt idx="91">
                  <c:v>676.65092995340171</c:v>
                </c:pt>
                <c:pt idx="92">
                  <c:v>695.22097437799528</c:v>
                </c:pt>
                <c:pt idx="93">
                  <c:v>713.78086287743406</c:v>
                </c:pt>
                <c:pt idx="94">
                  <c:v>596.60609402508533</c:v>
                </c:pt>
                <c:pt idx="95">
                  <c:v>614.67185072691063</c:v>
                </c:pt>
                <c:pt idx="96">
                  <c:v>632.72660082215282</c:v>
                </c:pt>
                <c:pt idx="97">
                  <c:v>650.77070235029328</c:v>
                </c:pt>
                <c:pt idx="98">
                  <c:v>668.80449189389219</c:v>
                </c:pt>
                <c:pt idx="99">
                  <c:v>686.82828642014101</c:v>
                </c:pt>
                <c:pt idx="100">
                  <c:v>704.84238491922042</c:v>
                </c:pt>
                <c:pt idx="101">
                  <c:v>722.84706986660137</c:v>
                </c:pt>
                <c:pt idx="102">
                  <c:v>740.84260853221531</c:v>
                </c:pt>
                <c:pt idx="103">
                  <c:v>758.82925415592547</c:v>
                </c:pt>
                <c:pt idx="104">
                  <c:v>640.72231942176609</c:v>
                </c:pt>
                <c:pt idx="105">
                  <c:v>658.27081837032063</c:v>
                </c:pt>
                <c:pt idx="106">
                  <c:v>675.80968614869391</c:v>
                </c:pt>
                <c:pt idx="107">
                  <c:v>693.33920769670385</c:v>
                </c:pt>
                <c:pt idx="108">
                  <c:v>710.85965238406754</c:v>
                </c:pt>
                <c:pt idx="109">
                  <c:v>728.37127523180015</c:v>
                </c:pt>
                <c:pt idx="110">
                  <c:v>745.87431801015293</c:v>
                </c:pt>
                <c:pt idx="111">
                  <c:v>763.36901022822894</c:v>
                </c:pt>
                <c:pt idx="112">
                  <c:v>780.85557002825271</c:v>
                </c:pt>
                <c:pt idx="113">
                  <c:v>798.33420499564829</c:v>
                </c:pt>
                <c:pt idx="114">
                  <c:v>678.43349468551708</c:v>
                </c:pt>
                <c:pt idx="115">
                  <c:v>695.85754841077744</c:v>
                </c:pt>
                <c:pt idx="116">
                  <c:v>713.27266986417487</c:v>
                </c:pt>
                <c:pt idx="117">
                  <c:v>730.67910765307681</c:v>
                </c:pt>
                <c:pt idx="118">
                  <c:v>748.07709758544399</c:v>
                </c:pt>
                <c:pt idx="119">
                  <c:v>765.46686361720276</c:v>
                </c:pt>
                <c:pt idx="120">
                  <c:v>782.84861870913744</c:v>
                </c:pt>
                <c:pt idx="121">
                  <c:v>800.22256560379947</c:v>
                </c:pt>
                <c:pt idx="122">
                  <c:v>817.58889753150731</c:v>
                </c:pt>
                <c:pt idx="123">
                  <c:v>834.94779885330809</c:v>
                </c:pt>
                <c:pt idx="124">
                  <c:v>435.81541740524904</c:v>
                </c:pt>
                <c:pt idx="125">
                  <c:v>445.61746930961482</c:v>
                </c:pt>
                <c:pt idx="126">
                  <c:v>309.15750305437888</c:v>
                </c:pt>
                <c:pt idx="127">
                  <c:v>315.92803182924689</c:v>
                </c:pt>
                <c:pt idx="128">
                  <c:v>226.85049213402147</c:v>
                </c:pt>
                <c:pt idx="129">
                  <c:v>231.84687636657415</c:v>
                </c:pt>
                <c:pt idx="130">
                  <c:v>236.84080061562653</c:v>
                </c:pt>
                <c:pt idx="131">
                  <c:v>6.1663475311105072E-12</c:v>
                </c:pt>
                <c:pt idx="132">
                  <c:v>6.1663475311105072E-12</c:v>
                </c:pt>
                <c:pt idx="133">
                  <c:v>6.1663475311105072E-12</c:v>
                </c:pt>
                <c:pt idx="134">
                  <c:v>6.1663475311105072E-12</c:v>
                </c:pt>
                <c:pt idx="135">
                  <c:v>6.1663475311105072E-12</c:v>
                </c:pt>
                <c:pt idx="136">
                  <c:v>6.1663475311105072E-12</c:v>
                </c:pt>
                <c:pt idx="137">
                  <c:v>6.1663475311105072E-12</c:v>
                </c:pt>
                <c:pt idx="138">
                  <c:v>6.1663475311105072E-12</c:v>
                </c:pt>
                <c:pt idx="139">
                  <c:v>6.1663475311105072E-12</c:v>
                </c:pt>
                <c:pt idx="140">
                  <c:v>6.1663475311105072E-12</c:v>
                </c:pt>
                <c:pt idx="141">
                  <c:v>6.1663475311105072E-12</c:v>
                </c:pt>
                <c:pt idx="142">
                  <c:v>6.1663475311105072E-12</c:v>
                </c:pt>
                <c:pt idx="143">
                  <c:v>6.1663475311105072E-12</c:v>
                </c:pt>
                <c:pt idx="144">
                  <c:v>6.1663475311105072E-12</c:v>
                </c:pt>
                <c:pt idx="145">
                  <c:v>6.1663475311105072E-12</c:v>
                </c:pt>
                <c:pt idx="146">
                  <c:v>6.1663475311105072E-12</c:v>
                </c:pt>
                <c:pt idx="147">
                  <c:v>6.1663475311105072E-12</c:v>
                </c:pt>
                <c:pt idx="148">
                  <c:v>6.1663475311105072E-12</c:v>
                </c:pt>
                <c:pt idx="149">
                  <c:v>6.1663475311105072E-12</c:v>
                </c:pt>
                <c:pt idx="150">
                  <c:v>6.1663475311105072E-12</c:v>
                </c:pt>
                <c:pt idx="151">
                  <c:v>6.1663475311105072E-12</c:v>
                </c:pt>
                <c:pt idx="152">
                  <c:v>6.1663475311105072E-12</c:v>
                </c:pt>
                <c:pt idx="153">
                  <c:v>6.1663475311105072E-12</c:v>
                </c:pt>
                <c:pt idx="154">
                  <c:v>6.1663475311105072E-12</c:v>
                </c:pt>
                <c:pt idx="155">
                  <c:v>6.1663475311105072E-12</c:v>
                </c:pt>
                <c:pt idx="156">
                  <c:v>6.1663475311105072E-12</c:v>
                </c:pt>
                <c:pt idx="157">
                  <c:v>6.1663475311105072E-12</c:v>
                </c:pt>
                <c:pt idx="158">
                  <c:v>6.1663475311105072E-12</c:v>
                </c:pt>
                <c:pt idx="159">
                  <c:v>6.1663475311105072E-12</c:v>
                </c:pt>
                <c:pt idx="160">
                  <c:v>6.1663475311105072E-12</c:v>
                </c:pt>
                <c:pt idx="161">
                  <c:v>6.1663475311105072E-12</c:v>
                </c:pt>
                <c:pt idx="162">
                  <c:v>6.1663475311105072E-12</c:v>
                </c:pt>
                <c:pt idx="163">
                  <c:v>6.1663475311105072E-12</c:v>
                </c:pt>
                <c:pt idx="164">
                  <c:v>6.1663475311105072E-12</c:v>
                </c:pt>
                <c:pt idx="165">
                  <c:v>6.1663475311105072E-12</c:v>
                </c:pt>
                <c:pt idx="166">
                  <c:v>6.1663475311105072E-12</c:v>
                </c:pt>
                <c:pt idx="167">
                  <c:v>6.1663475311105072E-12</c:v>
                </c:pt>
                <c:pt idx="168">
                  <c:v>6.1663475311105072E-12</c:v>
                </c:pt>
                <c:pt idx="169">
                  <c:v>6.1663475311105072E-12</c:v>
                </c:pt>
                <c:pt idx="170">
                  <c:v>6.1663475311105072E-12</c:v>
                </c:pt>
                <c:pt idx="171">
                  <c:v>6.1663475311105072E-12</c:v>
                </c:pt>
                <c:pt idx="172">
                  <c:v>6.1663475311105072E-12</c:v>
                </c:pt>
                <c:pt idx="173">
                  <c:v>6.1663475311105072E-12</c:v>
                </c:pt>
                <c:pt idx="174">
                  <c:v>6.1663475311105072E-12</c:v>
                </c:pt>
                <c:pt idx="175">
                  <c:v>6.1663475311105072E-12</c:v>
                </c:pt>
                <c:pt idx="176">
                  <c:v>6.1663475311105072E-12</c:v>
                </c:pt>
                <c:pt idx="177">
                  <c:v>6.1663475311105072E-12</c:v>
                </c:pt>
                <c:pt idx="178">
                  <c:v>6.1663475311105072E-12</c:v>
                </c:pt>
                <c:pt idx="179">
                  <c:v>6.1663475311105072E-12</c:v>
                </c:pt>
                <c:pt idx="180">
                  <c:v>6.1663475311105072E-12</c:v>
                </c:pt>
                <c:pt idx="181">
                  <c:v>6.1663475311105072E-12</c:v>
                </c:pt>
                <c:pt idx="182">
                  <c:v>6.1663475311105072E-12</c:v>
                </c:pt>
                <c:pt idx="183">
                  <c:v>6.1663475311105072E-12</c:v>
                </c:pt>
                <c:pt idx="184">
                  <c:v>6.1663475311105072E-12</c:v>
                </c:pt>
                <c:pt idx="185">
                  <c:v>6.1663475311105072E-12</c:v>
                </c:pt>
                <c:pt idx="186">
                  <c:v>6.1663475311105072E-12</c:v>
                </c:pt>
                <c:pt idx="187">
                  <c:v>6.1663475311105072E-12</c:v>
                </c:pt>
                <c:pt idx="188">
                  <c:v>6.1663475311105072E-12</c:v>
                </c:pt>
                <c:pt idx="189">
                  <c:v>6.1663475311105072E-12</c:v>
                </c:pt>
                <c:pt idx="190">
                  <c:v>6.1663475311105072E-12</c:v>
                </c:pt>
                <c:pt idx="191">
                  <c:v>6.1663475311105072E-12</c:v>
                </c:pt>
                <c:pt idx="192">
                  <c:v>6.1663475311105072E-12</c:v>
                </c:pt>
                <c:pt idx="193">
                  <c:v>6.1663475311105072E-12</c:v>
                </c:pt>
                <c:pt idx="194">
                  <c:v>6.1663475311105072E-12</c:v>
                </c:pt>
                <c:pt idx="195">
                  <c:v>6.1663475311105072E-12</c:v>
                </c:pt>
                <c:pt idx="196">
                  <c:v>6.1663475311105072E-12</c:v>
                </c:pt>
                <c:pt idx="197">
                  <c:v>6.1663475311105072E-12</c:v>
                </c:pt>
                <c:pt idx="198">
                  <c:v>6.1663475311105072E-12</c:v>
                </c:pt>
                <c:pt idx="199">
                  <c:v>6.1663475311105072E-12</c:v>
                </c:pt>
                <c:pt idx="200">
                  <c:v>6.1663475311105072E-12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7.9348268839058393</c:v>
                </c:pt>
                <c:pt idx="2">
                  <c:v>15.517090525941128</c:v>
                </c:pt>
                <c:pt idx="3">
                  <c:v>22.985493938419882</c:v>
                </c:pt>
                <c:pt idx="4">
                  <c:v>30.383711256164688</c:v>
                </c:pt>
                <c:pt idx="5">
                  <c:v>37.731537028809953</c:v>
                </c:pt>
                <c:pt idx="6">
                  <c:v>45.040262893912661</c:v>
                </c:pt>
                <c:pt idx="7">
                  <c:v>52.317168133608305</c:v>
                </c:pt>
                <c:pt idx="8">
                  <c:v>59.567323055290082</c:v>
                </c:pt>
                <c:pt idx="9">
                  <c:v>66.794454399391569</c:v>
                </c:pt>
                <c:pt idx="10">
                  <c:v>74.001412157424696</c:v>
                </c:pt>
                <c:pt idx="11">
                  <c:v>81.190443338320719</c:v>
                </c:pt>
                <c:pt idx="12">
                  <c:v>88.363362971016116</c:v>
                </c:pt>
                <c:pt idx="13">
                  <c:v>95.521666329523114</c:v>
                </c:pt>
                <c:pt idx="14">
                  <c:v>102.6666055778236</c:v>
                </c:pt>
                <c:pt idx="15">
                  <c:v>109.79924386311403</c:v>
                </c:pt>
                <c:pt idx="16">
                  <c:v>116.92049456001179</c:v>
                </c:pt>
                <c:pt idx="17">
                  <c:v>124.03115041829483</c:v>
                </c:pt>
                <c:pt idx="18">
                  <c:v>131.13190565447152</c:v>
                </c:pt>
                <c:pt idx="19">
                  <c:v>138.22337299336959</c:v>
                </c:pt>
                <c:pt idx="20">
                  <c:v>145.30609701967319</c:v>
                </c:pt>
                <c:pt idx="21">
                  <c:v>152.38056478326666</c:v>
                </c:pt>
                <c:pt idx="22">
                  <c:v>159.44721432727769</c:v>
                </c:pt>
                <c:pt idx="23">
                  <c:v>166.50644162173626</c:v>
                </c:pt>
                <c:pt idx="24">
                  <c:v>173.55860625735497</c:v>
                </c:pt>
                <c:pt idx="25">
                  <c:v>180.60403616360529</c:v>
                </c:pt>
                <c:pt idx="26">
                  <c:v>187.64303155065241</c:v>
                </c:pt>
                <c:pt idx="27">
                  <c:v>194.67586822778131</c:v>
                </c:pt>
                <c:pt idx="28">
                  <c:v>201.70280041638287</c:v>
                </c:pt>
                <c:pt idx="29">
                  <c:v>208.72406314979355</c:v>
                </c:pt>
                <c:pt idx="30">
                  <c:v>215.73987433282181</c:v>
                </c:pt>
                <c:pt idx="31">
                  <c:v>222.7504365189578</c:v>
                </c:pt>
                <c:pt idx="32">
                  <c:v>229.75593845182368</c:v>
                </c:pt>
                <c:pt idx="33">
                  <c:v>236.75655640852983</c:v>
                </c:pt>
                <c:pt idx="34">
                  <c:v>243.75245537562498</c:v>
                </c:pt>
                <c:pt idx="35">
                  <c:v>250.74379008281184</c:v>
                </c:pt>
                <c:pt idx="36">
                  <c:v>257.73070591520286</c:v>
                </c:pt>
                <c:pt idx="37">
                  <c:v>264.71333972136563</c:v>
                </c:pt>
                <c:pt idx="38">
                  <c:v>271.69182053155362</c:v>
                </c:pt>
                <c:pt idx="39">
                  <c:v>278.66627019820879</c:v>
                </c:pt>
                <c:pt idx="40">
                  <c:v>285.63680396892198</c:v>
                </c:pt>
                <c:pt idx="41">
                  <c:v>292.60353100048502</c:v>
                </c:pt>
                <c:pt idx="42">
                  <c:v>299.56655482137893</c:v>
                </c:pt>
                <c:pt idx="43">
                  <c:v>306.52597374897516</c:v>
                </c:pt>
                <c:pt idx="44">
                  <c:v>313.48188126683385</c:v>
                </c:pt>
                <c:pt idx="45">
                  <c:v>320.43436636673522</c:v>
                </c:pt>
                <c:pt idx="46">
                  <c:v>327.38351385945117</c:v>
                </c:pt>
                <c:pt idx="47">
                  <c:v>334.32940465773095</c:v>
                </c:pt>
                <c:pt idx="48">
                  <c:v>341.27211603452292</c:v>
                </c:pt>
                <c:pt idx="49">
                  <c:v>348.21172185907125</c:v>
                </c:pt>
                <c:pt idx="50">
                  <c:v>355.14829281319425</c:v>
                </c:pt>
                <c:pt idx="51">
                  <c:v>362.08189658977221</c:v>
                </c:pt>
                <c:pt idx="52">
                  <c:v>369.01259807522791</c:v>
                </c:pt>
                <c:pt idx="53">
                  <c:v>375.94045951757306</c:v>
                </c:pt>
                <c:pt idx="54">
                  <c:v>382.8655406814126</c:v>
                </c:pt>
                <c:pt idx="55">
                  <c:v>389.78789899114423</c:v>
                </c:pt>
                <c:pt idx="56">
                  <c:v>396.70758966344698</c:v>
                </c:pt>
                <c:pt idx="57">
                  <c:v>403.62466583003965</c:v>
                </c:pt>
                <c:pt idx="58">
                  <c:v>410.53917865157979</c:v>
                </c:pt>
                <c:pt idx="59">
                  <c:v>417.45117742348617</c:v>
                </c:pt>
                <c:pt idx="60">
                  <c:v>424.36070967438195</c:v>
                </c:pt>
                <c:pt idx="61">
                  <c:v>288.18730679977051</c:v>
                </c:pt>
                <c:pt idx="62">
                  <c:v>302.47198070570596</c:v>
                </c:pt>
                <c:pt idx="63">
                  <c:v>316.74164591285154</c:v>
                </c:pt>
                <c:pt idx="64">
                  <c:v>330.99707386423012</c:v>
                </c:pt>
                <c:pt idx="65">
                  <c:v>345.23896411987533</c:v>
                </c:pt>
                <c:pt idx="66">
                  <c:v>359.46795380642266</c:v>
                </c:pt>
                <c:pt idx="67">
                  <c:v>373.68462549187933</c:v>
                </c:pt>
                <c:pt idx="68">
                  <c:v>387.88951379915807</c:v>
                </c:pt>
                <c:pt idx="69">
                  <c:v>402.08311100010451</c:v>
                </c:pt>
                <c:pt idx="70">
                  <c:v>328.91011552785579</c:v>
                </c:pt>
                <c:pt idx="71">
                  <c:v>342.84500036388135</c:v>
                </c:pt>
                <c:pt idx="72">
                  <c:v>356.76743992635789</c:v>
                </c:pt>
                <c:pt idx="73">
                  <c:v>370.67798829998833</c:v>
                </c:pt>
                <c:pt idx="74">
                  <c:v>384.57715458703962</c:v>
                </c:pt>
                <c:pt idx="75">
                  <c:v>398.46540808711467</c:v>
                </c:pt>
                <c:pt idx="76">
                  <c:v>412.3431827169984</c:v>
                </c:pt>
                <c:pt idx="77">
                  <c:v>426.21088080440586</c:v>
                </c:pt>
                <c:pt idx="78">
                  <c:v>370.20260469110161</c:v>
                </c:pt>
                <c:pt idx="79">
                  <c:v>384.10358289738252</c:v>
                </c:pt>
                <c:pt idx="80">
                  <c:v>397.99363067483574</c:v>
                </c:pt>
                <c:pt idx="81">
                  <c:v>411.87318321337824</c:v>
                </c:pt>
                <c:pt idx="82">
                  <c:v>425.74264398092276</c:v>
                </c:pt>
                <c:pt idx="83">
                  <c:v>439.60238801543551</c:v>
                </c:pt>
                <c:pt idx="84">
                  <c:v>453.45276478019287</c:v>
                </c:pt>
                <c:pt idx="85">
                  <c:v>467.29410065203678</c:v>
                </c:pt>
                <c:pt idx="86">
                  <c:v>481.12670109948903</c:v>
                </c:pt>
                <c:pt idx="87">
                  <c:v>417.92486805030893</c:v>
                </c:pt>
                <c:pt idx="88">
                  <c:v>431.82201320823901</c:v>
                </c:pt>
                <c:pt idx="89">
                  <c:v>445.70955372287375</c:v>
                </c:pt>
                <c:pt idx="90">
                  <c:v>459.58783097189752</c:v>
                </c:pt>
                <c:pt idx="91">
                  <c:v>473.4571640373162</c:v>
                </c:pt>
                <c:pt idx="92">
                  <c:v>487.31785178574552</c:v>
                </c:pt>
                <c:pt idx="93">
                  <c:v>501.17017469973308</c:v>
                </c:pt>
                <c:pt idx="94">
                  <c:v>515.01439649611177</c:v>
                </c:pt>
                <c:pt idx="95">
                  <c:v>528.85076556131935</c:v>
                </c:pt>
                <c:pt idx="96">
                  <c:v>456.25823673536746</c:v>
                </c:pt>
                <c:pt idx="97">
                  <c:v>470.16615638603167</c:v>
                </c:pt>
                <c:pt idx="98">
                  <c:v>484.06531560972599</c:v>
                </c:pt>
                <c:pt idx="99">
                  <c:v>497.95600132779902</c:v>
                </c:pt>
                <c:pt idx="100">
                  <c:v>511.83848315243455</c:v>
                </c:pt>
                <c:pt idx="101">
                  <c:v>525.71301488182235</c:v>
                </c:pt>
                <c:pt idx="102">
                  <c:v>539.57983582931536</c:v>
                </c:pt>
                <c:pt idx="103">
                  <c:v>553.43917200888438</c:v>
                </c:pt>
                <c:pt idx="104">
                  <c:v>567.29123719568713</c:v>
                </c:pt>
                <c:pt idx="105">
                  <c:v>500.76273642622454</c:v>
                </c:pt>
                <c:pt idx="106">
                  <c:v>514.8551556957724</c:v>
                </c:pt>
                <c:pt idx="107">
                  <c:v>528.93943541715112</c:v>
                </c:pt>
                <c:pt idx="108">
                  <c:v>543.01582278718149</c:v>
                </c:pt>
                <c:pt idx="109">
                  <c:v>557.0845511461456</c:v>
                </c:pt>
                <c:pt idx="110">
                  <c:v>571.14584109211796</c:v>
                </c:pt>
                <c:pt idx="111">
                  <c:v>585.19990147989529</c:v>
                </c:pt>
                <c:pt idx="112">
                  <c:v>599.24693031901279</c:v>
                </c:pt>
                <c:pt idx="113">
                  <c:v>613.28711558321936</c:v>
                </c:pt>
                <c:pt idx="114">
                  <c:v>542.53862974826052</c:v>
                </c:pt>
                <c:pt idx="115">
                  <c:v>556.85289709565188</c:v>
                </c:pt>
                <c:pt idx="116">
                  <c:v>571.15946063462252</c:v>
                </c:pt>
                <c:pt idx="117">
                  <c:v>585.45854043456723</c:v>
                </c:pt>
                <c:pt idx="118">
                  <c:v>599.75034494340457</c:v>
                </c:pt>
                <c:pt idx="119">
                  <c:v>614.03507186934644</c:v>
                </c:pt>
                <c:pt idx="120">
                  <c:v>628.31290897638928</c:v>
                </c:pt>
                <c:pt idx="121">
                  <c:v>642.58403480377649</c:v>
                </c:pt>
                <c:pt idx="122">
                  <c:v>656.84861931825901</c:v>
                </c:pt>
                <c:pt idx="123">
                  <c:v>577.87919984414941</c:v>
                </c:pt>
                <c:pt idx="124">
                  <c:v>592.4032440297533</c:v>
                </c:pt>
                <c:pt idx="125">
                  <c:v>606.91987898108778</c:v>
                </c:pt>
                <c:pt idx="126">
                  <c:v>621.42930679167</c:v>
                </c:pt>
                <c:pt idx="127">
                  <c:v>635.93171935349449</c:v>
                </c:pt>
                <c:pt idx="128">
                  <c:v>650.42729909771822</c:v>
                </c:pt>
                <c:pt idx="129">
                  <c:v>664.91621966592049</c:v>
                </c:pt>
                <c:pt idx="130">
                  <c:v>679.39864651985215</c:v>
                </c:pt>
                <c:pt idx="131">
                  <c:v>693.87473749652361</c:v>
                </c:pt>
                <c:pt idx="132">
                  <c:v>708.3446433145931</c:v>
                </c:pt>
                <c:pt idx="133">
                  <c:v>624.1119505589121</c:v>
                </c:pt>
                <c:pt idx="134">
                  <c:v>639.07065813849192</c:v>
                </c:pt>
                <c:pt idx="135">
                  <c:v>654.02213550578983</c:v>
                </c:pt>
                <c:pt idx="136">
                  <c:v>668.96657113032506</c:v>
                </c:pt>
                <c:pt idx="137">
                  <c:v>683.90414437995207</c:v>
                </c:pt>
                <c:pt idx="138">
                  <c:v>698.83502615369832</c:v>
                </c:pt>
                <c:pt idx="139">
                  <c:v>713.75937945774365</c:v>
                </c:pt>
                <c:pt idx="140">
                  <c:v>728.67735993075883</c:v>
                </c:pt>
                <c:pt idx="141">
                  <c:v>743.58911632402123</c:v>
                </c:pt>
                <c:pt idx="142">
                  <c:v>758.49479094104538</c:v>
                </c:pt>
                <c:pt idx="143">
                  <c:v>773.39452004089162</c:v>
                </c:pt>
                <c:pt idx="144">
                  <c:v>788.28843420880264</c:v>
                </c:pt>
                <c:pt idx="145">
                  <c:v>679.69414667999979</c:v>
                </c:pt>
                <c:pt idx="146">
                  <c:v>694.99652870254488</c:v>
                </c:pt>
                <c:pt idx="147">
                  <c:v>710.29201169407168</c:v>
                </c:pt>
                <c:pt idx="148">
                  <c:v>725.58076503627569</c:v>
                </c:pt>
                <c:pt idx="149">
                  <c:v>740.86295039636786</c:v>
                </c:pt>
                <c:pt idx="150">
                  <c:v>756.13872223358032</c:v>
                </c:pt>
                <c:pt idx="151">
                  <c:v>771.40822826265219</c:v>
                </c:pt>
                <c:pt idx="152">
                  <c:v>786.67160987874149</c:v>
                </c:pt>
                <c:pt idx="153">
                  <c:v>801.92900254767562</c:v>
                </c:pt>
                <c:pt idx="154">
                  <c:v>817.18053616498548</c:v>
                </c:pt>
                <c:pt idx="155">
                  <c:v>832.42633538677239</c:v>
                </c:pt>
                <c:pt idx="156">
                  <c:v>847.66651993509458</c:v>
                </c:pt>
                <c:pt idx="157">
                  <c:v>729.93421625601695</c:v>
                </c:pt>
                <c:pt idx="158">
                  <c:v>745.53794628468529</c:v>
                </c:pt>
                <c:pt idx="159">
                  <c:v>761.13503622704968</c:v>
                </c:pt>
                <c:pt idx="160">
                  <c:v>776.72564120317713</c:v>
                </c:pt>
                <c:pt idx="161">
                  <c:v>792.309909603758</c:v>
                </c:pt>
                <c:pt idx="162">
                  <c:v>807.88798351136938</c:v>
                </c:pt>
                <c:pt idx="163">
                  <c:v>823.45999908758722</c:v>
                </c:pt>
                <c:pt idx="164">
                  <c:v>839.02608692932472</c:v>
                </c:pt>
                <c:pt idx="165">
                  <c:v>854.58637239737743</c:v>
                </c:pt>
                <c:pt idx="166">
                  <c:v>870.14097591982454</c:v>
                </c:pt>
                <c:pt idx="167">
                  <c:v>885.69001327262743</c:v>
                </c:pt>
                <c:pt idx="168">
                  <c:v>901.23359583952379</c:v>
                </c:pt>
                <c:pt idx="169">
                  <c:v>772.14760109782401</c:v>
                </c:pt>
                <c:pt idx="170">
                  <c:v>787.754010163918</c:v>
                </c:pt>
                <c:pt idx="171">
                  <c:v>803.35416757047312</c:v>
                </c:pt>
                <c:pt idx="172">
                  <c:v>818.94821170769308</c:v>
                </c:pt>
                <c:pt idx="173">
                  <c:v>834.53627527080562</c:v>
                </c:pt>
                <c:pt idx="174">
                  <c:v>850.11848559859118</c:v>
                </c:pt>
                <c:pt idx="175">
                  <c:v>865.6949649858251</c:v>
                </c:pt>
                <c:pt idx="176">
                  <c:v>881.26583097209289</c:v>
                </c:pt>
                <c:pt idx="177">
                  <c:v>896.83119660914872</c:v>
                </c:pt>
                <c:pt idx="178">
                  <c:v>912.39117070877421</c:v>
                </c:pt>
                <c:pt idx="179">
                  <c:v>927.94585807286694</c:v>
                </c:pt>
                <c:pt idx="180">
                  <c:v>943.49535970731733</c:v>
                </c:pt>
                <c:pt idx="181">
                  <c:v>596.65205110487057</c:v>
                </c:pt>
                <c:pt idx="182">
                  <c:v>606.44243354148568</c:v>
                </c:pt>
                <c:pt idx="183">
                  <c:v>616.22953464876537</c:v>
                </c:pt>
                <c:pt idx="184">
                  <c:v>626.01341388147284</c:v>
                </c:pt>
                <c:pt idx="185">
                  <c:v>425.18816872945314</c:v>
                </c:pt>
                <c:pt idx="186">
                  <c:v>431.52402561764438</c:v>
                </c:pt>
                <c:pt idx="187">
                  <c:v>437.85788419433567</c:v>
                </c:pt>
                <c:pt idx="188">
                  <c:v>444.18977746524746</c:v>
                </c:pt>
                <c:pt idx="189">
                  <c:v>299.42016224308082</c:v>
                </c:pt>
                <c:pt idx="190">
                  <c:v>303.50750955716296</c:v>
                </c:pt>
                <c:pt idx="191">
                  <c:v>307.59363224458792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8" sqref="B18:M31"/>
    </sheetView>
  </sheetViews>
  <sheetFormatPr baseColWidth="10" defaultRowHeight="14.25" x14ac:dyDescent="0.45"/>
  <cols>
    <col min="1" max="1" width="6.53125" customWidth="1"/>
    <col min="2" max="13" width="15.86328125" customWidth="1"/>
  </cols>
  <sheetData>
    <row r="12" spans="2:13" ht="15" customHeight="1" x14ac:dyDescent="0.45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4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4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4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4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45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4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4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4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4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4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4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4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4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4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4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4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4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4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213" sqref="C213"/>
    </sheetView>
  </sheetViews>
  <sheetFormatPr baseColWidth="10" defaultColWidth="11.46484375" defaultRowHeight="14.25" x14ac:dyDescent="0.45"/>
  <cols>
    <col min="1" max="1" width="13.53125" style="23" customWidth="1"/>
    <col min="2" max="2" width="36.1328125" style="23" customWidth="1"/>
    <col min="3" max="3" width="14.86328125" style="23" bestFit="1" customWidth="1"/>
    <col min="4" max="4" width="16.46484375" style="23" customWidth="1"/>
    <col min="5" max="5" width="23.33203125" style="23" customWidth="1"/>
    <col min="6" max="6" width="28.86328125" style="23" bestFit="1" customWidth="1"/>
    <col min="7" max="8" width="14.53125" style="23" customWidth="1"/>
    <col min="9" max="9" width="17" style="23" customWidth="1"/>
    <col min="10" max="10" width="13.86328125" style="23" customWidth="1"/>
    <col min="11" max="16384" width="11.46484375" style="23"/>
  </cols>
  <sheetData>
    <row r="1" spans="1:38" x14ac:dyDescent="0.45">
      <c r="A1" s="4"/>
      <c r="B1" s="4"/>
      <c r="C1" s="259" t="s">
        <v>190</v>
      </c>
      <c r="D1" s="259"/>
      <c r="E1" s="25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9" t="s">
        <v>231</v>
      </c>
      <c r="B5" s="269"/>
      <c r="C5" s="24">
        <v>10.59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12</v>
      </c>
      <c r="C9" s="32">
        <v>0.21</v>
      </c>
      <c r="D9" s="33">
        <f t="shared" ref="D9:D18" si="0">C9*$C$5</f>
        <v>2.2239</v>
      </c>
      <c r="E9" s="34">
        <v>188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14</v>
      </c>
      <c r="C10" s="32">
        <v>0.21</v>
      </c>
      <c r="D10" s="33">
        <f t="shared" si="0"/>
        <v>2.2239</v>
      </c>
      <c r="E10" s="34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13</v>
      </c>
      <c r="C11" s="32">
        <v>0.05</v>
      </c>
      <c r="D11" s="33">
        <f t="shared" si="0"/>
        <v>0.52949999999999997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 t="s">
        <v>15</v>
      </c>
      <c r="C12" s="32">
        <v>0.05</v>
      </c>
      <c r="D12" s="33">
        <f t="shared" si="0"/>
        <v>0.52949999999999997</v>
      </c>
      <c r="E12" s="34">
        <v>188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 t="s">
        <v>6</v>
      </c>
      <c r="C13" s="32">
        <v>0.42</v>
      </c>
      <c r="D13" s="33">
        <f t="shared" si="0"/>
        <v>4.4478</v>
      </c>
      <c r="E13" s="34">
        <v>130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 t="s">
        <v>29</v>
      </c>
      <c r="C14" s="32">
        <v>0.03</v>
      </c>
      <c r="D14" s="33">
        <f t="shared" si="0"/>
        <v>0.31769999999999998</v>
      </c>
      <c r="E14" s="34">
        <v>69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 t="s">
        <v>1</v>
      </c>
      <c r="C15" s="32">
        <v>0.03</v>
      </c>
      <c r="D15" s="33">
        <f t="shared" si="0"/>
        <v>0.31769999999999998</v>
      </c>
      <c r="E15" s="34">
        <v>191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10.59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C31" s="23" t="s">
        <v>325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Chêne pubescent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47</v>
      </c>
      <c r="B36" s="60">
        <v>148.27000000000001</v>
      </c>
      <c r="C36" s="60">
        <v>1</v>
      </c>
      <c r="D36" s="60">
        <v>54.050000000000011</v>
      </c>
      <c r="E36" s="51">
        <v>0</v>
      </c>
      <c r="F36" s="51">
        <v>0.8</v>
      </c>
      <c r="G36" s="51">
        <v>0.2</v>
      </c>
      <c r="H36" s="51">
        <v>0</v>
      </c>
      <c r="I36" s="49">
        <f>IFERROR(B36/A36,"")</f>
        <v>3.15468085106383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55</v>
      </c>
      <c r="B37" s="60">
        <v>150.11000000000001</v>
      </c>
      <c r="C37" s="60">
        <v>2</v>
      </c>
      <c r="D37" s="60">
        <v>37.430000000000007</v>
      </c>
      <c r="E37" s="51">
        <v>0</v>
      </c>
      <c r="F37" s="51">
        <v>0.8</v>
      </c>
      <c r="G37" s="51">
        <v>0.2</v>
      </c>
      <c r="H37" s="51">
        <v>0</v>
      </c>
      <c r="I37" s="53">
        <f t="shared" ref="I37:I55" si="1">IF(A37&lt;&gt;0,(B37-(B36-D36))/(A37-A36),"")</f>
        <v>6.9862500000000018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63</v>
      </c>
      <c r="B38" s="60">
        <v>167.64</v>
      </c>
      <c r="C38" s="60">
        <v>3</v>
      </c>
      <c r="D38" s="60">
        <v>35.169999999999987</v>
      </c>
      <c r="E38" s="51">
        <v>0</v>
      </c>
      <c r="F38" s="51">
        <v>0.8</v>
      </c>
      <c r="G38" s="51">
        <v>0.2</v>
      </c>
      <c r="H38" s="51">
        <v>0</v>
      </c>
      <c r="I38" s="53">
        <f t="shared" si="1"/>
        <v>6.8699999999999974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73</v>
      </c>
      <c r="B39" s="60">
        <v>201.24</v>
      </c>
      <c r="C39" s="60">
        <v>4</v>
      </c>
      <c r="D39" s="60">
        <v>36.890000000000015</v>
      </c>
      <c r="E39" s="51">
        <v>0</v>
      </c>
      <c r="F39" s="51">
        <v>0.8</v>
      </c>
      <c r="G39" s="51">
        <v>0.2</v>
      </c>
      <c r="H39" s="51">
        <v>0</v>
      </c>
      <c r="I39" s="49">
        <f t="shared" si="1"/>
        <v>6.8770000000000007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83</v>
      </c>
      <c r="B40" s="60">
        <v>233.16</v>
      </c>
      <c r="C40" s="60">
        <v>5</v>
      </c>
      <c r="D40" s="60">
        <v>40.069999999999993</v>
      </c>
      <c r="E40" s="51">
        <v>0</v>
      </c>
      <c r="F40" s="51">
        <v>0.8</v>
      </c>
      <c r="G40" s="51">
        <v>0.2</v>
      </c>
      <c r="H40" s="51">
        <v>0</v>
      </c>
      <c r="I40" s="49">
        <f t="shared" si="1"/>
        <v>6.8810000000000002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93</v>
      </c>
      <c r="B41" s="60">
        <v>262.08999999999997</v>
      </c>
      <c r="C41" s="60">
        <v>6</v>
      </c>
      <c r="D41" s="60">
        <v>43.449999999999989</v>
      </c>
      <c r="E41" s="51">
        <v>0.35</v>
      </c>
      <c r="F41" s="51">
        <v>0.2</v>
      </c>
      <c r="G41" s="51">
        <v>0.1</v>
      </c>
      <c r="H41" s="51">
        <v>0.35</v>
      </c>
      <c r="I41" s="53">
        <f t="shared" si="1"/>
        <v>6.8999999999999968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103</v>
      </c>
      <c r="B42" s="60">
        <v>288.39</v>
      </c>
      <c r="C42" s="60">
        <v>7</v>
      </c>
      <c r="D42" s="60">
        <v>48.569999999999993</v>
      </c>
      <c r="E42" s="51">
        <v>0.35</v>
      </c>
      <c r="F42" s="51">
        <v>0.2</v>
      </c>
      <c r="G42" s="51">
        <v>0.1</v>
      </c>
      <c r="H42" s="51">
        <v>0.35</v>
      </c>
      <c r="I42" s="53">
        <f t="shared" si="1"/>
        <v>6.9749999999999996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113</v>
      </c>
      <c r="B43" s="60">
        <v>309.82</v>
      </c>
      <c r="C43" s="60">
        <v>8</v>
      </c>
      <c r="D43" s="60">
        <v>47.019999999999982</v>
      </c>
      <c r="E43" s="51">
        <v>0.35</v>
      </c>
      <c r="F43" s="51">
        <v>0.2</v>
      </c>
      <c r="G43" s="51">
        <v>0.1</v>
      </c>
      <c r="H43" s="51">
        <v>0.35</v>
      </c>
      <c r="I43" s="49">
        <f t="shared" si="1"/>
        <v>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>
        <v>125</v>
      </c>
      <c r="B44" s="60">
        <v>349.24</v>
      </c>
      <c r="C44" s="60">
        <v>9</v>
      </c>
      <c r="D44" s="60">
        <v>60.19</v>
      </c>
      <c r="E44" s="51">
        <v>0.35</v>
      </c>
      <c r="F44" s="51">
        <v>0.2</v>
      </c>
      <c r="G44" s="51">
        <v>0.1</v>
      </c>
      <c r="H44" s="51">
        <v>0.35</v>
      </c>
      <c r="I44" s="49">
        <f t="shared" si="1"/>
        <v>7.2033333333333331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>
        <v>137</v>
      </c>
      <c r="B45" s="60">
        <v>377.76</v>
      </c>
      <c r="C45" s="60">
        <v>10</v>
      </c>
      <c r="D45" s="60">
        <v>57.71999999999997</v>
      </c>
      <c r="E45" s="51">
        <v>0.35</v>
      </c>
      <c r="F45" s="51">
        <v>0.2</v>
      </c>
      <c r="G45" s="51">
        <v>0.1</v>
      </c>
      <c r="H45" s="51">
        <v>0.35</v>
      </c>
      <c r="I45" s="49">
        <f t="shared" si="1"/>
        <v>7.3924999999999983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>
        <v>149</v>
      </c>
      <c r="B46" s="60">
        <v>411.52</v>
      </c>
      <c r="C46" s="60">
        <v>11</v>
      </c>
      <c r="D46" s="60">
        <v>64.63</v>
      </c>
      <c r="E46" s="51">
        <v>0.35</v>
      </c>
      <c r="F46" s="51">
        <v>0.2</v>
      </c>
      <c r="G46" s="51">
        <v>0.1</v>
      </c>
      <c r="H46" s="51">
        <v>0.35</v>
      </c>
      <c r="I46" s="49">
        <f t="shared" si="1"/>
        <v>7.6233333333333304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>
        <v>164</v>
      </c>
      <c r="B47" s="60">
        <v>465.73</v>
      </c>
      <c r="C47" s="60">
        <v>12</v>
      </c>
      <c r="D47" s="60">
        <v>82.93</v>
      </c>
      <c r="E47" s="51">
        <v>0.35</v>
      </c>
      <c r="F47" s="51">
        <v>0.2</v>
      </c>
      <c r="G47" s="51">
        <v>0.1</v>
      </c>
      <c r="H47" s="51">
        <v>0.35</v>
      </c>
      <c r="I47" s="49">
        <f t="shared" si="1"/>
        <v>7.922666666666669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>
        <v>179</v>
      </c>
      <c r="B48" s="60">
        <v>505.2</v>
      </c>
      <c r="C48" s="60">
        <v>13</v>
      </c>
      <c r="D48" s="60">
        <v>227.02999999999997</v>
      </c>
      <c r="E48" s="51">
        <v>0.5</v>
      </c>
      <c r="F48" s="51">
        <v>0.2</v>
      </c>
      <c r="G48" s="51">
        <v>0</v>
      </c>
      <c r="H48" s="51">
        <v>0.3</v>
      </c>
      <c r="I48" s="49">
        <f t="shared" si="1"/>
        <v>8.1599999999999984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>
        <v>182</v>
      </c>
      <c r="B49" s="60">
        <v>294.11</v>
      </c>
      <c r="C49" s="60">
        <v>14</v>
      </c>
      <c r="D49" s="60">
        <v>101.59</v>
      </c>
      <c r="E49" s="51">
        <v>0.5</v>
      </c>
      <c r="F49" s="51">
        <v>0.2</v>
      </c>
      <c r="G49" s="51">
        <v>0</v>
      </c>
      <c r="H49" s="51">
        <v>0.3</v>
      </c>
      <c r="I49" s="49">
        <f t="shared" si="1"/>
        <v>5.3133333333333326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>
        <v>185</v>
      </c>
      <c r="B50" s="50">
        <v>202.08</v>
      </c>
      <c r="C50" s="50">
        <v>15</v>
      </c>
      <c r="D50" s="50">
        <v>71.04000000000002</v>
      </c>
      <c r="E50" s="51">
        <v>0.5</v>
      </c>
      <c r="F50" s="51">
        <v>0.2</v>
      </c>
      <c r="G50" s="51">
        <v>0</v>
      </c>
      <c r="H50" s="51">
        <v>0.3</v>
      </c>
      <c r="I50" s="49">
        <f t="shared" si="1"/>
        <v>3.1866666666666674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>
        <v>188</v>
      </c>
      <c r="B51" s="50">
        <v>137.03</v>
      </c>
      <c r="C51" s="50">
        <v>16</v>
      </c>
      <c r="D51" s="50">
        <v>137.03</v>
      </c>
      <c r="E51" s="51">
        <v>0.5</v>
      </c>
      <c r="F51" s="51">
        <v>0.2</v>
      </c>
      <c r="G51" s="51">
        <v>0</v>
      </c>
      <c r="H51" s="51">
        <v>0.3</v>
      </c>
      <c r="I51" s="49">
        <f t="shared" si="1"/>
        <v>1.9966666666666697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C57" s="23" t="s">
        <v>326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42</v>
      </c>
      <c r="B62" s="60">
        <v>171.96</v>
      </c>
      <c r="C62" s="60">
        <v>1</v>
      </c>
      <c r="D62" s="60">
        <v>44.510000000000005</v>
      </c>
      <c r="E62" s="51">
        <v>0</v>
      </c>
      <c r="F62" s="51">
        <v>0.8</v>
      </c>
      <c r="G62" s="51">
        <v>0.2</v>
      </c>
      <c r="H62" s="51">
        <v>0</v>
      </c>
      <c r="I62" s="53">
        <f>IFERROR(B62/A62,"")</f>
        <v>4.0942857142857143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50</v>
      </c>
      <c r="B63" s="60">
        <v>208.33</v>
      </c>
      <c r="C63" s="60">
        <v>2</v>
      </c>
      <c r="D63" s="60">
        <v>37.54000000000002</v>
      </c>
      <c r="E63" s="51">
        <v>0</v>
      </c>
      <c r="F63" s="51">
        <v>0.8</v>
      </c>
      <c r="G63" s="51">
        <v>0.2</v>
      </c>
      <c r="H63" s="51">
        <v>0</v>
      </c>
      <c r="I63" s="49">
        <f>IF(A63&lt;&gt;0,(B63-(B62-D62))/(A63-A62),"")</f>
        <v>10.110000000000001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58</v>
      </c>
      <c r="B64" s="60">
        <v>253.7</v>
      </c>
      <c r="C64" s="60">
        <v>3</v>
      </c>
      <c r="D64" s="60">
        <v>47.789999999999992</v>
      </c>
      <c r="E64" s="51">
        <v>0</v>
      </c>
      <c r="F64" s="51">
        <v>0.8</v>
      </c>
      <c r="G64" s="51">
        <v>0.2</v>
      </c>
      <c r="H64" s="51">
        <v>0</v>
      </c>
      <c r="I64" s="49">
        <f>IF(A64&lt;&gt;0,(B64-(B63-D63))/(A64-A63),"")</f>
        <v>10.36375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66</v>
      </c>
      <c r="B65" s="60">
        <v>286.77</v>
      </c>
      <c r="C65" s="60">
        <v>4</v>
      </c>
      <c r="D65" s="60">
        <v>53.679999999999978</v>
      </c>
      <c r="E65" s="51">
        <v>0.35</v>
      </c>
      <c r="F65" s="51">
        <v>0.2</v>
      </c>
      <c r="G65" s="51">
        <v>0.1</v>
      </c>
      <c r="H65" s="51">
        <v>0.35</v>
      </c>
      <c r="I65" s="49">
        <f>IF(A65&lt;&gt;0,(B65-(B64-D64))/(A65-A64),"")</f>
        <v>10.107499999999998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74</v>
      </c>
      <c r="B66" s="60">
        <v>310.95999999999998</v>
      </c>
      <c r="C66" s="60">
        <v>5</v>
      </c>
      <c r="D66" s="60">
        <v>51.339999999999975</v>
      </c>
      <c r="E66" s="51">
        <v>0.35</v>
      </c>
      <c r="F66" s="51">
        <v>0.2</v>
      </c>
      <c r="G66" s="51">
        <v>0.1</v>
      </c>
      <c r="H66" s="51">
        <v>0.35</v>
      </c>
      <c r="I66" s="49">
        <f t="shared" ref="I66:I81" si="2">IF(A66&lt;&gt;0,(B66-(B65-D65))/(A66-A65),"")</f>
        <v>9.733749999999997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84</v>
      </c>
      <c r="B67" s="60">
        <v>355.09</v>
      </c>
      <c r="C67" s="60">
        <v>6</v>
      </c>
      <c r="D67" s="60">
        <v>66.69</v>
      </c>
      <c r="E67" s="51">
        <v>0.35</v>
      </c>
      <c r="F67" s="51">
        <v>0.2</v>
      </c>
      <c r="G67" s="51">
        <v>0.1</v>
      </c>
      <c r="H67" s="51">
        <v>0.35</v>
      </c>
      <c r="I67" s="49">
        <f t="shared" si="2"/>
        <v>9.546999999999997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94</v>
      </c>
      <c r="B68" s="60">
        <v>380.13</v>
      </c>
      <c r="C68" s="60">
        <v>7</v>
      </c>
      <c r="D68" s="60">
        <v>67.350000000000023</v>
      </c>
      <c r="E68" s="51">
        <v>0.35</v>
      </c>
      <c r="F68" s="51">
        <v>0.2</v>
      </c>
      <c r="G68" s="51">
        <v>0.1</v>
      </c>
      <c r="H68" s="51">
        <v>0.35</v>
      </c>
      <c r="I68" s="49">
        <f t="shared" si="2"/>
        <v>9.1730000000000018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104</v>
      </c>
      <c r="B69" s="50">
        <v>402.2</v>
      </c>
      <c r="C69" s="50">
        <v>8</v>
      </c>
      <c r="D69" s="50">
        <v>66.089999999999975</v>
      </c>
      <c r="E69" s="51">
        <v>0.35</v>
      </c>
      <c r="F69" s="51">
        <v>0.2</v>
      </c>
      <c r="G69" s="51">
        <v>0.1</v>
      </c>
      <c r="H69" s="51">
        <v>0.35</v>
      </c>
      <c r="I69" s="49">
        <f t="shared" si="2"/>
        <v>8.9420000000000019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>
        <v>114</v>
      </c>
      <c r="B70" s="50">
        <v>424.56</v>
      </c>
      <c r="C70" s="50">
        <v>9</v>
      </c>
      <c r="D70" s="50">
        <v>61.860000000000014</v>
      </c>
      <c r="E70" s="51">
        <v>0.35</v>
      </c>
      <c r="F70" s="51">
        <v>0.2</v>
      </c>
      <c r="G70" s="51">
        <v>0.1</v>
      </c>
      <c r="H70" s="51">
        <v>0.35</v>
      </c>
      <c r="I70" s="49">
        <f t="shared" si="2"/>
        <v>8.8449999999999989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>
        <v>124</v>
      </c>
      <c r="B71" s="50">
        <v>451.86</v>
      </c>
      <c r="C71" s="50">
        <v>10</v>
      </c>
      <c r="D71" s="50">
        <v>57.81</v>
      </c>
      <c r="E71" s="51">
        <v>0.35</v>
      </c>
      <c r="F71" s="51">
        <v>0.2</v>
      </c>
      <c r="G71" s="51">
        <v>0.1</v>
      </c>
      <c r="H71" s="51">
        <v>0.35</v>
      </c>
      <c r="I71" s="49">
        <f t="shared" si="2"/>
        <v>8.9160000000000021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>
        <v>134</v>
      </c>
      <c r="B72" s="50">
        <v>484.28</v>
      </c>
      <c r="C72" s="50">
        <v>11</v>
      </c>
      <c r="D72" s="50">
        <v>60.779999999999973</v>
      </c>
      <c r="E72" s="51">
        <v>0.5</v>
      </c>
      <c r="F72" s="51">
        <v>0.2</v>
      </c>
      <c r="G72" s="51">
        <v>0</v>
      </c>
      <c r="H72" s="51">
        <v>0.3</v>
      </c>
      <c r="I72" s="49">
        <f t="shared" si="2"/>
        <v>9.0229999999999961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>
        <v>144</v>
      </c>
      <c r="B73" s="50">
        <v>514.94000000000005</v>
      </c>
      <c r="C73" s="50">
        <v>12</v>
      </c>
      <c r="D73" s="50">
        <v>61.800000000000068</v>
      </c>
      <c r="E73" s="51">
        <v>0.5</v>
      </c>
      <c r="F73" s="51">
        <v>0.2</v>
      </c>
      <c r="G73" s="51">
        <v>0</v>
      </c>
      <c r="H73" s="51">
        <v>0.3</v>
      </c>
      <c r="I73" s="49">
        <f t="shared" si="2"/>
        <v>9.1440000000000055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>
        <v>154</v>
      </c>
      <c r="B74" s="50">
        <v>546.49</v>
      </c>
      <c r="C74" s="50">
        <v>13</v>
      </c>
      <c r="D74" s="50">
        <v>61.050000000000011</v>
      </c>
      <c r="E74" s="51">
        <v>0.5</v>
      </c>
      <c r="F74" s="51">
        <v>0.2</v>
      </c>
      <c r="G74" s="51">
        <v>0</v>
      </c>
      <c r="H74" s="51">
        <v>0.3</v>
      </c>
      <c r="I74" s="49">
        <f t="shared" si="2"/>
        <v>9.3350000000000026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>
        <v>164</v>
      </c>
      <c r="B75" s="50">
        <v>580.32000000000005</v>
      </c>
      <c r="C75" s="50">
        <v>14</v>
      </c>
      <c r="D75" s="50">
        <v>66.020000000000095</v>
      </c>
      <c r="E75" s="51">
        <v>0.5</v>
      </c>
      <c r="F75" s="51">
        <v>0.2</v>
      </c>
      <c r="G75" s="51">
        <v>0</v>
      </c>
      <c r="H75" s="51">
        <v>0.3</v>
      </c>
      <c r="I75" s="49">
        <f t="shared" si="2"/>
        <v>9.4880000000000049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>
        <v>174</v>
      </c>
      <c r="B76" s="50">
        <v>610.52</v>
      </c>
      <c r="C76" s="50">
        <v>15</v>
      </c>
      <c r="D76" s="50">
        <v>240</v>
      </c>
      <c r="E76" s="51">
        <v>0.45</v>
      </c>
      <c r="F76" s="51">
        <v>0.05</v>
      </c>
      <c r="G76" s="51">
        <v>0.05</v>
      </c>
      <c r="H76" s="51">
        <v>0.45</v>
      </c>
      <c r="I76" s="49">
        <f t="shared" si="2"/>
        <v>9.6220000000000034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>
        <v>177</v>
      </c>
      <c r="B77" s="50">
        <v>388.94</v>
      </c>
      <c r="C77" s="50">
        <v>16</v>
      </c>
      <c r="D77" s="50">
        <v>128.66000000000003</v>
      </c>
      <c r="E77" s="51">
        <v>0.45</v>
      </c>
      <c r="F77" s="51">
        <v>0.05</v>
      </c>
      <c r="G77" s="51">
        <v>0.05</v>
      </c>
      <c r="H77" s="51">
        <v>0.45</v>
      </c>
      <c r="I77" s="49">
        <f t="shared" si="2"/>
        <v>6.140000000000005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>
        <v>180</v>
      </c>
      <c r="B78" s="50">
        <v>271.56</v>
      </c>
      <c r="C78" s="50">
        <v>17</v>
      </c>
      <c r="D78" s="50">
        <v>86.97</v>
      </c>
      <c r="E78" s="51">
        <v>0.45</v>
      </c>
      <c r="F78" s="51">
        <v>0.05</v>
      </c>
      <c r="G78" s="51">
        <v>0.05</v>
      </c>
      <c r="H78" s="51">
        <v>0.45</v>
      </c>
      <c r="I78" s="49">
        <f t="shared" si="2"/>
        <v>3.76000000000001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>
        <v>183</v>
      </c>
      <c r="B79" s="50">
        <v>191.47</v>
      </c>
      <c r="C79" s="50">
        <v>18</v>
      </c>
      <c r="D79" s="50">
        <v>191.47</v>
      </c>
      <c r="E79" s="51">
        <v>0.45</v>
      </c>
      <c r="F79" s="51">
        <v>0.05</v>
      </c>
      <c r="G79" s="51">
        <v>0.05</v>
      </c>
      <c r="H79" s="51">
        <v>0.45</v>
      </c>
      <c r="I79" s="49">
        <f t="shared" si="2"/>
        <v>2.2933333333333317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C83" s="23" t="s">
        <v>327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Chêne rouge d'Amérique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20</v>
      </c>
      <c r="B88" s="60">
        <v>55.769230769230759</v>
      </c>
      <c r="C88" s="60">
        <v>1</v>
      </c>
      <c r="D88" s="60">
        <v>18.589743589743588</v>
      </c>
      <c r="E88" s="51">
        <v>0</v>
      </c>
      <c r="F88" s="51">
        <v>0.5</v>
      </c>
      <c r="G88" s="51">
        <v>0</v>
      </c>
      <c r="H88" s="87">
        <v>0.5</v>
      </c>
      <c r="I88" s="53">
        <f>IFERROR(B88/A88,"")</f>
        <v>2.7884615384615379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25</v>
      </c>
      <c r="B89" s="60">
        <v>62.820512820512818</v>
      </c>
      <c r="C89" s="60">
        <v>2</v>
      </c>
      <c r="D89" s="60">
        <v>12.179487179487179</v>
      </c>
      <c r="E89" s="51">
        <v>0</v>
      </c>
      <c r="F89" s="51">
        <v>0.5</v>
      </c>
      <c r="G89" s="51">
        <v>0</v>
      </c>
      <c r="H89" s="87">
        <v>0.5</v>
      </c>
      <c r="I89" s="53">
        <f t="shared" ref="I89:I107" si="3">IF(A89&lt;&gt;0,(B89-(B88-D88))/(A89-A88),"")</f>
        <v>5.1282051282051295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30</v>
      </c>
      <c r="B90" s="60">
        <v>76.282051282051285</v>
      </c>
      <c r="C90" s="60">
        <v>3</v>
      </c>
      <c r="D90" s="60">
        <v>12.820512820512819</v>
      </c>
      <c r="E90" s="87">
        <v>0</v>
      </c>
      <c r="F90" s="87">
        <v>0.5</v>
      </c>
      <c r="G90" s="87">
        <v>0</v>
      </c>
      <c r="H90" s="87">
        <v>0.5</v>
      </c>
      <c r="I90" s="53">
        <f t="shared" si="3"/>
        <v>5.1282051282051295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35</v>
      </c>
      <c r="B91" s="60">
        <v>86.538461538461533</v>
      </c>
      <c r="C91" s="60">
        <v>4</v>
      </c>
      <c r="D91" s="60">
        <v>12.820512820512819</v>
      </c>
      <c r="E91" s="87">
        <v>0</v>
      </c>
      <c r="F91" s="87">
        <v>0.5</v>
      </c>
      <c r="G91" s="87">
        <v>0</v>
      </c>
      <c r="H91" s="87">
        <v>0.5</v>
      </c>
      <c r="I91" s="53">
        <f t="shared" si="3"/>
        <v>4.6153846153846132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40</v>
      </c>
      <c r="B92" s="60">
        <v>96.153846153846146</v>
      </c>
      <c r="C92" s="60">
        <v>5</v>
      </c>
      <c r="D92" s="60">
        <v>12.820512820512819</v>
      </c>
      <c r="E92" s="87">
        <v>0</v>
      </c>
      <c r="F92" s="87">
        <v>0.5</v>
      </c>
      <c r="G92" s="87">
        <v>0</v>
      </c>
      <c r="H92" s="87">
        <v>0.5</v>
      </c>
      <c r="I92" s="53">
        <f t="shared" si="3"/>
        <v>4.4871794871794863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45</v>
      </c>
      <c r="B93" s="60">
        <v>103.84615384615384</v>
      </c>
      <c r="C93" s="60">
        <v>6</v>
      </c>
      <c r="D93" s="60">
        <v>12.179487179487179</v>
      </c>
      <c r="E93" s="87">
        <v>0</v>
      </c>
      <c r="F93" s="87">
        <v>0.5</v>
      </c>
      <c r="G93" s="87">
        <v>0</v>
      </c>
      <c r="H93" s="87">
        <v>0.5</v>
      </c>
      <c r="I93" s="53">
        <f t="shared" si="3"/>
        <v>4.1025641025641022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50</v>
      </c>
      <c r="B94" s="60">
        <v>110.89743589743588</v>
      </c>
      <c r="C94" s="60">
        <v>7</v>
      </c>
      <c r="D94" s="60">
        <v>11.538461538461538</v>
      </c>
      <c r="E94" s="87">
        <v>0</v>
      </c>
      <c r="F94" s="87">
        <v>0.5</v>
      </c>
      <c r="G94" s="87">
        <v>0</v>
      </c>
      <c r="H94" s="87">
        <v>0.5</v>
      </c>
      <c r="I94" s="53">
        <f t="shared" si="3"/>
        <v>3.8461538461538454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55</v>
      </c>
      <c r="B95" s="60">
        <v>116.02564102564102</v>
      </c>
      <c r="C95" s="60">
        <v>8</v>
      </c>
      <c r="D95" s="60">
        <v>10.897435897435898</v>
      </c>
      <c r="E95" s="87">
        <v>0</v>
      </c>
      <c r="F95" s="87">
        <v>0.5</v>
      </c>
      <c r="G95" s="87">
        <v>0</v>
      </c>
      <c r="H95" s="87">
        <v>0.5</v>
      </c>
      <c r="I95" s="53">
        <f t="shared" si="3"/>
        <v>3.3333333333333344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60</v>
      </c>
      <c r="B96" s="60">
        <v>121.15384615384616</v>
      </c>
      <c r="C96" s="60">
        <v>9</v>
      </c>
      <c r="D96" s="60">
        <v>10.256410256410255</v>
      </c>
      <c r="E96" s="87">
        <v>0</v>
      </c>
      <c r="F96" s="87">
        <v>0.5</v>
      </c>
      <c r="G96" s="87">
        <v>0</v>
      </c>
      <c r="H96" s="87">
        <v>0.5</v>
      </c>
      <c r="I96" s="53">
        <f t="shared" si="3"/>
        <v>3.2051282051282071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>
        <v>65</v>
      </c>
      <c r="B97" s="60">
        <v>125</v>
      </c>
      <c r="C97" s="60">
        <v>10</v>
      </c>
      <c r="D97" s="60">
        <v>9.615384615384615</v>
      </c>
      <c r="E97" s="87">
        <v>0.1</v>
      </c>
      <c r="F97" s="87">
        <v>0.5</v>
      </c>
      <c r="G97" s="87">
        <v>0</v>
      </c>
      <c r="H97" s="87">
        <v>0.4</v>
      </c>
      <c r="I97" s="53">
        <f t="shared" si="3"/>
        <v>2.8205128205128176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>
        <v>70</v>
      </c>
      <c r="B98" s="60">
        <v>128.84615384615384</v>
      </c>
      <c r="C98" s="60">
        <v>11</v>
      </c>
      <c r="D98" s="60">
        <v>8.9743589743589745</v>
      </c>
      <c r="E98" s="87">
        <v>0.1</v>
      </c>
      <c r="F98" s="87">
        <v>0.5</v>
      </c>
      <c r="G98" s="87">
        <v>0</v>
      </c>
      <c r="H98" s="87">
        <v>0.4</v>
      </c>
      <c r="I98" s="53">
        <f t="shared" si="3"/>
        <v>2.6923076923076907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>
        <v>75</v>
      </c>
      <c r="B99" s="60">
        <v>130.76923076923075</v>
      </c>
      <c r="C99" s="60">
        <v>12</v>
      </c>
      <c r="D99" s="60">
        <v>7.6923076923076916</v>
      </c>
      <c r="E99" s="87">
        <v>0.1</v>
      </c>
      <c r="F99" s="87">
        <v>0.5</v>
      </c>
      <c r="G99" s="87">
        <v>0</v>
      </c>
      <c r="H99" s="87">
        <v>0.4</v>
      </c>
      <c r="I99" s="53">
        <f t="shared" si="3"/>
        <v>2.1794871794871766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>
        <v>80</v>
      </c>
      <c r="B100" s="60">
        <v>133.33333333333334</v>
      </c>
      <c r="C100" s="60">
        <v>13</v>
      </c>
      <c r="D100" s="60">
        <v>7.0512820512820511</v>
      </c>
      <c r="E100" s="65">
        <v>0.1</v>
      </c>
      <c r="F100" s="65">
        <v>0.5</v>
      </c>
      <c r="G100" s="65">
        <v>0</v>
      </c>
      <c r="H100" s="65">
        <v>0.4</v>
      </c>
      <c r="I100" s="53">
        <f t="shared" si="3"/>
        <v>2.0512820512820582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>
        <v>85</v>
      </c>
      <c r="B101" s="60">
        <v>135.25641025641025</v>
      </c>
      <c r="C101" s="60">
        <v>14</v>
      </c>
      <c r="D101" s="60">
        <v>6.4102564102564097</v>
      </c>
      <c r="E101" s="65">
        <v>0.1</v>
      </c>
      <c r="F101" s="65">
        <v>0.5</v>
      </c>
      <c r="G101" s="65">
        <v>0</v>
      </c>
      <c r="H101" s="65">
        <v>0.4</v>
      </c>
      <c r="I101" s="53">
        <f t="shared" si="3"/>
        <v>1.7948717948717898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>
        <v>90</v>
      </c>
      <c r="B102" s="50">
        <v>137.82051282051282</v>
      </c>
      <c r="C102" s="60">
        <v>15</v>
      </c>
      <c r="D102" s="50">
        <v>6.4102564102564097</v>
      </c>
      <c r="E102" s="54">
        <v>0.1</v>
      </c>
      <c r="F102" s="54">
        <v>0.5</v>
      </c>
      <c r="G102" s="54">
        <v>0</v>
      </c>
      <c r="H102" s="54">
        <v>0.4</v>
      </c>
      <c r="I102" s="53">
        <f t="shared" si="3"/>
        <v>1.7948717948717956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>
        <v>95</v>
      </c>
      <c r="B103" s="50">
        <v>140.38461538461539</v>
      </c>
      <c r="C103" s="60">
        <v>16</v>
      </c>
      <c r="D103" s="50">
        <v>7.0512820512820511</v>
      </c>
      <c r="E103" s="54">
        <v>0.1</v>
      </c>
      <c r="F103" s="54">
        <v>0.5</v>
      </c>
      <c r="G103" s="54">
        <v>0</v>
      </c>
      <c r="H103" s="54">
        <v>0.4</v>
      </c>
      <c r="I103" s="53">
        <f t="shared" si="3"/>
        <v>1.7948717948717956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>
        <v>100</v>
      </c>
      <c r="B104" s="50">
        <v>142.94871794871796</v>
      </c>
      <c r="C104" s="60">
        <v>17</v>
      </c>
      <c r="D104" s="50">
        <v>142.94871794871796</v>
      </c>
      <c r="E104" s="54">
        <v>0.1</v>
      </c>
      <c r="F104" s="54">
        <v>0.5</v>
      </c>
      <c r="G104" s="54">
        <v>0</v>
      </c>
      <c r="H104" s="54">
        <v>0.4</v>
      </c>
      <c r="I104" s="53">
        <f t="shared" si="3"/>
        <v>1.9230769230769227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C109" s="23" t="s">
        <v>328</v>
      </c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>Chêne tauzin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>
        <v>47</v>
      </c>
      <c r="B114" s="60">
        <v>148.27000000000001</v>
      </c>
      <c r="C114" s="50">
        <v>1</v>
      </c>
      <c r="D114" s="60">
        <v>54.050000000000011</v>
      </c>
      <c r="E114" s="51">
        <v>0</v>
      </c>
      <c r="F114" s="51">
        <v>0.25</v>
      </c>
      <c r="G114" s="51">
        <v>0.25</v>
      </c>
      <c r="H114" s="51">
        <v>0.5</v>
      </c>
      <c r="I114" s="53">
        <f>IFERROR(B114/A114,"")</f>
        <v>3.15468085106383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>
        <v>55</v>
      </c>
      <c r="B115" s="60">
        <v>150.11000000000001</v>
      </c>
      <c r="C115" s="50">
        <v>2</v>
      </c>
      <c r="D115" s="60">
        <v>37.430000000000007</v>
      </c>
      <c r="E115" s="51">
        <v>0</v>
      </c>
      <c r="F115" s="51">
        <v>0.25</v>
      </c>
      <c r="G115" s="51">
        <v>0.25</v>
      </c>
      <c r="H115" s="51">
        <v>0.5</v>
      </c>
      <c r="I115" s="53">
        <f t="shared" ref="I115:I133" si="4">IF(A115&lt;&gt;0,(B115-(B114-D114))/(A115-A114),"")</f>
        <v>6.9862500000000018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>
        <v>63</v>
      </c>
      <c r="B116" s="60">
        <v>167.64</v>
      </c>
      <c r="C116" s="50">
        <v>3</v>
      </c>
      <c r="D116" s="60">
        <v>35.169999999999987</v>
      </c>
      <c r="E116" s="51">
        <v>0</v>
      </c>
      <c r="F116" s="51">
        <v>0.25</v>
      </c>
      <c r="G116" s="51">
        <v>0.25</v>
      </c>
      <c r="H116" s="51">
        <v>0.5</v>
      </c>
      <c r="I116" s="53">
        <f t="shared" si="4"/>
        <v>6.8699999999999974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>
        <v>73</v>
      </c>
      <c r="B117" s="60">
        <v>201.24</v>
      </c>
      <c r="C117" s="50">
        <v>4</v>
      </c>
      <c r="D117" s="60">
        <v>36.890000000000015</v>
      </c>
      <c r="E117" s="51">
        <v>0</v>
      </c>
      <c r="F117" s="51">
        <v>0.25</v>
      </c>
      <c r="G117" s="51">
        <v>0.25</v>
      </c>
      <c r="H117" s="51">
        <v>0.5</v>
      </c>
      <c r="I117" s="53">
        <f t="shared" si="4"/>
        <v>6.8770000000000007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>
        <v>83</v>
      </c>
      <c r="B118" s="60">
        <v>233.16</v>
      </c>
      <c r="C118" s="50">
        <v>5</v>
      </c>
      <c r="D118" s="60">
        <v>40.069999999999993</v>
      </c>
      <c r="E118" s="51">
        <v>0</v>
      </c>
      <c r="F118" s="51">
        <v>0.25</v>
      </c>
      <c r="G118" s="51">
        <v>0.25</v>
      </c>
      <c r="H118" s="51">
        <v>0.5</v>
      </c>
      <c r="I118" s="53">
        <f t="shared" si="4"/>
        <v>6.8810000000000002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>
        <v>93</v>
      </c>
      <c r="B119" s="60">
        <v>262.08999999999997</v>
      </c>
      <c r="C119" s="50">
        <v>6</v>
      </c>
      <c r="D119" s="60">
        <v>43.449999999999989</v>
      </c>
      <c r="E119" s="51">
        <v>0.25</v>
      </c>
      <c r="F119" s="51">
        <v>0.25</v>
      </c>
      <c r="G119" s="51">
        <v>0.25</v>
      </c>
      <c r="H119" s="51">
        <v>0.25</v>
      </c>
      <c r="I119" s="53">
        <f t="shared" si="4"/>
        <v>6.8999999999999968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>
        <v>103</v>
      </c>
      <c r="B120" s="60">
        <v>288.39</v>
      </c>
      <c r="C120" s="60">
        <v>7</v>
      </c>
      <c r="D120" s="60">
        <v>48.569999999999993</v>
      </c>
      <c r="E120" s="87">
        <v>0.25</v>
      </c>
      <c r="F120" s="87">
        <v>0.25</v>
      </c>
      <c r="G120" s="87">
        <v>0.25</v>
      </c>
      <c r="H120" s="87">
        <v>0.25</v>
      </c>
      <c r="I120" s="53">
        <f t="shared" si="4"/>
        <v>6.9749999999999996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>
        <v>113</v>
      </c>
      <c r="B121" s="60">
        <v>309.82</v>
      </c>
      <c r="C121" s="60">
        <v>8</v>
      </c>
      <c r="D121" s="60">
        <v>47.019999999999982</v>
      </c>
      <c r="E121" s="87">
        <v>0.25</v>
      </c>
      <c r="F121" s="87">
        <v>0.25</v>
      </c>
      <c r="G121" s="87">
        <v>0.25</v>
      </c>
      <c r="H121" s="87">
        <v>0.25</v>
      </c>
      <c r="I121" s="53">
        <f t="shared" si="4"/>
        <v>7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>
        <v>125</v>
      </c>
      <c r="B122" s="60">
        <v>349.24</v>
      </c>
      <c r="C122" s="60">
        <v>9</v>
      </c>
      <c r="D122" s="60">
        <v>60.19</v>
      </c>
      <c r="E122" s="87">
        <v>0.25</v>
      </c>
      <c r="F122" s="87">
        <v>0.25</v>
      </c>
      <c r="G122" s="87">
        <v>0.25</v>
      </c>
      <c r="H122" s="87">
        <v>0.25</v>
      </c>
      <c r="I122" s="53">
        <f t="shared" si="4"/>
        <v>7.2033333333333331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>
        <v>137</v>
      </c>
      <c r="B123" s="60">
        <v>377.76</v>
      </c>
      <c r="C123" s="60">
        <v>10</v>
      </c>
      <c r="D123" s="60">
        <v>57.71999999999997</v>
      </c>
      <c r="E123" s="87">
        <v>0.25</v>
      </c>
      <c r="F123" s="87">
        <v>0.25</v>
      </c>
      <c r="G123" s="87">
        <v>0.25</v>
      </c>
      <c r="H123" s="87">
        <v>0.25</v>
      </c>
      <c r="I123" s="53">
        <f t="shared" si="4"/>
        <v>7.3924999999999983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>
        <v>149</v>
      </c>
      <c r="B124" s="60">
        <v>411.52</v>
      </c>
      <c r="C124" s="60">
        <v>11</v>
      </c>
      <c r="D124" s="60">
        <v>64.63</v>
      </c>
      <c r="E124" s="87">
        <v>0.25</v>
      </c>
      <c r="F124" s="87">
        <v>0.25</v>
      </c>
      <c r="G124" s="87">
        <v>0.25</v>
      </c>
      <c r="H124" s="87">
        <v>0.25</v>
      </c>
      <c r="I124" s="53">
        <f t="shared" si="4"/>
        <v>7.6233333333333304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>
        <v>164</v>
      </c>
      <c r="B125" s="60">
        <v>465.73</v>
      </c>
      <c r="C125" s="60">
        <v>12</v>
      </c>
      <c r="D125" s="60">
        <v>82.93</v>
      </c>
      <c r="E125" s="87">
        <v>0.25</v>
      </c>
      <c r="F125" s="87">
        <v>0.25</v>
      </c>
      <c r="G125" s="87">
        <v>0.25</v>
      </c>
      <c r="H125" s="87">
        <v>0.25</v>
      </c>
      <c r="I125" s="53">
        <f t="shared" si="4"/>
        <v>7.922666666666669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>
        <v>179</v>
      </c>
      <c r="B126" s="60">
        <v>505.2</v>
      </c>
      <c r="C126" s="60">
        <v>13</v>
      </c>
      <c r="D126" s="60">
        <v>227.02999999999997</v>
      </c>
      <c r="E126" s="65">
        <v>0.25</v>
      </c>
      <c r="F126" s="65">
        <v>0.25</v>
      </c>
      <c r="G126" s="65">
        <v>0.25</v>
      </c>
      <c r="H126" s="65">
        <v>0.25</v>
      </c>
      <c r="I126" s="53">
        <f t="shared" si="4"/>
        <v>8.1599999999999984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>
        <v>182</v>
      </c>
      <c r="B127" s="60">
        <v>294.11</v>
      </c>
      <c r="C127" s="60">
        <v>14</v>
      </c>
      <c r="D127" s="60">
        <v>101.59</v>
      </c>
      <c r="E127" s="65">
        <v>0.25</v>
      </c>
      <c r="F127" s="65">
        <v>0.25</v>
      </c>
      <c r="G127" s="65">
        <v>0.25</v>
      </c>
      <c r="H127" s="65">
        <v>0.25</v>
      </c>
      <c r="I127" s="53">
        <f t="shared" si="4"/>
        <v>5.3133333333333326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>
        <v>185</v>
      </c>
      <c r="B128" s="50">
        <v>202.08</v>
      </c>
      <c r="C128" s="50">
        <v>15</v>
      </c>
      <c r="D128" s="50">
        <v>71.04000000000002</v>
      </c>
      <c r="E128" s="54">
        <v>0.25</v>
      </c>
      <c r="F128" s="54">
        <v>0.25</v>
      </c>
      <c r="G128" s="54">
        <v>0.25</v>
      </c>
      <c r="H128" s="54">
        <v>0.25</v>
      </c>
      <c r="I128" s="53">
        <f t="shared" si="4"/>
        <v>3.1866666666666674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>
        <v>188</v>
      </c>
      <c r="B129" s="50">
        <v>137.03</v>
      </c>
      <c r="C129" s="50">
        <v>16</v>
      </c>
      <c r="D129" s="50">
        <v>137.03</v>
      </c>
      <c r="E129" s="54">
        <v>0.25</v>
      </c>
      <c r="F129" s="54">
        <v>0.25</v>
      </c>
      <c r="G129" s="54">
        <v>0.25</v>
      </c>
      <c r="H129" s="54">
        <v>0.25</v>
      </c>
      <c r="I129" s="53">
        <f t="shared" si="4"/>
        <v>1.9966666666666697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C135" s="23" t="s">
        <v>329</v>
      </c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>Charme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>
        <v>38</v>
      </c>
      <c r="B140" s="60">
        <v>152.63</v>
      </c>
      <c r="C140" s="50">
        <v>1</v>
      </c>
      <c r="D140" s="60">
        <v>71.569999999999993</v>
      </c>
      <c r="E140" s="51">
        <v>0</v>
      </c>
      <c r="F140" s="51">
        <v>0.25</v>
      </c>
      <c r="G140" s="51">
        <v>0.25</v>
      </c>
      <c r="H140" s="51">
        <v>0.5</v>
      </c>
      <c r="I140" s="57">
        <f>IFERROR(B140/A140,"")</f>
        <v>4.016578947368421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>
        <v>45</v>
      </c>
      <c r="B141" s="60">
        <v>149.75</v>
      </c>
      <c r="C141" s="50">
        <v>2</v>
      </c>
      <c r="D141" s="60">
        <v>41.69</v>
      </c>
      <c r="E141" s="51">
        <v>0</v>
      </c>
      <c r="F141" s="51">
        <v>0.25</v>
      </c>
      <c r="G141" s="51">
        <v>0.25</v>
      </c>
      <c r="H141" s="51">
        <v>0.5</v>
      </c>
      <c r="I141" s="57">
        <f t="shared" ref="I141:I159" si="5">IF(A141&lt;&gt;0,(B141-(B140-D140))/(A141-A140),"")</f>
        <v>9.8128571428571423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>
        <v>52</v>
      </c>
      <c r="B142" s="60">
        <v>178.07</v>
      </c>
      <c r="C142" s="50">
        <v>3</v>
      </c>
      <c r="D142" s="60">
        <v>44.400000000000006</v>
      </c>
      <c r="E142" s="51">
        <v>0.25</v>
      </c>
      <c r="F142" s="51">
        <v>0.25</v>
      </c>
      <c r="G142" s="51">
        <v>0.25</v>
      </c>
      <c r="H142" s="51">
        <v>0.25</v>
      </c>
      <c r="I142" s="57">
        <f t="shared" si="5"/>
        <v>10.001428571428571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>
        <v>59</v>
      </c>
      <c r="B143" s="60">
        <v>202.85</v>
      </c>
      <c r="C143" s="50">
        <v>4</v>
      </c>
      <c r="D143" s="60">
        <v>41.81</v>
      </c>
      <c r="E143" s="51">
        <v>0.25</v>
      </c>
      <c r="F143" s="51">
        <v>0.25</v>
      </c>
      <c r="G143" s="51">
        <v>0.25</v>
      </c>
      <c r="H143" s="51">
        <v>0.25</v>
      </c>
      <c r="I143" s="57">
        <f t="shared" si="5"/>
        <v>9.8828571428571443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>
        <v>67</v>
      </c>
      <c r="B144" s="60">
        <v>239.06</v>
      </c>
      <c r="C144" s="50">
        <v>5</v>
      </c>
      <c r="D144" s="60">
        <v>42.550000000000011</v>
      </c>
      <c r="E144" s="51">
        <v>0.25</v>
      </c>
      <c r="F144" s="51">
        <v>0.25</v>
      </c>
      <c r="G144" s="51">
        <v>0.25</v>
      </c>
      <c r="H144" s="51">
        <v>0.25</v>
      </c>
      <c r="I144" s="57">
        <f t="shared" si="5"/>
        <v>9.7525000000000013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>
        <v>75</v>
      </c>
      <c r="B145" s="60">
        <v>273.76</v>
      </c>
      <c r="C145" s="50">
        <v>6</v>
      </c>
      <c r="D145" s="60">
        <v>43.519999999999982</v>
      </c>
      <c r="E145" s="51">
        <v>0.25</v>
      </c>
      <c r="F145" s="51">
        <v>0.25</v>
      </c>
      <c r="G145" s="51">
        <v>0.25</v>
      </c>
      <c r="H145" s="51">
        <v>0.25</v>
      </c>
      <c r="I145" s="57">
        <f t="shared" si="5"/>
        <v>9.65625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>
        <v>83</v>
      </c>
      <c r="B146" s="60">
        <v>306.11</v>
      </c>
      <c r="C146" s="50">
        <v>7</v>
      </c>
      <c r="D146" s="60">
        <v>49.980000000000018</v>
      </c>
      <c r="E146" s="51">
        <v>0.25</v>
      </c>
      <c r="F146" s="51">
        <v>0.25</v>
      </c>
      <c r="G146" s="51">
        <v>0.25</v>
      </c>
      <c r="H146" s="51">
        <v>0.25</v>
      </c>
      <c r="I146" s="57">
        <f t="shared" si="5"/>
        <v>9.4837500000000006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>
        <v>93</v>
      </c>
      <c r="B147" s="60">
        <v>348.87</v>
      </c>
      <c r="C147" s="50">
        <v>8</v>
      </c>
      <c r="D147" s="60">
        <v>67.45999999999998</v>
      </c>
      <c r="E147" s="51">
        <v>0.25</v>
      </c>
      <c r="F147" s="51">
        <v>0.25</v>
      </c>
      <c r="G147" s="51">
        <v>0.25</v>
      </c>
      <c r="H147" s="51">
        <v>0.25</v>
      </c>
      <c r="I147" s="57">
        <f>IF(A147&lt;&gt;0,(B147-(B146-D146))/(A147-A146),"")</f>
        <v>9.2740000000000009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>
        <v>103</v>
      </c>
      <c r="B148" s="60">
        <v>371.4</v>
      </c>
      <c r="C148" s="50">
        <v>9</v>
      </c>
      <c r="D148" s="60">
        <v>67.759999999999991</v>
      </c>
      <c r="E148" s="51">
        <v>0.25</v>
      </c>
      <c r="F148" s="51">
        <v>0.25</v>
      </c>
      <c r="G148" s="51">
        <v>0.25</v>
      </c>
      <c r="H148" s="51">
        <v>0.25</v>
      </c>
      <c r="I148" s="57">
        <f t="shared" si="5"/>
        <v>8.9989999999999952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>
        <v>113</v>
      </c>
      <c r="B149" s="60">
        <v>391.18</v>
      </c>
      <c r="C149" s="50">
        <v>10</v>
      </c>
      <c r="D149" s="60">
        <v>68.670000000000016</v>
      </c>
      <c r="E149" s="51">
        <v>0.25</v>
      </c>
      <c r="F149" s="51">
        <v>0.25</v>
      </c>
      <c r="G149" s="51">
        <v>0.25</v>
      </c>
      <c r="H149" s="51">
        <v>0.25</v>
      </c>
      <c r="I149" s="57">
        <f t="shared" si="5"/>
        <v>8.7540000000000013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>
        <v>123</v>
      </c>
      <c r="B150" s="60">
        <v>409.53</v>
      </c>
      <c r="C150" s="50">
        <v>11</v>
      </c>
      <c r="D150" s="60">
        <v>203.78999999999996</v>
      </c>
      <c r="E150" s="51">
        <v>0.25</v>
      </c>
      <c r="F150" s="51">
        <v>0.25</v>
      </c>
      <c r="G150" s="51">
        <v>0.25</v>
      </c>
      <c r="H150" s="51">
        <v>0.25</v>
      </c>
      <c r="I150" s="57">
        <f t="shared" si="5"/>
        <v>8.7019999999999982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>
        <v>125</v>
      </c>
      <c r="B151" s="60">
        <v>215.44</v>
      </c>
      <c r="C151" s="50">
        <v>12</v>
      </c>
      <c r="D151" s="60">
        <v>70.609999999999985</v>
      </c>
      <c r="E151" s="51">
        <v>0.25</v>
      </c>
      <c r="F151" s="51">
        <v>0.25</v>
      </c>
      <c r="G151" s="51">
        <v>0.25</v>
      </c>
      <c r="H151" s="51">
        <v>0.25</v>
      </c>
      <c r="I151" s="57">
        <f t="shared" si="5"/>
        <v>4.8499999999999943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>
        <v>127</v>
      </c>
      <c r="B152" s="60">
        <v>151.47999999999999</v>
      </c>
      <c r="C152" s="50">
        <v>13</v>
      </c>
      <c r="D152" s="60">
        <v>46.039999999999992</v>
      </c>
      <c r="E152" s="54">
        <v>0.25</v>
      </c>
      <c r="F152" s="54">
        <v>0.25</v>
      </c>
      <c r="G152" s="54">
        <v>0.25</v>
      </c>
      <c r="H152" s="54">
        <v>0.25</v>
      </c>
      <c r="I152" s="57">
        <f t="shared" si="5"/>
        <v>3.3249999999999886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>
        <v>130</v>
      </c>
      <c r="B153" s="60">
        <v>112.75</v>
      </c>
      <c r="C153" s="50">
        <v>14</v>
      </c>
      <c r="D153" s="60">
        <v>112.75</v>
      </c>
      <c r="E153" s="54">
        <v>0.25</v>
      </c>
      <c r="F153" s="54">
        <v>0.25</v>
      </c>
      <c r="G153" s="54">
        <v>0.25</v>
      </c>
      <c r="H153" s="54">
        <v>0.25</v>
      </c>
      <c r="I153" s="57">
        <f t="shared" si="5"/>
        <v>2.4366666666666674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>Merisier</v>
      </c>
      <c r="C162" s="23" t="s">
        <v>324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>
        <v>15</v>
      </c>
      <c r="B166" s="60">
        <v>40</v>
      </c>
      <c r="C166" s="60">
        <v>1</v>
      </c>
      <c r="D166" s="60">
        <v>3</v>
      </c>
      <c r="E166" s="51">
        <v>0</v>
      </c>
      <c r="F166" s="51">
        <v>0.25</v>
      </c>
      <c r="G166" s="51">
        <v>0.25</v>
      </c>
      <c r="H166" s="51">
        <v>0.5</v>
      </c>
      <c r="I166" s="49">
        <f>IFERROR(B166/A166,"")</f>
        <v>2.6666666666666665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>
        <v>20</v>
      </c>
      <c r="B167" s="60">
        <v>85</v>
      </c>
      <c r="C167" s="60">
        <v>2</v>
      </c>
      <c r="D167" s="60">
        <v>25</v>
      </c>
      <c r="E167" s="51">
        <v>0</v>
      </c>
      <c r="F167" s="51">
        <v>0.25</v>
      </c>
      <c r="G167" s="51">
        <v>0.25</v>
      </c>
      <c r="H167" s="51">
        <v>0.5</v>
      </c>
      <c r="I167" s="49">
        <f t="shared" ref="I167:I185" si="6">IF(A167&lt;&gt;0,(B167-(B166-D166))/(A167-A166),"")</f>
        <v>9.6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>
        <v>25</v>
      </c>
      <c r="B168" s="60">
        <v>113</v>
      </c>
      <c r="C168" s="60">
        <v>3</v>
      </c>
      <c r="D168" s="60">
        <v>27</v>
      </c>
      <c r="E168" s="51">
        <v>0</v>
      </c>
      <c r="F168" s="51">
        <v>0.25</v>
      </c>
      <c r="G168" s="51">
        <v>0.25</v>
      </c>
      <c r="H168" s="51">
        <v>0.5</v>
      </c>
      <c r="I168" s="49">
        <f t="shared" si="6"/>
        <v>10.6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>
        <v>31</v>
      </c>
      <c r="B169" s="60">
        <v>155</v>
      </c>
      <c r="C169" s="60">
        <v>4</v>
      </c>
      <c r="D169" s="60">
        <v>36</v>
      </c>
      <c r="E169" s="51">
        <v>0.25</v>
      </c>
      <c r="F169" s="51">
        <v>0.25</v>
      </c>
      <c r="G169" s="51">
        <v>0.25</v>
      </c>
      <c r="H169" s="51">
        <v>0.25</v>
      </c>
      <c r="I169" s="49">
        <f t="shared" si="6"/>
        <v>11.5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>
        <v>37</v>
      </c>
      <c r="B170" s="60">
        <v>188</v>
      </c>
      <c r="C170" s="60">
        <v>5</v>
      </c>
      <c r="D170" s="60">
        <v>36</v>
      </c>
      <c r="E170" s="51">
        <v>0.25</v>
      </c>
      <c r="F170" s="51">
        <v>0.25</v>
      </c>
      <c r="G170" s="51">
        <v>0.25</v>
      </c>
      <c r="H170" s="51">
        <v>0.25</v>
      </c>
      <c r="I170" s="49">
        <f t="shared" si="6"/>
        <v>11.5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>
        <v>44</v>
      </c>
      <c r="B171" s="60">
        <v>230</v>
      </c>
      <c r="C171" s="60">
        <v>6</v>
      </c>
      <c r="D171" s="60">
        <v>43</v>
      </c>
      <c r="E171" s="51">
        <v>0.25</v>
      </c>
      <c r="F171" s="51">
        <v>0.25</v>
      </c>
      <c r="G171" s="51">
        <v>0.25</v>
      </c>
      <c r="H171" s="51">
        <v>0.25</v>
      </c>
      <c r="I171" s="49">
        <f t="shared" si="6"/>
        <v>11.142857142857142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>
        <v>52</v>
      </c>
      <c r="B172" s="60">
        <v>270</v>
      </c>
      <c r="C172" s="60">
        <v>7</v>
      </c>
      <c r="D172" s="60">
        <v>48</v>
      </c>
      <c r="E172" s="51">
        <v>0.25</v>
      </c>
      <c r="F172" s="51">
        <v>0.25</v>
      </c>
      <c r="G172" s="51">
        <v>0.25</v>
      </c>
      <c r="H172" s="51">
        <v>0.25</v>
      </c>
      <c r="I172" s="49">
        <f t="shared" si="6"/>
        <v>10.375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>
        <v>60</v>
      </c>
      <c r="B173" s="50">
        <v>297</v>
      </c>
      <c r="C173" s="50">
        <v>8</v>
      </c>
      <c r="D173" s="50">
        <v>47</v>
      </c>
      <c r="E173" s="51">
        <v>0.25</v>
      </c>
      <c r="F173" s="51">
        <v>0.25</v>
      </c>
      <c r="G173" s="51">
        <v>0.25</v>
      </c>
      <c r="H173" s="51">
        <v>0.25</v>
      </c>
      <c r="I173" s="49">
        <f t="shared" si="6"/>
        <v>9.375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>
        <v>69</v>
      </c>
      <c r="B174" s="50">
        <v>328</v>
      </c>
      <c r="C174" s="50">
        <v>9</v>
      </c>
      <c r="D174" s="50">
        <v>328</v>
      </c>
      <c r="E174" s="51">
        <v>0.25</v>
      </c>
      <c r="F174" s="51">
        <v>0.25</v>
      </c>
      <c r="G174" s="51">
        <v>0.25</v>
      </c>
      <c r="H174" s="51">
        <v>0.25</v>
      </c>
      <c r="I174" s="49">
        <f t="shared" si="6"/>
        <v>8.6666666666666661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C187" s="23" t="s">
        <v>330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>Alisier torminal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>
        <v>60</v>
      </c>
      <c r="B192" s="60">
        <v>201.62</v>
      </c>
      <c r="C192" s="60">
        <v>1</v>
      </c>
      <c r="D192" s="60">
        <v>72.87</v>
      </c>
      <c r="E192" s="51">
        <v>0</v>
      </c>
      <c r="F192" s="51">
        <v>0.25</v>
      </c>
      <c r="G192" s="51">
        <v>0.25</v>
      </c>
      <c r="H192" s="51">
        <v>0.5</v>
      </c>
      <c r="I192" s="49">
        <f>IFERROR(B192/A192,"")</f>
        <v>3.3603333333333336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>
        <v>69</v>
      </c>
      <c r="B193" s="60">
        <v>190.79</v>
      </c>
      <c r="C193" s="60">
        <v>2</v>
      </c>
      <c r="D193" s="60">
        <v>42.22</v>
      </c>
      <c r="E193" s="51">
        <v>0</v>
      </c>
      <c r="F193" s="51">
        <v>0.25</v>
      </c>
      <c r="G193" s="51">
        <v>0.25</v>
      </c>
      <c r="H193" s="51">
        <v>0.5</v>
      </c>
      <c r="I193" s="49">
        <f t="shared" ref="I193:I211" si="7">IF(A193&lt;&gt;0,(B193-(B192-D192))/(A193-A192),"")</f>
        <v>6.8933333333333326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>
        <v>77</v>
      </c>
      <c r="B194" s="60">
        <v>202.52</v>
      </c>
      <c r="C194" s="60">
        <v>3</v>
      </c>
      <c r="D194" s="60">
        <v>33.950000000000017</v>
      </c>
      <c r="E194" s="51">
        <v>0</v>
      </c>
      <c r="F194" s="51">
        <v>0.25</v>
      </c>
      <c r="G194" s="51">
        <v>0.25</v>
      </c>
      <c r="H194" s="51">
        <v>0.5</v>
      </c>
      <c r="I194" s="49">
        <f t="shared" si="7"/>
        <v>6.7437500000000021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>
        <v>86</v>
      </c>
      <c r="B195" s="60">
        <v>229.27</v>
      </c>
      <c r="C195" s="60">
        <v>4</v>
      </c>
      <c r="D195" s="60">
        <v>37.54000000000002</v>
      </c>
      <c r="E195" s="51">
        <v>0.25</v>
      </c>
      <c r="F195" s="51">
        <v>0.25</v>
      </c>
      <c r="G195" s="51">
        <v>0.25</v>
      </c>
      <c r="H195" s="51">
        <v>0.25</v>
      </c>
      <c r="I195" s="49">
        <f t="shared" si="7"/>
        <v>6.7444444444444462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>
        <v>95</v>
      </c>
      <c r="B196" s="60">
        <v>252.57</v>
      </c>
      <c r="C196" s="60">
        <v>5</v>
      </c>
      <c r="D196" s="60">
        <v>42.199999999999989</v>
      </c>
      <c r="E196" s="51">
        <v>0.25</v>
      </c>
      <c r="F196" s="51">
        <v>0.25</v>
      </c>
      <c r="G196" s="51">
        <v>0.25</v>
      </c>
      <c r="H196" s="51">
        <v>0.25</v>
      </c>
      <c r="I196" s="49">
        <f t="shared" si="7"/>
        <v>6.7600000000000007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>
        <v>104</v>
      </c>
      <c r="B197" s="60">
        <v>271.37</v>
      </c>
      <c r="C197" s="60">
        <v>6</v>
      </c>
      <c r="D197" s="60">
        <v>39.400000000000006</v>
      </c>
      <c r="E197" s="51">
        <v>0.25</v>
      </c>
      <c r="F197" s="51">
        <v>0.25</v>
      </c>
      <c r="G197" s="51">
        <v>0.25</v>
      </c>
      <c r="H197" s="51">
        <v>0.25</v>
      </c>
      <c r="I197" s="49">
        <f t="shared" si="7"/>
        <v>6.7777777777777777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>
        <v>113</v>
      </c>
      <c r="B198" s="60">
        <v>293.89999999999998</v>
      </c>
      <c r="C198" s="60">
        <v>7</v>
      </c>
      <c r="D198" s="60">
        <v>41.639999999999986</v>
      </c>
      <c r="E198" s="51">
        <v>0.25</v>
      </c>
      <c r="F198" s="51">
        <v>0.25</v>
      </c>
      <c r="G198" s="51">
        <v>0.25</v>
      </c>
      <c r="H198" s="51">
        <v>0.25</v>
      </c>
      <c r="I198" s="49">
        <f t="shared" si="7"/>
        <v>6.8811111111111085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>
        <v>122</v>
      </c>
      <c r="B199" s="50">
        <v>315.27</v>
      </c>
      <c r="C199" s="50">
        <v>8</v>
      </c>
      <c r="D199" s="50">
        <v>45.829999999999984</v>
      </c>
      <c r="E199" s="51">
        <v>0.25</v>
      </c>
      <c r="F199" s="51">
        <v>0.25</v>
      </c>
      <c r="G199" s="51">
        <v>0.25</v>
      </c>
      <c r="H199" s="51">
        <v>0.25</v>
      </c>
      <c r="I199" s="49">
        <f t="shared" si="7"/>
        <v>7.0011111111111104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>
        <v>132</v>
      </c>
      <c r="B200" s="50">
        <v>340.57</v>
      </c>
      <c r="C200" s="50">
        <v>9</v>
      </c>
      <c r="D200" s="50">
        <v>48.699999999999989</v>
      </c>
      <c r="E200" s="51">
        <v>0.25</v>
      </c>
      <c r="F200" s="51">
        <v>0.25</v>
      </c>
      <c r="G200" s="51">
        <v>0.25</v>
      </c>
      <c r="H200" s="51">
        <v>0.25</v>
      </c>
      <c r="I200" s="49">
        <f t="shared" si="7"/>
        <v>7.1129999999999995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>
        <v>144</v>
      </c>
      <c r="B201" s="50">
        <v>379.92</v>
      </c>
      <c r="C201" s="50">
        <v>10</v>
      </c>
      <c r="D201" s="50">
        <v>60.949999999999989</v>
      </c>
      <c r="E201" s="51">
        <v>0.25</v>
      </c>
      <c r="F201" s="51">
        <v>0.25</v>
      </c>
      <c r="G201" s="51">
        <v>0.25</v>
      </c>
      <c r="H201" s="51">
        <v>0.25</v>
      </c>
      <c r="I201" s="49">
        <f t="shared" si="7"/>
        <v>7.3375000000000012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>
        <v>156</v>
      </c>
      <c r="B202" s="50">
        <v>409.2</v>
      </c>
      <c r="C202" s="50">
        <v>11</v>
      </c>
      <c r="D202" s="50">
        <v>65.69</v>
      </c>
      <c r="E202" s="51">
        <v>0.25</v>
      </c>
      <c r="F202" s="51">
        <v>0.25</v>
      </c>
      <c r="G202" s="51">
        <v>0.25</v>
      </c>
      <c r="H202" s="51">
        <v>0.25</v>
      </c>
      <c r="I202" s="49">
        <f t="shared" si="7"/>
        <v>7.5191666666666634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>
        <v>168</v>
      </c>
      <c r="B203" s="50">
        <v>435.65</v>
      </c>
      <c r="C203" s="50">
        <v>12</v>
      </c>
      <c r="D203" s="50">
        <v>71.37</v>
      </c>
      <c r="E203" s="51">
        <v>0.25</v>
      </c>
      <c r="F203" s="51">
        <v>0.25</v>
      </c>
      <c r="G203" s="51">
        <v>0.25</v>
      </c>
      <c r="H203" s="51">
        <v>0.25</v>
      </c>
      <c r="I203" s="49">
        <f t="shared" si="7"/>
        <v>7.6783333333333319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>
        <v>180</v>
      </c>
      <c r="B204" s="50">
        <v>456.54</v>
      </c>
      <c r="C204" s="50">
        <v>13</v>
      </c>
      <c r="D204" s="50">
        <v>175.59000000000003</v>
      </c>
      <c r="E204" s="51">
        <v>0.25</v>
      </c>
      <c r="F204" s="51">
        <v>0.25</v>
      </c>
      <c r="G204" s="51">
        <v>0.25</v>
      </c>
      <c r="H204" s="51">
        <v>0.25</v>
      </c>
      <c r="I204" s="49">
        <f t="shared" si="7"/>
        <v>7.688333333333337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>
        <v>184</v>
      </c>
      <c r="B205" s="50">
        <v>300.14</v>
      </c>
      <c r="C205" s="50">
        <v>14</v>
      </c>
      <c r="D205" s="50">
        <v>101.19999999999999</v>
      </c>
      <c r="E205" s="51">
        <v>0.25</v>
      </c>
      <c r="F205" s="51">
        <v>0.25</v>
      </c>
      <c r="G205" s="51">
        <v>0.25</v>
      </c>
      <c r="H205" s="51">
        <v>0.25</v>
      </c>
      <c r="I205" s="49">
        <f t="shared" si="7"/>
        <v>4.7974999999999994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>
        <v>188</v>
      </c>
      <c r="B206" s="50">
        <v>211.27</v>
      </c>
      <c r="C206" s="50">
        <v>15</v>
      </c>
      <c r="D206" s="50">
        <v>72.180000000000007</v>
      </c>
      <c r="E206" s="51">
        <v>0.25</v>
      </c>
      <c r="F206" s="51">
        <v>0.25</v>
      </c>
      <c r="G206" s="51">
        <v>0.25</v>
      </c>
      <c r="H206" s="51">
        <v>0.25</v>
      </c>
      <c r="I206" s="49">
        <f t="shared" si="7"/>
        <v>3.0825000000000031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>
        <v>191</v>
      </c>
      <c r="B207" s="50">
        <v>145.01</v>
      </c>
      <c r="C207" s="50">
        <v>16</v>
      </c>
      <c r="D207" s="50">
        <v>145.01</v>
      </c>
      <c r="E207" s="51">
        <v>0.25</v>
      </c>
      <c r="F207" s="51">
        <v>0.25</v>
      </c>
      <c r="G207" s="51">
        <v>0.25</v>
      </c>
      <c r="H207" s="51">
        <v>0.25</v>
      </c>
      <c r="I207" s="49">
        <f t="shared" si="7"/>
        <v>1.9733333333333292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8" sqref="B18"/>
    </sheetView>
  </sheetViews>
  <sheetFormatPr baseColWidth="10" defaultColWidth="11.46484375" defaultRowHeight="14.25" x14ac:dyDescent="0.45"/>
  <cols>
    <col min="1" max="1" width="5.86328125" style="1" customWidth="1"/>
    <col min="2" max="2" width="14.1328125" style="1" customWidth="1"/>
    <col min="3" max="3" width="62.13281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86328125" style="4" bestFit="1" customWidth="1"/>
    <col min="2" max="4" width="11.46484375" style="4"/>
    <col min="5" max="5" width="9.53125" style="4" customWidth="1"/>
    <col min="6" max="7" width="11.46484375" style="4"/>
    <col min="8" max="8" width="10.531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3125" style="4" bestFit="1" customWidth="1"/>
    <col min="25" max="25" width="14.53125" style="4" bestFit="1" customWidth="1"/>
    <col min="26" max="26" width="12.46484375" style="4" bestFit="1" customWidth="1"/>
    <col min="27" max="27" width="9.531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3125" style="4" bestFit="1" customWidth="1"/>
    <col min="46" max="46" width="8.46484375" style="4" bestFit="1" customWidth="1"/>
    <col min="47" max="47" width="9.46484375" style="4" bestFit="1" customWidth="1"/>
    <col min="48" max="48" width="9.531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3125" style="4" bestFit="1" customWidth="1"/>
    <col min="67" max="67" width="8.46484375" style="4" bestFit="1" customWidth="1"/>
    <col min="68" max="68" width="9.46484375" style="4" bestFit="1" customWidth="1"/>
    <col min="69" max="69" width="9.531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8632812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3125" style="4" bestFit="1" customWidth="1"/>
    <col min="88" max="88" width="8.46484375" style="4" bestFit="1" customWidth="1"/>
    <col min="89" max="89" width="9.46484375" style="4" bestFit="1" customWidth="1"/>
    <col min="90" max="90" width="9.531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3125" style="4" bestFit="1" customWidth="1"/>
    <col min="109" max="109" width="8.46484375" style="4" bestFit="1" customWidth="1"/>
    <col min="110" max="110" width="9.46484375" style="4" bestFit="1" customWidth="1"/>
    <col min="111" max="111" width="9.531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3125" style="4" bestFit="1" customWidth="1"/>
    <col min="130" max="130" width="8.46484375" style="4" bestFit="1" customWidth="1"/>
    <col min="131" max="131" width="9.46484375" style="4" bestFit="1" customWidth="1"/>
    <col min="132" max="132" width="9.531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3125" style="4" bestFit="1" customWidth="1"/>
    <col min="151" max="151" width="8.46484375" style="4" bestFit="1" customWidth="1"/>
    <col min="152" max="152" width="9.46484375" style="4" bestFit="1" customWidth="1"/>
    <col min="153" max="153" width="9.531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3125" style="4" bestFit="1" customWidth="1"/>
    <col min="172" max="172" width="8.1328125" style="4" bestFit="1" customWidth="1"/>
    <col min="173" max="173" width="9.46484375" style="4" bestFit="1" customWidth="1"/>
    <col min="174" max="174" width="9.531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31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3125" style="4" bestFit="1" customWidth="1"/>
    <col min="214" max="214" width="8.46484375" style="4" bestFit="1" customWidth="1"/>
    <col min="215" max="215" width="9.46484375" style="4" bestFit="1" customWidth="1"/>
    <col min="216" max="216" width="9.531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Chêne pubescent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Chêne sessile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Chêne rouge d'Amérique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>Chêne tauzin</v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>Charme</v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>Merisier</v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>Alisier torminal</v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543.67050511722618</v>
      </c>
      <c r="T3" s="59">
        <f>IF('Données projet'!E9&gt;30,$R$33-$H$33,LOOKUP('Données projet'!$E$9,$A$3:$A$203,R3:R203)-LOOKUP('Données projet'!$E$9,$A$3:$A$203,$H$3:$H$203))</f>
        <v>249.0871389941106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635.71275911100679</v>
      </c>
      <c r="AO3" s="59">
        <f>IF('Données projet'!E10&gt;30,$AM$33-$H$33,LOOKUP('Données projet'!$E$10,$A$3:$A$203,AM3:AM203)-LOOKUP('Données projet'!$E$10,$A$3:$A$203,$H$3:$H$203))</f>
        <v>281.7776857269169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204.11804238362862</v>
      </c>
      <c r="BJ3" s="59">
        <f>IF('Données projet'!E11&gt;30,$BH$33-$H$33,LOOKUP('Données projet'!$E$11,$A$3:$A$203,BH3:BH203)-LOOKUP('Données projet'!$E$11,$A$3:$A$203,$H$3:$H$203))</f>
        <v>185.53854651509408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535.99935263833549</v>
      </c>
      <c r="CE3" s="59">
        <f>IF('Données projet'!E12&gt;30,$CC$33-$H$33,LOOKUP('Données projet'!$E$12,$A$3:$A$203,CC3:CC203)-LOOKUP('Données projet'!$E$12,$A$3:$A$203,$H$3:$H$203))</f>
        <v>245.89966477332644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449.28947235329758</v>
      </c>
      <c r="CZ3" s="59">
        <f>IF('Données projet'!E13&gt;30,$CX$33-$H$33,LOOKUP('Données projet'!$E$13,$A$3:$A$203,CX3:CX203)-LOOKUP('Données projet'!$E$13,$A$3:$A$203,$H$3:$H$203))</f>
        <v>289.36994109443964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288.82868507674738</v>
      </c>
      <c r="DU3" s="59">
        <f>IF('Données projet'!E14&gt;30,$DS$33-$H$33,LOOKUP('Données projet'!$E$14,$A$3:$A$203,DS3:DS203)-LOOKUP('Données projet'!$E$14,$A$3:$A$203,$H$3:$H$203))</f>
        <v>283.48738729114024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510.71380643466227</v>
      </c>
      <c r="EP3" s="59">
        <f>IF('Données projet'!E15&gt;30,$EN$33-$H$33,LOOKUP('Données projet'!$E$15,$A$3:$A$203,EN3:EN203)-LOOKUP('Données projet'!$E$15,$A$3:$A$203,$H$3:$H$203))</f>
        <v>252.40654099948841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3.15468085106383</v>
      </c>
      <c r="N4" s="13">
        <f>IF('Données projet'!$A$36&gt;35,N3+M4-V3,IF(A4&lt;'Données projet'!$A$36,$K$205^A4,IF(A4='Données projet'!$A$36,'Données projet'!$B$36,N3+M4-V3)))</f>
        <v>3.15468085106383</v>
      </c>
      <c r="O4" s="13">
        <f>N4*VLOOKUP('Données projet'!$B$9,Paramètres!$A$1:$I$89,3,0)*VLOOKUP('Données projet'!$B$9,Paramètres!$A$1:$I$89,5,0)</f>
        <v>3.1988463829787239</v>
      </c>
      <c r="P4" s="13">
        <f>EXP(-1.0587+0.8836*LN(O4)+0.284)</f>
        <v>1.2875503448821723</v>
      </c>
      <c r="Q4" s="20">
        <f t="shared" ref="Q4:Q34" si="2">(O4+P4)*0.475*44/12</f>
        <v>7.813807634357727</v>
      </c>
      <c r="R4" s="59">
        <f t="shared" si="0"/>
        <v>265.70269652324657</v>
      </c>
      <c r="S4" s="59">
        <f ca="1">AVERAGE(OFFSET($R$3,0,0,'Données projet'!$E$9+1,1))-AVERAGE(OFFSET($H$3,0,0,'Données projet'!$E$9+1,1))</f>
        <v>543.67050511722618</v>
      </c>
      <c r="T4" s="59">
        <f>$T$3</f>
        <v>249.0871389941106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4.0942857142857143</v>
      </c>
      <c r="AI4" s="13">
        <f>IF('Données projet'!$A$62&gt;35,AI3+AH4-AQ3,IF(A4&lt;'Données projet'!$A$62,$AF$205^A4,IF(A4='Données projet'!$A$62,'Données projet'!$B$62,AI3+AH4-AQ3)))</f>
        <v>4.0942857142857143</v>
      </c>
      <c r="AJ4" s="13">
        <f>AI4*VLOOKUP('Données projet'!$B$10,Paramètres!$A$1:$I$89,3,0)*VLOOKUP('Données projet'!$B$10,Paramètres!$A$1:$I$89,5,0)</f>
        <v>3.704509714285714</v>
      </c>
      <c r="AK4" s="13">
        <f>EXP(-1.0587+0.8836*LN(AJ4)+0.284)</f>
        <v>1.4658264193249637</v>
      </c>
      <c r="AL4" s="20">
        <f t="shared" ref="AL4:AL67" si="4">(AJ4+AK4)*0.475*44/12</f>
        <v>9.0050020993719304</v>
      </c>
      <c r="AM4" s="59">
        <f t="shared" ref="AM4:AM67" si="5">AL4+(AD4+AE4)*44/12</f>
        <v>266.89389098826081</v>
      </c>
      <c r="AN4" s="59">
        <f ca="1">AVERAGE(OFFSET($AM$3,0,0,'Données projet'!$E$10+1,1))-AVERAGE(OFFSET($H$3,0,0,'Données projet'!$E$10+1,1))</f>
        <v>635.71275911100679</v>
      </c>
      <c r="AO4" s="59">
        <f>$AO$3</f>
        <v>281.7776857269169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2.7884615384615379</v>
      </c>
      <c r="BD4" s="12">
        <f>IF('Données projet'!$A$88&gt;35,BD3+BC4-BL3,IF(A4&lt;'Données projet'!$A$88,$BA$205^A4,IF(A4='Données projet'!$A$88,'Données projet'!$B$88,BD3+BC4-BL3)))</f>
        <v>1.2226994946602114</v>
      </c>
      <c r="BE4" s="13">
        <f>BD4*VLOOKUP('Données projet'!$B$11,Paramètres!$A$1:$I$89,3,0)*VLOOKUP('Données projet'!$B$11,Paramètres!$A$1:$I$89,5,0)</f>
        <v>1.0681502785351609</v>
      </c>
      <c r="BF4" s="13">
        <f>EXP(-1.0587+0.8836*LN(BE4)+0.284)</f>
        <v>0.48848543210146395</v>
      </c>
      <c r="BG4" s="20">
        <f t="shared" ref="BG4:BG67" si="7">(BE4+BF4)*0.475*44/12</f>
        <v>2.7111405293587882</v>
      </c>
      <c r="BH4" s="59">
        <f t="shared" ref="BH4:BH67" si="8">BG4+(AY4+AZ4)*44/12</f>
        <v>260.60002941824763</v>
      </c>
      <c r="BI4" s="59">
        <f ca="1">AVERAGE(OFFSET($BH$3,0,0,'Données projet'!$E$11+1,1))-AVERAGE(OFFSET($H$3,0,0,'Données projet'!$E$11+1,1))</f>
        <v>204.11804238362862</v>
      </c>
      <c r="BJ4" s="59">
        <f>$BJ$3</f>
        <v>185.53854651509408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3.15468085106383</v>
      </c>
      <c r="BY4" s="12">
        <f>IF('Données projet'!$A$114&gt;35,BY3+BX4-CG3,IF(A4&lt;'Données projet'!$A$114,$BV$205^A4,IF(A4='Données projet'!$A$114,'Données projet'!$B$114,BY3+BX4-CG3)))</f>
        <v>3.15468085106383</v>
      </c>
      <c r="BZ4" s="13">
        <f>BY4*VLOOKUP('Données projet'!$B$12,Paramètres!$A$1:$I$89,3,0)*VLOOKUP('Données projet'!$B$12,Paramètres!$A$1:$I$89,5,0)</f>
        <v>3.1496333617021279</v>
      </c>
      <c r="CA4" s="13">
        <f>EXP(-1.0587+0.8836*LN(BZ4)+0.284)</f>
        <v>1.2700318214153852</v>
      </c>
      <c r="CB4" s="20">
        <f t="shared" ref="CB4:CB67" si="10">(BZ4+CA4)*0.475*44/12</f>
        <v>7.697583527263002</v>
      </c>
      <c r="CC4" s="59">
        <f t="shared" ref="CC4:CC67" si="11">CB4+(BT4+BU4)*44/12</f>
        <v>265.58647241615188</v>
      </c>
      <c r="CD4" s="59">
        <f ca="1">AVERAGE(OFFSET($CC$3,0,0,'Données projet'!$E$12+1,1))-AVERAGE(OFFSET($H$3,0,0,'Données projet'!$E$12+1,1))</f>
        <v>535.99935263833549</v>
      </c>
      <c r="CE4" s="59">
        <f>$CE$3</f>
        <v>245.89966477332644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4.016578947368421</v>
      </c>
      <c r="CT4" s="12">
        <f>IF('Données projet'!$A$140&gt;35,CT3+CS4-DB3,IF(A4&lt;'Données projet'!$A$140,$CQ$205^A4,IF(A4='Données projet'!$A$140,'Données projet'!$B$140,CT3+CS4-DB3)))</f>
        <v>4.016578947368421</v>
      </c>
      <c r="CU4" s="17">
        <f>CT4*VLOOKUP('Données projet'!$B$13,Paramètres!$A$1:$I$89,3,0)*VLOOKUP('Données projet'!$B$13,Paramètres!$A$1:$I$89,5,0)</f>
        <v>3.8221765263157894</v>
      </c>
      <c r="CV4" s="13">
        <f>EXP(-1.0587+0.8836*LN(CU4)+0.284)</f>
        <v>1.5068909880440347</v>
      </c>
      <c r="CW4" s="20">
        <f t="shared" ref="CW4:CW67" si="13">(CU4+CV4)*0.475*44/12</f>
        <v>9.2814592541766938</v>
      </c>
      <c r="CX4" s="59">
        <f t="shared" ref="CX4:CX67" si="14">CW4+(CO4+CP4)*44/12</f>
        <v>267.17034814306555</v>
      </c>
      <c r="CY4" s="59">
        <f ca="1">AVERAGE(OFFSET($CX$3,0,0,'Données projet'!$E$13+1,1))-AVERAGE(OFFSET($H$3,0,0,'Données projet'!$E$13+1,1))</f>
        <v>449.28947235329758</v>
      </c>
      <c r="CZ4" s="59">
        <f>$CZ$3</f>
        <v>289.36994109443964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2.6666666666666665</v>
      </c>
      <c r="DO4" s="12">
        <f>IF('Données projet'!$A$166&gt;35,DO3+DN4-DW3,IF(A4&lt;'Données projet'!$A$166,$DL$205^A4,IF(A4='Données projet'!$A$166,'Données projet'!$B$166,DO3+DN4-DW3)))</f>
        <v>1.2788040393997409</v>
      </c>
      <c r="DP4" s="17">
        <f>DO4*VLOOKUP('Données projet'!$B$14,Paramètres!$A$1:$I$89,3,0)*VLOOKUP('Données projet'!$B$14,Paramètres!$A$1:$I$89,5,0)</f>
        <v>0.99746715073179792</v>
      </c>
      <c r="DQ4" s="13">
        <f>EXP(-1.0587+0.8836*LN(DP4)+0.284)</f>
        <v>0.45981048445793882</v>
      </c>
      <c r="DR4" s="20">
        <f t="shared" ref="DR4:DR67" si="16">(DP4+DQ4)*0.475*44/12</f>
        <v>2.5380918812887914</v>
      </c>
      <c r="DS4" s="59">
        <f t="shared" ref="DS4:DS67" si="17">DR4+(DJ4+DK4)*44/12</f>
        <v>260.42698077017764</v>
      </c>
      <c r="DT4" s="59">
        <f ca="1">AVERAGE(OFFSET($DS$3,0,0,'Données projet'!$E$14+1,1))-AVERAGE(OFFSET($H$3,0,0,'Données projet'!$E$14+1,1))</f>
        <v>288.82868507674738</v>
      </c>
      <c r="DU4" s="59">
        <f>$DU$3</f>
        <v>283.48738729114024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3.3603333333333336</v>
      </c>
      <c r="EJ4" s="12">
        <f>IF('Données projet'!$A$192&gt;35,EJ3+EI4-ER3,IF(A4&lt;'Données projet'!$A$192,$EG$205^A4,IF(A4='Données projet'!$A$192,'Données projet'!$B$192,EJ3+EI4-ER3)))</f>
        <v>3.3603333333333336</v>
      </c>
      <c r="EK4" s="17">
        <f>EJ4*VLOOKUP('Données projet'!$B$15,Paramètres!$A$1:$I$89,3,0)*VLOOKUP('Données projet'!$B$15,Paramètres!$A$1:$I$89,5,0)</f>
        <v>3.2501144000000002</v>
      </c>
      <c r="EL4" s="13">
        <f>EXP(-1.0587+0.8836*LN(EK4)+0.284)</f>
        <v>1.3057670644435437</v>
      </c>
      <c r="EM4" s="20">
        <f t="shared" ref="EM4:EM67" si="19">(EK4+EL4)*0.475*44/12</f>
        <v>7.9348268839058393</v>
      </c>
      <c r="EN4" s="59">
        <f t="shared" ref="EN4:EN67" si="20">EM4+(EE4+EF4)*44/12</f>
        <v>265.82371577279469</v>
      </c>
      <c r="EO4" s="59">
        <f ca="1">AVERAGE(OFFSET($EN$3,0,0,'Données projet'!$E$15+1,1))-AVERAGE(OFFSET($H$3,0,0,'Données projet'!$E$15+1,1))</f>
        <v>510.71380643466227</v>
      </c>
      <c r="EP4" s="59">
        <f>$EP$3</f>
        <v>252.40654099948841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3.15468085106383</v>
      </c>
      <c r="N5" s="13">
        <f>IF('Données projet'!$A$36&gt;35,N4+M5-V4,IF(A5&lt;'Données projet'!$A$36,$K$205^A5,IF(A5='Données projet'!$A$36,'Données projet'!$B$36,N4+M5-V4)))</f>
        <v>6.30936170212766</v>
      </c>
      <c r="O5" s="13">
        <f>N5*VLOOKUP('Données projet'!$B$9,Paramètres!$A$1:$I$89,3,0)*VLOOKUP('Données projet'!$B$9,Paramètres!$A$1:$I$89,5,0)</f>
        <v>6.3976927659574478</v>
      </c>
      <c r="P5" s="13">
        <f t="shared" ref="P5:P68" si="33">EXP(-1.0587+0.8836*LN(O5)+0.284)</f>
        <v>2.3754961106214831</v>
      </c>
      <c r="Q5" s="20">
        <f t="shared" si="2"/>
        <v>15.279970626708305</v>
      </c>
      <c r="R5" s="59">
        <f t="shared" si="0"/>
        <v>274.39108173781943</v>
      </c>
      <c r="S5" s="59">
        <f ca="1">AVERAGE(OFFSET($R$3,0,0,'Données projet'!$E$9+1,1))-AVERAGE(OFFSET($H$3,0,0,'Données projet'!$E$9+1,1))</f>
        <v>543.67050511722618</v>
      </c>
      <c r="T5" s="59">
        <f t="shared" ref="T5:T68" si="34">$T$3</f>
        <v>249.0871389941106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4.0942857142857143</v>
      </c>
      <c r="AI5" s="13">
        <f>IF('Données projet'!$A$62&gt;35,AI4+AH5-AQ4,IF(A5&lt;'Données projet'!$A$62,$AF$205^A5,IF(A5='Données projet'!$A$62,'Données projet'!$B$62,AI4+AH5-AQ4)))</f>
        <v>8.1885714285714286</v>
      </c>
      <c r="AJ5" s="13">
        <f>AI5*VLOOKUP('Données projet'!$B$10,Paramètres!$A$1:$I$89,3,0)*VLOOKUP('Données projet'!$B$10,Paramètres!$A$1:$I$89,5,0)</f>
        <v>7.4090194285714279</v>
      </c>
      <c r="AK5" s="13">
        <f t="shared" ref="AK5:AK68" si="35">EXP(-1.0587+0.8836*LN(AJ5)+0.284)</f>
        <v>2.7044107221075859</v>
      </c>
      <c r="AL5" s="20">
        <f t="shared" si="4"/>
        <v>17.614224179099281</v>
      </c>
      <c r="AM5" s="59">
        <f t="shared" si="5"/>
        <v>276.72533529021041</v>
      </c>
      <c r="AN5" s="59">
        <f ca="1">AVERAGE(OFFSET($AM$3,0,0,'Données projet'!$E$10+1,1))-AVERAGE(OFFSET($H$3,0,0,'Données projet'!$E$10+1,1))</f>
        <v>635.71275911100679</v>
      </c>
      <c r="AO5" s="59">
        <f t="shared" ref="AO5:AO68" si="36">$AO$3</f>
        <v>281.7776857269169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2.7884615384615379</v>
      </c>
      <c r="BD5" s="12">
        <f>IF('Données projet'!$A$88&gt;35,BD4+BC5-BL4,IF(A5&lt;'Données projet'!$A$88,$BA$205^A5,IF(A5='Données projet'!$A$88,'Données projet'!$B$88,BD4+BC5-BL4)))</f>
        <v>1.4949940542423363</v>
      </c>
      <c r="BE5" s="13">
        <f>BD5*VLOOKUP('Données projet'!$B$11,Paramètres!$A$1:$I$89,3,0)*VLOOKUP('Données projet'!$B$11,Paramètres!$A$1:$I$89,5,0)</f>
        <v>1.3060268057861053</v>
      </c>
      <c r="BF5" s="13">
        <f t="shared" ref="BF5:BF68" si="37">EXP(-1.0587+0.8836*LN(BE5)+0.284)</f>
        <v>0.58345495478858944</v>
      </c>
      <c r="BG5" s="20">
        <f t="shared" si="7"/>
        <v>3.2908473996675931</v>
      </c>
      <c r="BH5" s="59">
        <f t="shared" si="8"/>
        <v>262.40195851077874</v>
      </c>
      <c r="BI5" s="59">
        <f ca="1">AVERAGE(OFFSET($BH$3,0,0,'Données projet'!$E$11+1,1))-AVERAGE(OFFSET($H$3,0,0,'Données projet'!$E$11+1,1))</f>
        <v>204.11804238362862</v>
      </c>
      <c r="BJ5" s="59">
        <f t="shared" ref="BJ5:BJ68" si="38">$BJ$3</f>
        <v>185.53854651509408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3.15468085106383</v>
      </c>
      <c r="BY5" s="12">
        <f>IF('Données projet'!$A$114&gt;35,BY4+BX5-CG4,IF(A5&lt;'Données projet'!$A$114,$BV$205^A5,IF(A5='Données projet'!$A$114,'Données projet'!$B$114,BY4+BX5-CG4)))</f>
        <v>6.30936170212766</v>
      </c>
      <c r="BZ5" s="13">
        <f>BY5*VLOOKUP('Données projet'!$B$12,Paramètres!$A$1:$I$89,3,0)*VLOOKUP('Données projet'!$B$12,Paramètres!$A$1:$I$89,5,0)</f>
        <v>6.2992667234042559</v>
      </c>
      <c r="CA5" s="13">
        <f t="shared" ref="CA5:CA68" si="39">EXP(-1.0587+0.8836*LN(BZ5)+0.284)</f>
        <v>2.3431749011832674</v>
      </c>
      <c r="CB5" s="20">
        <f t="shared" si="10"/>
        <v>15.052252496156603</v>
      </c>
      <c r="CC5" s="59">
        <f t="shared" si="11"/>
        <v>274.16336360726774</v>
      </c>
      <c r="CD5" s="59">
        <f ca="1">AVERAGE(OFFSET($CC$3,0,0,'Données projet'!$E$12+1,1))-AVERAGE(OFFSET($H$3,0,0,'Données projet'!$E$12+1,1))</f>
        <v>535.99935263833549</v>
      </c>
      <c r="CE5" s="59">
        <f t="shared" ref="CE5:CE68" si="40">$CE$3</f>
        <v>245.89966477332644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4.016578947368421</v>
      </c>
      <c r="CT5" s="12">
        <f>IF('Données projet'!$A$140&gt;35,CT4+CS5-DB4,IF(A5&lt;'Données projet'!$A$140,$CQ$205^A5,IF(A5='Données projet'!$A$140,'Données projet'!$B$140,CT4+CS5-DB4)))</f>
        <v>8.0331578947368421</v>
      </c>
      <c r="CU5" s="17">
        <f>CT5*VLOOKUP('Données projet'!$B$13,Paramètres!$A$1:$I$89,3,0)*VLOOKUP('Données projet'!$B$13,Paramètres!$A$1:$I$89,5,0)</f>
        <v>7.6443530526315788</v>
      </c>
      <c r="CV5" s="13">
        <f t="shared" ref="CV5:CV68" si="41">EXP(-1.0587+0.8836*LN(CU5)+0.284)</f>
        <v>2.7801737582204993</v>
      </c>
      <c r="CW5" s="20">
        <f t="shared" si="13"/>
        <v>18.156050862234036</v>
      </c>
      <c r="CX5" s="59">
        <f t="shared" si="14"/>
        <v>277.2671619733452</v>
      </c>
      <c r="CY5" s="59">
        <f ca="1">AVERAGE(OFFSET($CX$3,0,0,'Données projet'!$E$13+1,1))-AVERAGE(OFFSET($H$3,0,0,'Données projet'!$E$13+1,1))</f>
        <v>449.28947235329758</v>
      </c>
      <c r="CZ5" s="59">
        <f t="shared" ref="CZ5:CZ68" si="42">$CZ$3</f>
        <v>289.36994109443964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2.6666666666666665</v>
      </c>
      <c r="DO5" s="12">
        <f>IF('Données projet'!$A$166&gt;35,DO4+DN5-DW4,IF(A5&lt;'Données projet'!$A$166,$DL$205^A5,IF(A5='Données projet'!$A$166,'Données projet'!$B$166,DO4+DN5-DW4)))</f>
        <v>1.6353397711850939</v>
      </c>
      <c r="DP5" s="17">
        <f>DO5*VLOOKUP('Données projet'!$B$14,Paramètres!$A$1:$I$89,3,0)*VLOOKUP('Données projet'!$B$14,Paramètres!$A$1:$I$89,5,0)</f>
        <v>1.2755650215243732</v>
      </c>
      <c r="DQ5" s="13">
        <f t="shared" ref="DQ5:DQ68" si="43">EXP(-1.0587+0.8836*LN(DP5)+0.284)</f>
        <v>0.57141400910743001</v>
      </c>
      <c r="DR5" s="20">
        <f t="shared" si="16"/>
        <v>3.2168218116837237</v>
      </c>
      <c r="DS5" s="59">
        <f t="shared" si="17"/>
        <v>262.32793292279484</v>
      </c>
      <c r="DT5" s="59">
        <f ca="1">AVERAGE(OFFSET($DS$3,0,0,'Données projet'!$E$14+1,1))-AVERAGE(OFFSET($H$3,0,0,'Données projet'!$E$14+1,1))</f>
        <v>288.82868507674738</v>
      </c>
      <c r="DU5" s="59">
        <f t="shared" ref="DU5:DU68" si="44">$DU$3</f>
        <v>283.48738729114024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3.3603333333333336</v>
      </c>
      <c r="EJ5" s="12">
        <f>IF('Données projet'!$A$192&gt;35,EJ4+EI5-ER4,IF(A5&lt;'Données projet'!$A$192,$EG$205^A5,IF(A5='Données projet'!$A$192,'Données projet'!$B$192,EJ4+EI5-ER4)))</f>
        <v>6.7206666666666672</v>
      </c>
      <c r="EK5" s="17">
        <f>EJ5*VLOOKUP('Données projet'!$B$15,Paramètres!$A$1:$I$89,3,0)*VLOOKUP('Données projet'!$B$15,Paramètres!$A$1:$I$89,5,0)</f>
        <v>6.5002288000000004</v>
      </c>
      <c r="EL5" s="13">
        <f t="shared" ref="EL5:EL68" si="45">EXP(-1.0587+0.8836*LN(EK5)+0.284)</f>
        <v>2.4091054732676334</v>
      </c>
      <c r="EM5" s="20">
        <f t="shared" si="19"/>
        <v>15.517090525941128</v>
      </c>
      <c r="EN5" s="59">
        <f t="shared" si="20"/>
        <v>274.62820163705226</v>
      </c>
      <c r="EO5" s="59">
        <f ca="1">AVERAGE(OFFSET($EN$3,0,0,'Données projet'!$E$15+1,1))-AVERAGE(OFFSET($H$3,0,0,'Données projet'!$E$15+1,1))</f>
        <v>510.71380643466227</v>
      </c>
      <c r="EP5" s="59">
        <f t="shared" ref="EP5:EP68" si="46">$EP$3</f>
        <v>252.40654099948841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3.15468085106383</v>
      </c>
      <c r="N6" s="13">
        <f>IF('Données projet'!$A$36&gt;35,N5+M6-V5,IF(A6&lt;'Données projet'!$A$36,$K$205^A6,IF(A6='Données projet'!$A$36,'Données projet'!$B$36,N5+M6-V5)))</f>
        <v>9.46404255319149</v>
      </c>
      <c r="O6" s="13">
        <f>N6*VLOOKUP('Données projet'!$B$9,Paramètres!$A$1:$I$89,3,0)*VLOOKUP('Données projet'!$B$9,Paramètres!$A$1:$I$89,5,0)</f>
        <v>9.5965391489361718</v>
      </c>
      <c r="P6" s="13">
        <f t="shared" si="33"/>
        <v>3.3989796168207422</v>
      </c>
      <c r="Q6" s="20">
        <f t="shared" si="2"/>
        <v>22.63386185035996</v>
      </c>
      <c r="R6" s="59">
        <f t="shared" si="0"/>
        <v>282.96719518369326</v>
      </c>
      <c r="S6" s="59">
        <f ca="1">AVERAGE(OFFSET($R$3,0,0,'Données projet'!$E$9+1,1))-AVERAGE(OFFSET($H$3,0,0,'Données projet'!$E$9+1,1))</f>
        <v>543.67050511722618</v>
      </c>
      <c r="T6" s="59">
        <f t="shared" si="34"/>
        <v>249.0871389941106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4.0942857142857143</v>
      </c>
      <c r="AI6" s="13">
        <f>IF('Données projet'!$A$62&gt;35,AI5+AH6-AQ5,IF(A6&lt;'Données projet'!$A$62,$AF$205^A6,IF(A6='Données projet'!$A$62,'Données projet'!$B$62,AI5+AH6-AQ5)))</f>
        <v>12.282857142857143</v>
      </c>
      <c r="AJ6" s="13">
        <f>AI6*VLOOKUP('Données projet'!$B$10,Paramètres!$A$1:$I$89,3,0)*VLOOKUP('Données projet'!$B$10,Paramètres!$A$1:$I$89,5,0)</f>
        <v>11.113529142857143</v>
      </c>
      <c r="AK6" s="13">
        <f t="shared" si="35"/>
        <v>3.8696072280877138</v>
      </c>
      <c r="AL6" s="20">
        <f t="shared" si="4"/>
        <v>26.095629179395626</v>
      </c>
      <c r="AM6" s="59">
        <f t="shared" si="5"/>
        <v>286.42896251272896</v>
      </c>
      <c r="AN6" s="59">
        <f ca="1">AVERAGE(OFFSET($AM$3,0,0,'Données projet'!$E$10+1,1))-AVERAGE(OFFSET($H$3,0,0,'Données projet'!$E$10+1,1))</f>
        <v>635.71275911100679</v>
      </c>
      <c r="AO6" s="59">
        <f t="shared" si="36"/>
        <v>281.7776857269169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2.7884615384615379</v>
      </c>
      <c r="BD6" s="12">
        <f>IF('Données projet'!$A$88&gt;35,BD5+BC6-BL5,IF(A6&lt;'Données projet'!$A$88,$BA$205^A6,IF(A6='Données projet'!$A$88,'Données projet'!$B$88,BD5+BC6-BL5)))</f>
        <v>1.8279284746421254</v>
      </c>
      <c r="BE6" s="13">
        <f>BD6*VLOOKUP('Données projet'!$B$11,Paramètres!$A$1:$I$89,3,0)*VLOOKUP('Données projet'!$B$11,Paramètres!$A$1:$I$89,5,0)</f>
        <v>1.5968783154473611</v>
      </c>
      <c r="BF6" s="13">
        <f t="shared" si="37"/>
        <v>0.69688809920670447</v>
      </c>
      <c r="BG6" s="20">
        <f t="shared" si="7"/>
        <v>3.9949765055224975</v>
      </c>
      <c r="BH6" s="59">
        <f t="shared" si="8"/>
        <v>264.32830983885583</v>
      </c>
      <c r="BI6" s="59">
        <f ca="1">AVERAGE(OFFSET($BH$3,0,0,'Données projet'!$E$11+1,1))-AVERAGE(OFFSET($H$3,0,0,'Données projet'!$E$11+1,1))</f>
        <v>204.11804238362862</v>
      </c>
      <c r="BJ6" s="59">
        <f t="shared" si="38"/>
        <v>185.53854651509408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3.15468085106383</v>
      </c>
      <c r="BY6" s="12">
        <f>IF('Données projet'!$A$114&gt;35,BY5+BX6-CG5,IF(A6&lt;'Données projet'!$A$114,$BV$205^A6,IF(A6='Données projet'!$A$114,'Données projet'!$B$114,BY5+BX6-CG5)))</f>
        <v>9.46404255319149</v>
      </c>
      <c r="BZ6" s="13">
        <f>BY6*VLOOKUP('Données projet'!$B$12,Paramètres!$A$1:$I$89,3,0)*VLOOKUP('Données projet'!$B$12,Paramètres!$A$1:$I$89,5,0)</f>
        <v>9.4489000851063842</v>
      </c>
      <c r="CA6" s="13">
        <f t="shared" si="39"/>
        <v>3.3527328005955841</v>
      </c>
      <c r="CB6" s="20">
        <f t="shared" si="10"/>
        <v>22.29617727593093</v>
      </c>
      <c r="CC6" s="59">
        <f t="shared" si="11"/>
        <v>282.62951060926423</v>
      </c>
      <c r="CD6" s="59">
        <f ca="1">AVERAGE(OFFSET($CC$3,0,0,'Données projet'!$E$12+1,1))-AVERAGE(OFFSET($H$3,0,0,'Données projet'!$E$12+1,1))</f>
        <v>535.99935263833549</v>
      </c>
      <c r="CE6" s="59">
        <f t="shared" si="40"/>
        <v>245.89966477332644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4.016578947368421</v>
      </c>
      <c r="CT6" s="12">
        <f>IF('Données projet'!$A$140&gt;35,CT5+CS6-DB5,IF(A6&lt;'Données projet'!$A$140,$CQ$205^A6,IF(A6='Données projet'!$A$140,'Données projet'!$B$140,CT5+CS6-DB5)))</f>
        <v>12.049736842105263</v>
      </c>
      <c r="CU6" s="17">
        <f>CT6*VLOOKUP('Données projet'!$B$13,Paramètres!$A$1:$I$89,3,0)*VLOOKUP('Données projet'!$B$13,Paramètres!$A$1:$I$89,5,0)</f>
        <v>11.466529578947368</v>
      </c>
      <c r="CV6" s="13">
        <f t="shared" si="41"/>
        <v>3.9780128004247182</v>
      </c>
      <c r="CW6" s="20">
        <f t="shared" si="13"/>
        <v>26.89924464407305</v>
      </c>
      <c r="CX6" s="59">
        <f t="shared" si="14"/>
        <v>287.23257797740638</v>
      </c>
      <c r="CY6" s="59">
        <f ca="1">AVERAGE(OFFSET($CX$3,0,0,'Données projet'!$E$13+1,1))-AVERAGE(OFFSET($H$3,0,0,'Données projet'!$E$13+1,1))</f>
        <v>449.28947235329758</v>
      </c>
      <c r="CZ6" s="59">
        <f t="shared" si="42"/>
        <v>289.36994109443964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2.6666666666666665</v>
      </c>
      <c r="DO6" s="12">
        <f>IF('Données projet'!$A$166&gt;35,DO5+DN6-DW5,IF(A6&lt;'Données projet'!$A$166,$DL$205^A6,IF(A6='Données projet'!$A$166,'Données projet'!$B$166,DO5+DN6-DW5)))</f>
        <v>2.0912791051825459</v>
      </c>
      <c r="DP6" s="17">
        <f>DO6*VLOOKUP('Données projet'!$B$14,Paramètres!$A$1:$I$89,3,0)*VLOOKUP('Données projet'!$B$14,Paramètres!$A$1:$I$89,5,0)</f>
        <v>1.6311977020423858</v>
      </c>
      <c r="DQ6" s="13">
        <f t="shared" si="43"/>
        <v>0.71010553443370616</v>
      </c>
      <c r="DR6" s="20">
        <f t="shared" si="16"/>
        <v>4.0777698035291934</v>
      </c>
      <c r="DS6" s="59">
        <f t="shared" si="17"/>
        <v>264.41110313686249</v>
      </c>
      <c r="DT6" s="59">
        <f ca="1">AVERAGE(OFFSET($DS$3,0,0,'Données projet'!$E$14+1,1))-AVERAGE(OFFSET($H$3,0,0,'Données projet'!$E$14+1,1))</f>
        <v>288.82868507674738</v>
      </c>
      <c r="DU6" s="59">
        <f t="shared" si="44"/>
        <v>283.48738729114024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3.3603333333333336</v>
      </c>
      <c r="EJ6" s="12">
        <f>IF('Données projet'!$A$192&gt;35,EJ5+EI6-ER5,IF(A6&lt;'Données projet'!$A$192,$EG$205^A6,IF(A6='Données projet'!$A$192,'Données projet'!$B$192,EJ5+EI6-ER5)))</f>
        <v>10.081000000000001</v>
      </c>
      <c r="EK6" s="17">
        <f>EJ6*VLOOKUP('Données projet'!$B$15,Paramètres!$A$1:$I$89,3,0)*VLOOKUP('Données projet'!$B$15,Paramètres!$A$1:$I$89,5,0)</f>
        <v>9.7503432000000014</v>
      </c>
      <c r="EL6" s="13">
        <f t="shared" si="45"/>
        <v>3.447069587609501</v>
      </c>
      <c r="EM6" s="20">
        <f t="shared" si="19"/>
        <v>22.985493938419882</v>
      </c>
      <c r="EN6" s="59">
        <f t="shared" si="20"/>
        <v>283.31882727175321</v>
      </c>
      <c r="EO6" s="59">
        <f ca="1">AVERAGE(OFFSET($EN$3,0,0,'Données projet'!$E$15+1,1))-AVERAGE(OFFSET($H$3,0,0,'Données projet'!$E$15+1,1))</f>
        <v>510.71380643466227</v>
      </c>
      <c r="EP6" s="59">
        <f t="shared" si="46"/>
        <v>252.40654099948841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3.15468085106383</v>
      </c>
      <c r="N7" s="13">
        <f>IF('Données projet'!$A$36&gt;35,N6+M7-V6,IF(A7&lt;'Données projet'!$A$36,$K$205^A7,IF(A7='Données projet'!$A$36,'Données projet'!$B$36,N6+M7-V6)))</f>
        <v>12.61872340425532</v>
      </c>
      <c r="O7" s="13">
        <f>N7*VLOOKUP('Données projet'!$B$9,Paramètres!$A$1:$I$89,3,0)*VLOOKUP('Données projet'!$B$9,Paramètres!$A$1:$I$89,5,0)</f>
        <v>12.795385531914896</v>
      </c>
      <c r="P7" s="13">
        <f t="shared" si="33"/>
        <v>4.3827270863681846</v>
      </c>
      <c r="Q7" s="20">
        <f t="shared" si="2"/>
        <v>29.918546143509698</v>
      </c>
      <c r="R7" s="59">
        <f t="shared" si="0"/>
        <v>291.47410169906522</v>
      </c>
      <c r="S7" s="59">
        <f ca="1">AVERAGE(OFFSET($R$3,0,0,'Données projet'!$E$9+1,1))-AVERAGE(OFFSET($H$3,0,0,'Données projet'!$E$9+1,1))</f>
        <v>543.67050511722618</v>
      </c>
      <c r="T7" s="59">
        <f t="shared" si="34"/>
        <v>249.0871389941106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4.0942857142857143</v>
      </c>
      <c r="AI7" s="13">
        <f>IF('Données projet'!$A$62&gt;35,AI6+AH7-AQ6,IF(A7&lt;'Données projet'!$A$62,$AF$205^A7,IF(A7='Données projet'!$A$62,'Données projet'!$B$62,AI6+AH7-AQ6)))</f>
        <v>16.377142857142857</v>
      </c>
      <c r="AJ7" s="13">
        <f>AI7*VLOOKUP('Données projet'!$B$10,Paramètres!$A$1:$I$89,3,0)*VLOOKUP('Données projet'!$B$10,Paramètres!$A$1:$I$89,5,0)</f>
        <v>14.818038857142856</v>
      </c>
      <c r="AK7" s="13">
        <f t="shared" si="35"/>
        <v>4.9895657885731195</v>
      </c>
      <c r="AL7" s="20">
        <f t="shared" si="4"/>
        <v>34.49824475795532</v>
      </c>
      <c r="AM7" s="59">
        <f t="shared" si="5"/>
        <v>296.05380031351086</v>
      </c>
      <c r="AN7" s="59">
        <f ca="1">AVERAGE(OFFSET($AM$3,0,0,'Données projet'!$E$10+1,1))-AVERAGE(OFFSET($H$3,0,0,'Données projet'!$E$10+1,1))</f>
        <v>635.71275911100679</v>
      </c>
      <c r="AO7" s="59">
        <f t="shared" si="36"/>
        <v>281.7776857269169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2.7884615384615379</v>
      </c>
      <c r="BD7" s="12">
        <f>IF('Données projet'!$A$88&gt;35,BD6+BC7-BL6,IF(A7&lt;'Données projet'!$A$88,$BA$205^A7,IF(A7='Données projet'!$A$88,'Données projet'!$B$88,BD6+BC7-BL6)))</f>
        <v>2.2350072222199375</v>
      </c>
      <c r="BE7" s="13">
        <f>BD7*VLOOKUP('Données projet'!$B$11,Paramètres!$A$1:$I$89,3,0)*VLOOKUP('Données projet'!$B$11,Paramètres!$A$1:$I$89,5,0)</f>
        <v>1.9525023093313376</v>
      </c>
      <c r="BF7" s="13">
        <f t="shared" si="37"/>
        <v>0.83237449408910458</v>
      </c>
      <c r="BG7" s="20">
        <f t="shared" si="7"/>
        <v>4.8503270992906033</v>
      </c>
      <c r="BH7" s="59">
        <f t="shared" si="8"/>
        <v>266.40588265484615</v>
      </c>
      <c r="BI7" s="59">
        <f ca="1">AVERAGE(OFFSET($BH$3,0,0,'Données projet'!$E$11+1,1))-AVERAGE(OFFSET($H$3,0,0,'Données projet'!$E$11+1,1))</f>
        <v>204.11804238362862</v>
      </c>
      <c r="BJ7" s="59">
        <f t="shared" si="38"/>
        <v>185.53854651509408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3.15468085106383</v>
      </c>
      <c r="BY7" s="12">
        <f>IF('Données projet'!$A$114&gt;35,BY6+BX7-CG6,IF(A7&lt;'Données projet'!$A$114,$BV$205^A7,IF(A7='Données projet'!$A$114,'Données projet'!$B$114,BY6+BX7-CG6)))</f>
        <v>12.61872340425532</v>
      </c>
      <c r="BZ7" s="13">
        <f>BY7*VLOOKUP('Données projet'!$B$12,Paramètres!$A$1:$I$89,3,0)*VLOOKUP('Données projet'!$B$12,Paramètres!$A$1:$I$89,5,0)</f>
        <v>12.598533446808512</v>
      </c>
      <c r="CA7" s="13">
        <f t="shared" si="39"/>
        <v>4.3230953153727842</v>
      </c>
      <c r="CB7" s="20">
        <f t="shared" si="10"/>
        <v>29.471836760799089</v>
      </c>
      <c r="CC7" s="59">
        <f t="shared" si="11"/>
        <v>291.02739231635462</v>
      </c>
      <c r="CD7" s="59">
        <f ca="1">AVERAGE(OFFSET($CC$3,0,0,'Données projet'!$E$12+1,1))-AVERAGE(OFFSET($H$3,0,0,'Données projet'!$E$12+1,1))</f>
        <v>535.99935263833549</v>
      </c>
      <c r="CE7" s="59">
        <f t="shared" si="40"/>
        <v>245.89966477332644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4.016578947368421</v>
      </c>
      <c r="CT7" s="12">
        <f>IF('Données projet'!$A$140&gt;35,CT6+CS7-DB6,IF(A7&lt;'Données projet'!$A$140,$CQ$205^A7,IF(A7='Données projet'!$A$140,'Données projet'!$B$140,CT6+CS7-DB6)))</f>
        <v>16.066315789473684</v>
      </c>
      <c r="CU7" s="17">
        <f>CT7*VLOOKUP('Données projet'!$B$13,Paramètres!$A$1:$I$89,3,0)*VLOOKUP('Données projet'!$B$13,Paramètres!$A$1:$I$89,5,0)</f>
        <v>15.288706105263158</v>
      </c>
      <c r="CV7" s="13">
        <f t="shared" si="41"/>
        <v>5.1293465733249333</v>
      </c>
      <c r="CW7" s="20">
        <f t="shared" si="13"/>
        <v>35.561441748540922</v>
      </c>
      <c r="CX7" s="59">
        <f t="shared" si="14"/>
        <v>297.11699730409646</v>
      </c>
      <c r="CY7" s="59">
        <f ca="1">AVERAGE(OFFSET($CX$3,0,0,'Données projet'!$E$13+1,1))-AVERAGE(OFFSET($H$3,0,0,'Données projet'!$E$13+1,1))</f>
        <v>449.28947235329758</v>
      </c>
      <c r="CZ7" s="59">
        <f t="shared" si="42"/>
        <v>289.36994109443964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2.6666666666666665</v>
      </c>
      <c r="DO7" s="12">
        <f>IF('Données projet'!$A$166&gt;35,DO6+DN7-DW6,IF(A7&lt;'Données projet'!$A$166,$DL$205^A7,IF(A7='Données projet'!$A$166,'Données projet'!$B$166,DO6+DN7-DW6)))</f>
        <v>2.6743361672197152</v>
      </c>
      <c r="DP7" s="17">
        <f>DO7*VLOOKUP('Données projet'!$B$14,Paramètres!$A$1:$I$89,3,0)*VLOOKUP('Données projet'!$B$14,Paramètres!$A$1:$I$89,5,0)</f>
        <v>2.0859822104313781</v>
      </c>
      <c r="DQ7" s="13">
        <f t="shared" si="43"/>
        <v>0.88245976121767966</v>
      </c>
      <c r="DR7" s="20">
        <f t="shared" si="16"/>
        <v>5.1700364339554419</v>
      </c>
      <c r="DS7" s="59">
        <f t="shared" si="17"/>
        <v>266.72559198951097</v>
      </c>
      <c r="DT7" s="59">
        <f ca="1">AVERAGE(OFFSET($DS$3,0,0,'Données projet'!$E$14+1,1))-AVERAGE(OFFSET($H$3,0,0,'Données projet'!$E$14+1,1))</f>
        <v>288.82868507674738</v>
      </c>
      <c r="DU7" s="59">
        <f t="shared" si="44"/>
        <v>283.48738729114024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3.3603333333333336</v>
      </c>
      <c r="EJ7" s="12">
        <f>IF('Données projet'!$A$192&gt;35,EJ6+EI7-ER6,IF(A7&lt;'Données projet'!$A$192,$EG$205^A7,IF(A7='Données projet'!$A$192,'Données projet'!$B$192,EJ6+EI7-ER6)))</f>
        <v>13.441333333333334</v>
      </c>
      <c r="EK7" s="17">
        <f>EJ7*VLOOKUP('Données projet'!$B$15,Paramètres!$A$1:$I$89,3,0)*VLOOKUP('Données projet'!$B$15,Paramètres!$A$1:$I$89,5,0)</f>
        <v>13.000457600000001</v>
      </c>
      <c r="EL7" s="13">
        <f t="shared" si="45"/>
        <v>4.4447354657404903</v>
      </c>
      <c r="EM7" s="20">
        <f t="shared" si="19"/>
        <v>30.383711256164688</v>
      </c>
      <c r="EN7" s="59">
        <f t="shared" si="20"/>
        <v>291.93926681172024</v>
      </c>
      <c r="EO7" s="59">
        <f ca="1">AVERAGE(OFFSET($EN$3,0,0,'Données projet'!$E$15+1,1))-AVERAGE(OFFSET($H$3,0,0,'Données projet'!$E$15+1,1))</f>
        <v>510.71380643466227</v>
      </c>
      <c r="EP7" s="59">
        <f t="shared" si="46"/>
        <v>252.40654099948841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3.15468085106383</v>
      </c>
      <c r="N8" s="13">
        <f>IF('Données projet'!$A$36&gt;35,N7+M8-V7,IF(A8&lt;'Données projet'!$A$36,$K$205^A8,IF(A8='Données projet'!$A$36,'Données projet'!$B$36,N7+M8-V7)))</f>
        <v>15.77340425531915</v>
      </c>
      <c r="O8" s="13">
        <f>N8*VLOOKUP('Données projet'!$B$9,Paramètres!$A$1:$I$89,3,0)*VLOOKUP('Données projet'!$B$9,Paramètres!$A$1:$I$89,5,0)</f>
        <v>15.994231914893618</v>
      </c>
      <c r="P8" s="13">
        <f t="shared" si="33"/>
        <v>5.3379452540559473</v>
      </c>
      <c r="Q8" s="20">
        <f t="shared" si="2"/>
        <v>37.153541902587151</v>
      </c>
      <c r="R8" s="59">
        <f t="shared" si="0"/>
        <v>299.93131968036494</v>
      </c>
      <c r="S8" s="59">
        <f ca="1">AVERAGE(OFFSET($R$3,0,0,'Données projet'!$E$9+1,1))-AVERAGE(OFFSET($H$3,0,0,'Données projet'!$E$9+1,1))</f>
        <v>543.67050511722618</v>
      </c>
      <c r="T8" s="59">
        <f t="shared" si="34"/>
        <v>249.0871389941106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4.0942857142857143</v>
      </c>
      <c r="AI8" s="13">
        <f>IF('Données projet'!$A$62&gt;35,AI7+AH8-AQ7,IF(A8&lt;'Données projet'!$A$62,$AF$205^A8,IF(A8='Données projet'!$A$62,'Données projet'!$B$62,AI7+AH8-AQ7)))</f>
        <v>20.471428571428572</v>
      </c>
      <c r="AJ8" s="13">
        <f>AI8*VLOOKUP('Données projet'!$B$10,Paramètres!$A$1:$I$89,3,0)*VLOOKUP('Données projet'!$B$10,Paramètres!$A$1:$I$89,5,0)</f>
        <v>18.522548571428572</v>
      </c>
      <c r="AK8" s="13">
        <f t="shared" si="35"/>
        <v>6.0770448389896208</v>
      </c>
      <c r="AL8" s="20">
        <f t="shared" si="4"/>
        <v>42.84429185647835</v>
      </c>
      <c r="AM8" s="59">
        <f t="shared" si="5"/>
        <v>305.62206963425615</v>
      </c>
      <c r="AN8" s="59">
        <f ca="1">AVERAGE(OFFSET($AM$3,0,0,'Données projet'!$E$10+1,1))-AVERAGE(OFFSET($H$3,0,0,'Données projet'!$E$10+1,1))</f>
        <v>635.71275911100679</v>
      </c>
      <c r="AO8" s="59">
        <f t="shared" si="36"/>
        <v>281.7776857269169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2.7884615384615379</v>
      </c>
      <c r="BD8" s="12">
        <f>IF('Données projet'!$A$88&gt;35,BD7+BC8-BL7,IF(A8&lt;'Données projet'!$A$88,$BA$205^A8,IF(A8='Données projet'!$A$88,'Données projet'!$B$88,BD7+BC8-BL7)))</f>
        <v>2.7327422011702405</v>
      </c>
      <c r="BE8" s="13">
        <f>BD8*VLOOKUP('Données projet'!$B$11,Paramètres!$A$1:$I$89,3,0)*VLOOKUP('Données projet'!$B$11,Paramètres!$A$1:$I$89,5,0)</f>
        <v>2.3873235869423222</v>
      </c>
      <c r="BF8" s="13">
        <f t="shared" si="37"/>
        <v>0.9942016504497474</v>
      </c>
      <c r="BG8" s="20">
        <f t="shared" si="7"/>
        <v>5.8894897884578539</v>
      </c>
      <c r="BH8" s="59">
        <f t="shared" si="8"/>
        <v>268.66726756623564</v>
      </c>
      <c r="BI8" s="59">
        <f ca="1">AVERAGE(OFFSET($BH$3,0,0,'Données projet'!$E$11+1,1))-AVERAGE(OFFSET($H$3,0,0,'Données projet'!$E$11+1,1))</f>
        <v>204.11804238362862</v>
      </c>
      <c r="BJ8" s="59">
        <f t="shared" si="38"/>
        <v>185.53854651509408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3.15468085106383</v>
      </c>
      <c r="BY8" s="12">
        <f>IF('Données projet'!$A$114&gt;35,BY7+BX8-CG7,IF(A8&lt;'Données projet'!$A$114,$BV$205^A8,IF(A8='Données projet'!$A$114,'Données projet'!$B$114,BY7+BX8-CG7)))</f>
        <v>15.77340425531915</v>
      </c>
      <c r="BZ8" s="13">
        <f>BY8*VLOOKUP('Données projet'!$B$12,Paramètres!$A$1:$I$89,3,0)*VLOOKUP('Données projet'!$B$12,Paramètres!$A$1:$I$89,5,0)</f>
        <v>15.748166808510641</v>
      </c>
      <c r="CA8" s="13">
        <f t="shared" si="39"/>
        <v>5.2653167004857471</v>
      </c>
      <c r="CB8" s="20">
        <f t="shared" si="10"/>
        <v>36.598483778168706</v>
      </c>
      <c r="CC8" s="59">
        <f t="shared" si="11"/>
        <v>299.37626155594648</v>
      </c>
      <c r="CD8" s="59">
        <f ca="1">AVERAGE(OFFSET($CC$3,0,0,'Données projet'!$E$12+1,1))-AVERAGE(OFFSET($H$3,0,0,'Données projet'!$E$12+1,1))</f>
        <v>535.99935263833549</v>
      </c>
      <c r="CE8" s="59">
        <f t="shared" si="40"/>
        <v>245.89966477332644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4.016578947368421</v>
      </c>
      <c r="CT8" s="12">
        <f>IF('Données projet'!$A$140&gt;35,CT7+CS8-DB7,IF(A8&lt;'Données projet'!$A$140,$CQ$205^A8,IF(A8='Données projet'!$A$140,'Données projet'!$B$140,CT7+CS8-DB7)))</f>
        <v>20.082894736842107</v>
      </c>
      <c r="CU8" s="17">
        <f>CT8*VLOOKUP('Données projet'!$B$13,Paramètres!$A$1:$I$89,3,0)*VLOOKUP('Données projet'!$B$13,Paramètres!$A$1:$I$89,5,0)</f>
        <v>19.110882631578949</v>
      </c>
      <c r="CV8" s="13">
        <f t="shared" si="41"/>
        <v>6.2472909350549983</v>
      </c>
      <c r="CW8" s="20">
        <f t="shared" si="13"/>
        <v>44.16548562855413</v>
      </c>
      <c r="CX8" s="59">
        <f t="shared" si="14"/>
        <v>306.94326340633188</v>
      </c>
      <c r="CY8" s="59">
        <f ca="1">AVERAGE(OFFSET($CX$3,0,0,'Données projet'!$E$13+1,1))-AVERAGE(OFFSET($H$3,0,0,'Données projet'!$E$13+1,1))</f>
        <v>449.28947235329758</v>
      </c>
      <c r="CZ8" s="59">
        <f t="shared" si="42"/>
        <v>289.36994109443964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2.6666666666666665</v>
      </c>
      <c r="DO8" s="12">
        <f>IF('Données projet'!$A$166&gt;35,DO7+DN8-DW7,IF(A8&lt;'Données projet'!$A$166,$DL$205^A8,IF(A8='Données projet'!$A$166,'Données projet'!$B$166,DO7+DN8-DW7)))</f>
        <v>3.4199518933533928</v>
      </c>
      <c r="DP8" s="17">
        <f>DO8*VLOOKUP('Données projet'!$B$14,Paramètres!$A$1:$I$89,3,0)*VLOOKUP('Données projet'!$B$14,Paramètres!$A$1:$I$89,5,0)</f>
        <v>2.6675624768156463</v>
      </c>
      <c r="DQ8" s="13">
        <f t="shared" si="43"/>
        <v>1.0966471776471767</v>
      </c>
      <c r="DR8" s="20">
        <f t="shared" si="16"/>
        <v>6.5559984815227494</v>
      </c>
      <c r="DS8" s="59">
        <f t="shared" si="17"/>
        <v>269.33377625930052</v>
      </c>
      <c r="DT8" s="59">
        <f ca="1">AVERAGE(OFFSET($DS$3,0,0,'Données projet'!$E$14+1,1))-AVERAGE(OFFSET($H$3,0,0,'Données projet'!$E$14+1,1))</f>
        <v>288.82868507674738</v>
      </c>
      <c r="DU8" s="59">
        <f t="shared" si="44"/>
        <v>283.48738729114024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3.3603333333333336</v>
      </c>
      <c r="EJ8" s="12">
        <f>IF('Données projet'!$A$192&gt;35,EJ7+EI8-ER7,IF(A8&lt;'Données projet'!$A$192,$EG$205^A8,IF(A8='Données projet'!$A$192,'Données projet'!$B$192,EJ7+EI8-ER7)))</f>
        <v>16.801666666666669</v>
      </c>
      <c r="EK8" s="17">
        <f>EJ8*VLOOKUP('Données projet'!$B$15,Paramètres!$A$1:$I$89,3,0)*VLOOKUP('Données projet'!$B$15,Paramètres!$A$1:$I$89,5,0)</f>
        <v>16.250572000000002</v>
      </c>
      <c r="EL8" s="13">
        <f t="shared" si="45"/>
        <v>5.4134683993167183</v>
      </c>
      <c r="EM8" s="20">
        <f t="shared" si="19"/>
        <v>37.731537028809953</v>
      </c>
      <c r="EN8" s="59">
        <f t="shared" si="20"/>
        <v>300.50931480658772</v>
      </c>
      <c r="EO8" s="59">
        <f ca="1">AVERAGE(OFFSET($EN$3,0,0,'Données projet'!$E$15+1,1))-AVERAGE(OFFSET($H$3,0,0,'Données projet'!$E$15+1,1))</f>
        <v>510.71380643466227</v>
      </c>
      <c r="EP8" s="59">
        <f t="shared" si="46"/>
        <v>252.40654099948841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3.15468085106383</v>
      </c>
      <c r="N9" s="13">
        <f>IF('Données projet'!$A$36&gt;35,N8+M9-V8,IF(A9&lt;'Données projet'!$A$36,$K$205^A9,IF(A9='Données projet'!$A$36,'Données projet'!$B$36,N8+M9-V8)))</f>
        <v>18.92808510638298</v>
      </c>
      <c r="O9" s="13">
        <f>N9*VLOOKUP('Données projet'!$B$9,Paramètres!$A$1:$I$89,3,0)*VLOOKUP('Données projet'!$B$9,Paramètres!$A$1:$I$89,5,0)</f>
        <v>19.193078297872344</v>
      </c>
      <c r="P9" s="13">
        <f t="shared" si="33"/>
        <v>6.2710269093037061</v>
      </c>
      <c r="Q9" s="20">
        <f t="shared" si="2"/>
        <v>44.349983235831616</v>
      </c>
      <c r="R9" s="59">
        <f t="shared" si="0"/>
        <v>308.34998323583159</v>
      </c>
      <c r="S9" s="59">
        <f ca="1">AVERAGE(OFFSET($R$3,0,0,'Données projet'!$E$9+1,1))-AVERAGE(OFFSET($H$3,0,0,'Données projet'!$E$9+1,1))</f>
        <v>543.67050511722618</v>
      </c>
      <c r="T9" s="59">
        <f t="shared" si="34"/>
        <v>249.0871389941106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4.0942857142857143</v>
      </c>
      <c r="AI9" s="13">
        <f>IF('Données projet'!$A$62&gt;35,AI8+AH9-AQ8,IF(A9&lt;'Données projet'!$A$62,$AF$205^A9,IF(A9='Données projet'!$A$62,'Données projet'!$B$62,AI8+AH9-AQ8)))</f>
        <v>24.565714285714286</v>
      </c>
      <c r="AJ9" s="13">
        <f>AI9*VLOOKUP('Données projet'!$B$10,Paramètres!$A$1:$I$89,3,0)*VLOOKUP('Données projet'!$B$10,Paramètres!$A$1:$I$89,5,0)</f>
        <v>22.227058285714286</v>
      </c>
      <c r="AK9" s="13">
        <f t="shared" si="35"/>
        <v>7.1393223235836674</v>
      </c>
      <c r="AL9" s="20">
        <f t="shared" si="4"/>
        <v>51.146446227860601</v>
      </c>
      <c r="AM9" s="59">
        <f t="shared" si="5"/>
        <v>315.14644622786062</v>
      </c>
      <c r="AN9" s="59">
        <f ca="1">AVERAGE(OFFSET($AM$3,0,0,'Données projet'!$E$10+1,1))-AVERAGE(OFFSET($H$3,0,0,'Données projet'!$E$10+1,1))</f>
        <v>635.71275911100679</v>
      </c>
      <c r="AO9" s="59">
        <f t="shared" si="36"/>
        <v>281.7776857269169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2.7884615384615379</v>
      </c>
      <c r="BD9" s="12">
        <f>IF('Données projet'!$A$88&gt;35,BD8+BC9-BL8,IF(A9&lt;'Données projet'!$A$88,$BA$205^A9,IF(A9='Données projet'!$A$88,'Données projet'!$B$88,BD8+BC9-BL8)))</f>
        <v>3.3413225084074867</v>
      </c>
      <c r="BE9" s="13">
        <f>BD9*VLOOKUP('Données projet'!$B$11,Paramètres!$A$1:$I$89,3,0)*VLOOKUP('Données projet'!$B$11,Paramètres!$A$1:$I$89,5,0)</f>
        <v>2.9189793433447808</v>
      </c>
      <c r="BF9" s="13">
        <f t="shared" si="37"/>
        <v>1.1874906412631991</v>
      </c>
      <c r="BG9" s="20">
        <f t="shared" si="7"/>
        <v>7.1521018898588977</v>
      </c>
      <c r="BH9" s="59">
        <f t="shared" si="8"/>
        <v>271.1521018898589</v>
      </c>
      <c r="BI9" s="59">
        <f ca="1">AVERAGE(OFFSET($BH$3,0,0,'Données projet'!$E$11+1,1))-AVERAGE(OFFSET($H$3,0,0,'Données projet'!$E$11+1,1))</f>
        <v>204.11804238362862</v>
      </c>
      <c r="BJ9" s="59">
        <f t="shared" si="38"/>
        <v>185.53854651509408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3.15468085106383</v>
      </c>
      <c r="BY9" s="12">
        <f>IF('Données projet'!$A$114&gt;35,BY8+BX9-CG8,IF(A9&lt;'Données projet'!$A$114,$BV$205^A9,IF(A9='Données projet'!$A$114,'Données projet'!$B$114,BY8+BX9-CG8)))</f>
        <v>18.92808510638298</v>
      </c>
      <c r="BZ9" s="13">
        <f>BY9*VLOOKUP('Données projet'!$B$12,Paramètres!$A$1:$I$89,3,0)*VLOOKUP('Données projet'!$B$12,Paramètres!$A$1:$I$89,5,0)</f>
        <v>18.897800170212768</v>
      </c>
      <c r="CA9" s="13">
        <f t="shared" si="39"/>
        <v>6.1857027644979024</v>
      </c>
      <c r="CB9" s="20">
        <f t="shared" si="10"/>
        <v>43.687100944621086</v>
      </c>
      <c r="CC9" s="59">
        <f t="shared" si="11"/>
        <v>307.68710094462108</v>
      </c>
      <c r="CD9" s="59">
        <f ca="1">AVERAGE(OFFSET($CC$3,0,0,'Données projet'!$E$12+1,1))-AVERAGE(OFFSET($H$3,0,0,'Données projet'!$E$12+1,1))</f>
        <v>535.99935263833549</v>
      </c>
      <c r="CE9" s="59">
        <f t="shared" si="40"/>
        <v>245.89966477332644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4.016578947368421</v>
      </c>
      <c r="CT9" s="12">
        <f>IF('Données projet'!$A$140&gt;35,CT8+CS9-DB8,IF(A9&lt;'Données projet'!$A$140,$CQ$205^A9,IF(A9='Données projet'!$A$140,'Données projet'!$B$140,CT8+CS9-DB8)))</f>
        <v>24.09947368421053</v>
      </c>
      <c r="CU9" s="17">
        <f>CT9*VLOOKUP('Données projet'!$B$13,Paramètres!$A$1:$I$89,3,0)*VLOOKUP('Données projet'!$B$13,Paramètres!$A$1:$I$89,5,0)</f>
        <v>22.933059157894743</v>
      </c>
      <c r="CV9" s="13">
        <f t="shared" si="41"/>
        <v>7.3393277186968353</v>
      </c>
      <c r="CW9" s="20">
        <f t="shared" si="13"/>
        <v>52.724407143396995</v>
      </c>
      <c r="CX9" s="59">
        <f t="shared" si="14"/>
        <v>316.724407143397</v>
      </c>
      <c r="CY9" s="59">
        <f ca="1">AVERAGE(OFFSET($CX$3,0,0,'Données projet'!$E$13+1,1))-AVERAGE(OFFSET($H$3,0,0,'Données projet'!$E$13+1,1))</f>
        <v>449.28947235329758</v>
      </c>
      <c r="CZ9" s="59">
        <f t="shared" si="42"/>
        <v>289.36994109443964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2.6666666666666665</v>
      </c>
      <c r="DO9" s="12">
        <f>IF('Données projet'!$A$166&gt;35,DO8+DN9-DW8,IF(A9&lt;'Données projet'!$A$166,$DL$205^A9,IF(A9='Données projet'!$A$166,'Données projet'!$B$166,DO8+DN9-DW8)))</f>
        <v>4.3734482957731098</v>
      </c>
      <c r="DP9" s="17">
        <f>DO9*VLOOKUP('Données projet'!$B$14,Paramètres!$A$1:$I$89,3,0)*VLOOKUP('Données projet'!$B$14,Paramètres!$A$1:$I$89,5,0)</f>
        <v>3.4112896707030256</v>
      </c>
      <c r="DQ9" s="13">
        <f t="shared" si="43"/>
        <v>1.3628213830192535</v>
      </c>
      <c r="DR9" s="20">
        <f t="shared" si="16"/>
        <v>8.3149100852329703</v>
      </c>
      <c r="DS9" s="59">
        <f t="shared" si="17"/>
        <v>272.31491008523295</v>
      </c>
      <c r="DT9" s="59">
        <f ca="1">AVERAGE(OFFSET($DS$3,0,0,'Données projet'!$E$14+1,1))-AVERAGE(OFFSET($H$3,0,0,'Données projet'!$E$14+1,1))</f>
        <v>288.82868507674738</v>
      </c>
      <c r="DU9" s="59">
        <f t="shared" si="44"/>
        <v>283.48738729114024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3.3603333333333336</v>
      </c>
      <c r="EJ9" s="12">
        <f>IF('Données projet'!$A$192&gt;35,EJ8+EI9-ER8,IF(A9&lt;'Données projet'!$A$192,$EG$205^A9,IF(A9='Données projet'!$A$192,'Données projet'!$B$192,EJ8+EI9-ER8)))</f>
        <v>20.162000000000003</v>
      </c>
      <c r="EK9" s="17">
        <f>EJ9*VLOOKUP('Données projet'!$B$15,Paramètres!$A$1:$I$89,3,0)*VLOOKUP('Données projet'!$B$15,Paramètres!$A$1:$I$89,5,0)</f>
        <v>19.500686400000003</v>
      </c>
      <c r="EL9" s="13">
        <f t="shared" si="45"/>
        <v>6.3597516252130122</v>
      </c>
      <c r="EM9" s="20">
        <f t="shared" si="19"/>
        <v>45.040262893912661</v>
      </c>
      <c r="EN9" s="59">
        <f t="shared" si="20"/>
        <v>309.04026289391265</v>
      </c>
      <c r="EO9" s="59">
        <f ca="1">AVERAGE(OFFSET($EN$3,0,0,'Données projet'!$E$15+1,1))-AVERAGE(OFFSET($H$3,0,0,'Données projet'!$E$15+1,1))</f>
        <v>510.71380643466227</v>
      </c>
      <c r="EP9" s="59">
        <f t="shared" si="46"/>
        <v>252.40654099948841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3.15468085106383</v>
      </c>
      <c r="N10" s="13">
        <f>IF('Données projet'!$A$36&gt;35,N9+M10-V9,IF(A10&lt;'Données projet'!$A$36,$K$205^A10,IF(A10='Données projet'!$A$36,'Données projet'!$B$36,N9+M10-V9)))</f>
        <v>22.08276595744681</v>
      </c>
      <c r="O10" s="13">
        <f>N10*VLOOKUP('Données projet'!$B$9,Paramètres!$A$1:$I$89,3,0)*VLOOKUP('Données projet'!$B$9,Paramètres!$A$1:$I$89,5,0)</f>
        <v>22.391924680851069</v>
      </c>
      <c r="P10" s="13">
        <f t="shared" si="33"/>
        <v>7.1860932362695262</v>
      </c>
      <c r="Q10" s="20">
        <f t="shared" si="2"/>
        <v>51.51504787231837</v>
      </c>
      <c r="R10" s="59">
        <f t="shared" si="0"/>
        <v>316.73727009454058</v>
      </c>
      <c r="S10" s="59">
        <f ca="1">AVERAGE(OFFSET($R$3,0,0,'Données projet'!$E$9+1,1))-AVERAGE(OFFSET($H$3,0,0,'Données projet'!$E$9+1,1))</f>
        <v>543.67050511722618</v>
      </c>
      <c r="T10" s="59">
        <f t="shared" si="34"/>
        <v>249.0871389941106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4.0942857142857143</v>
      </c>
      <c r="AI10" s="13">
        <f>IF('Données projet'!$A$62&gt;35,AI9+AH10-AQ9,IF(A10&lt;'Données projet'!$A$62,$AF$205^A10,IF(A10='Données projet'!$A$62,'Données projet'!$B$62,AI9+AH10-AQ9)))</f>
        <v>28.66</v>
      </c>
      <c r="AJ10" s="13">
        <f>AI10*VLOOKUP('Données projet'!$B$10,Paramètres!$A$1:$I$89,3,0)*VLOOKUP('Données projet'!$B$10,Paramètres!$A$1:$I$89,5,0)</f>
        <v>25.931567999999999</v>
      </c>
      <c r="AK10" s="13">
        <f t="shared" si="35"/>
        <v>8.1810900516051337</v>
      </c>
      <c r="AL10" s="20">
        <f t="shared" si="4"/>
        <v>59.412879439878935</v>
      </c>
      <c r="AM10" s="59">
        <f t="shared" si="5"/>
        <v>324.63510166210119</v>
      </c>
      <c r="AN10" s="59">
        <f ca="1">AVERAGE(OFFSET($AM$3,0,0,'Données projet'!$E$10+1,1))-AVERAGE(OFFSET($H$3,0,0,'Données projet'!$E$10+1,1))</f>
        <v>635.71275911100679</v>
      </c>
      <c r="AO10" s="59">
        <f t="shared" si="36"/>
        <v>281.7776857269169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2.7884615384615379</v>
      </c>
      <c r="BD10" s="12">
        <f>IF('Données projet'!$A$88&gt;35,BD9+BC10-BL9,IF(A10&lt;'Données projet'!$A$88,$BA$205^A10,IF(A10='Données projet'!$A$88,'Données projet'!$B$88,BD9+BC10-BL9)))</f>
        <v>4.085433342526624</v>
      </c>
      <c r="BE10" s="13">
        <f>BD10*VLOOKUP('Données projet'!$B$11,Paramètres!$A$1:$I$89,3,0)*VLOOKUP('Données projet'!$B$11,Paramètres!$A$1:$I$89,5,0)</f>
        <v>3.5690345680312596</v>
      </c>
      <c r="BF10" s="13">
        <f t="shared" si="37"/>
        <v>1.4183581594838242</v>
      </c>
      <c r="BG10" s="20">
        <f t="shared" si="7"/>
        <v>8.68637566708877</v>
      </c>
      <c r="BH10" s="59">
        <f t="shared" si="8"/>
        <v>273.90859788931101</v>
      </c>
      <c r="BI10" s="59">
        <f ca="1">AVERAGE(OFFSET($BH$3,0,0,'Données projet'!$E$11+1,1))-AVERAGE(OFFSET($H$3,0,0,'Données projet'!$E$11+1,1))</f>
        <v>204.11804238362862</v>
      </c>
      <c r="BJ10" s="59">
        <f t="shared" si="38"/>
        <v>185.53854651509408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3.15468085106383</v>
      </c>
      <c r="BY10" s="12">
        <f>IF('Données projet'!$A$114&gt;35,BY9+BX10-CG9,IF(A10&lt;'Données projet'!$A$114,$BV$205^A10,IF(A10='Données projet'!$A$114,'Données projet'!$B$114,BY9+BX10-CG9)))</f>
        <v>22.08276595744681</v>
      </c>
      <c r="BZ10" s="13">
        <f>BY10*VLOOKUP('Données projet'!$B$12,Paramètres!$A$1:$I$89,3,0)*VLOOKUP('Données projet'!$B$12,Paramètres!$A$1:$I$89,5,0)</f>
        <v>22.047433531914894</v>
      </c>
      <c r="CA10" s="13">
        <f t="shared" si="39"/>
        <v>7.0883186183724476</v>
      </c>
      <c r="CB10" s="20">
        <f t="shared" si="10"/>
        <v>50.744768328417116</v>
      </c>
      <c r="CC10" s="59">
        <f t="shared" si="11"/>
        <v>315.96699055063937</v>
      </c>
      <c r="CD10" s="59">
        <f ca="1">AVERAGE(OFFSET($CC$3,0,0,'Données projet'!$E$12+1,1))-AVERAGE(OFFSET($H$3,0,0,'Données projet'!$E$12+1,1))</f>
        <v>535.99935263833549</v>
      </c>
      <c r="CE10" s="59">
        <f t="shared" si="40"/>
        <v>245.89966477332644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4.016578947368421</v>
      </c>
      <c r="CT10" s="12">
        <f>IF('Données projet'!$A$140&gt;35,CT9+CS10-DB9,IF(A10&lt;'Données projet'!$A$140,$CQ$205^A10,IF(A10='Données projet'!$A$140,'Données projet'!$B$140,CT9+CS10-DB9)))</f>
        <v>28.116052631578953</v>
      </c>
      <c r="CU10" s="17">
        <f>CT10*VLOOKUP('Données projet'!$B$13,Paramètres!$A$1:$I$89,3,0)*VLOOKUP('Données projet'!$B$13,Paramètres!$A$1:$I$89,5,0)</f>
        <v>26.755235684210533</v>
      </c>
      <c r="CV10" s="13">
        <f t="shared" si="41"/>
        <v>8.4102801727490544</v>
      </c>
      <c r="CW10" s="20">
        <f t="shared" si="13"/>
        <v>61.246606784204609</v>
      </c>
      <c r="CX10" s="59">
        <f t="shared" si="14"/>
        <v>326.46882900642686</v>
      </c>
      <c r="CY10" s="59">
        <f ca="1">AVERAGE(OFFSET($CX$3,0,0,'Données projet'!$E$13+1,1))-AVERAGE(OFFSET($H$3,0,0,'Données projet'!$E$13+1,1))</f>
        <v>449.28947235329758</v>
      </c>
      <c r="CZ10" s="59">
        <f t="shared" si="42"/>
        <v>289.36994109443964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2.6666666666666665</v>
      </c>
      <c r="DO10" s="12">
        <f>IF('Données projet'!$A$166&gt;35,DO9+DN10-DW9,IF(A10&lt;'Données projet'!$A$166,$DL$205^A10,IF(A10='Données projet'!$A$166,'Données projet'!$B$166,DO9+DN10-DW9)))</f>
        <v>5.5927833467405659</v>
      </c>
      <c r="DP10" s="17">
        <f>DO10*VLOOKUP('Données projet'!$B$14,Paramètres!$A$1:$I$89,3,0)*VLOOKUP('Données projet'!$B$14,Paramètres!$A$1:$I$89,5,0)</f>
        <v>4.3623710104576414</v>
      </c>
      <c r="DQ10" s="13">
        <f t="shared" si="43"/>
        <v>1.6936004212396314</v>
      </c>
      <c r="DR10" s="20">
        <f t="shared" si="16"/>
        <v>10.54748357687275</v>
      </c>
      <c r="DS10" s="59">
        <f t="shared" si="17"/>
        <v>275.76970579909499</v>
      </c>
      <c r="DT10" s="59">
        <f ca="1">AVERAGE(OFFSET($DS$3,0,0,'Données projet'!$E$14+1,1))-AVERAGE(OFFSET($H$3,0,0,'Données projet'!$E$14+1,1))</f>
        <v>288.82868507674738</v>
      </c>
      <c r="DU10" s="59">
        <f t="shared" si="44"/>
        <v>283.48738729114024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3.3603333333333336</v>
      </c>
      <c r="EJ10" s="12">
        <f>IF('Données projet'!$A$192&gt;35,EJ9+EI10-ER9,IF(A10&lt;'Données projet'!$A$192,$EG$205^A10,IF(A10='Données projet'!$A$192,'Données projet'!$B$192,EJ9+EI10-ER9)))</f>
        <v>23.522333333333336</v>
      </c>
      <c r="EK10" s="17">
        <f>EJ10*VLOOKUP('Données projet'!$B$15,Paramètres!$A$1:$I$89,3,0)*VLOOKUP('Données projet'!$B$15,Paramètres!$A$1:$I$89,5,0)</f>
        <v>22.750800800000004</v>
      </c>
      <c r="EL10" s="13">
        <f t="shared" si="45"/>
        <v>7.2877646355645735</v>
      </c>
      <c r="EM10" s="20">
        <f t="shared" si="19"/>
        <v>52.317168133608305</v>
      </c>
      <c r="EN10" s="59">
        <f t="shared" si="20"/>
        <v>317.53939035583051</v>
      </c>
      <c r="EO10" s="59">
        <f ca="1">AVERAGE(OFFSET($EN$3,0,0,'Données projet'!$E$15+1,1))-AVERAGE(OFFSET($H$3,0,0,'Données projet'!$E$15+1,1))</f>
        <v>510.71380643466227</v>
      </c>
      <c r="EP10" s="59">
        <f t="shared" si="46"/>
        <v>252.40654099948841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3.15468085106383</v>
      </c>
      <c r="N11" s="13">
        <f>IF('Données projet'!$A$36&gt;35,N10+M11-V10,IF(A11&lt;'Données projet'!$A$36,$K$205^A11,IF(A11='Données projet'!$A$36,'Données projet'!$B$36,N10+M11-V10)))</f>
        <v>25.23744680851064</v>
      </c>
      <c r="O11" s="13">
        <f>N11*VLOOKUP('Données projet'!$B$9,Paramètres!$A$1:$I$89,3,0)*VLOOKUP('Données projet'!$B$9,Paramètres!$A$1:$I$89,5,0)</f>
        <v>25.590771063829791</v>
      </c>
      <c r="P11" s="13">
        <f t="shared" si="33"/>
        <v>8.0860148024237475</v>
      </c>
      <c r="Q11" s="20">
        <f t="shared" si="2"/>
        <v>58.653735383724914</v>
      </c>
      <c r="R11" s="59">
        <f t="shared" si="0"/>
        <v>325.09817982816935</v>
      </c>
      <c r="S11" s="59">
        <f ca="1">AVERAGE(OFFSET($R$3,0,0,'Données projet'!$E$9+1,1))-AVERAGE(OFFSET($H$3,0,0,'Données projet'!$E$9+1,1))</f>
        <v>543.67050511722618</v>
      </c>
      <c r="T11" s="59">
        <f t="shared" si="34"/>
        <v>249.0871389941106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4.0942857142857143</v>
      </c>
      <c r="AI11" s="13">
        <f>IF('Données projet'!$A$62&gt;35,AI10+AH11-AQ10,IF(A11&lt;'Données projet'!$A$62,$AF$205^A11,IF(A11='Données projet'!$A$62,'Données projet'!$B$62,AI10+AH11-AQ10)))</f>
        <v>32.754285714285714</v>
      </c>
      <c r="AJ11" s="13">
        <f>AI11*VLOOKUP('Données projet'!$B$10,Paramètres!$A$1:$I$89,3,0)*VLOOKUP('Données projet'!$B$10,Paramètres!$A$1:$I$89,5,0)</f>
        <v>29.636077714285712</v>
      </c>
      <c r="AK11" s="13">
        <f t="shared" si="35"/>
        <v>9.205616053429063</v>
      </c>
      <c r="AL11" s="20">
        <f t="shared" si="4"/>
        <v>67.649283312103222</v>
      </c>
      <c r="AM11" s="59">
        <f t="shared" si="5"/>
        <v>334.09372775654765</v>
      </c>
      <c r="AN11" s="59">
        <f ca="1">AVERAGE(OFFSET($AM$3,0,0,'Données projet'!$E$10+1,1))-AVERAGE(OFFSET($H$3,0,0,'Données projet'!$E$10+1,1))</f>
        <v>635.71275911100679</v>
      </c>
      <c r="AO11" s="59">
        <f t="shared" si="36"/>
        <v>281.7776857269169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2.7884615384615379</v>
      </c>
      <c r="BD11" s="12">
        <f>IF('Données projet'!$A$88&gt;35,BD10+BC11-BL10,IF(A11&lt;'Données projet'!$A$88,$BA$205^A11,IF(A11='Données projet'!$A$88,'Données projet'!$B$88,BD10+BC11-BL10)))</f>
        <v>4.9952572833752811</v>
      </c>
      <c r="BE11" s="13">
        <f>BD11*VLOOKUP('Données projet'!$B$11,Paramètres!$A$1:$I$89,3,0)*VLOOKUP('Données projet'!$B$11,Paramètres!$A$1:$I$89,5,0)</f>
        <v>4.3638567627566465</v>
      </c>
      <c r="BF11" s="13">
        <f t="shared" si="37"/>
        <v>1.6941100827829194</v>
      </c>
      <c r="BG11" s="20">
        <f t="shared" si="7"/>
        <v>10.550958922648077</v>
      </c>
      <c r="BH11" s="59">
        <f t="shared" si="8"/>
        <v>276.99540336709254</v>
      </c>
      <c r="BI11" s="59">
        <f ca="1">AVERAGE(OFFSET($BH$3,0,0,'Données projet'!$E$11+1,1))-AVERAGE(OFFSET($H$3,0,0,'Données projet'!$E$11+1,1))</f>
        <v>204.11804238362862</v>
      </c>
      <c r="BJ11" s="59">
        <f t="shared" si="38"/>
        <v>185.53854651509408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3.15468085106383</v>
      </c>
      <c r="BY11" s="12">
        <f>IF('Données projet'!$A$114&gt;35,BY10+BX11-CG10,IF(A11&lt;'Données projet'!$A$114,$BV$205^A11,IF(A11='Données projet'!$A$114,'Données projet'!$B$114,BY10+BX11-CG10)))</f>
        <v>25.23744680851064</v>
      </c>
      <c r="BZ11" s="13">
        <f>BY11*VLOOKUP('Données projet'!$B$12,Paramètres!$A$1:$I$89,3,0)*VLOOKUP('Données projet'!$B$12,Paramètres!$A$1:$I$89,5,0)</f>
        <v>25.197066893617023</v>
      </c>
      <c r="CA11" s="13">
        <f t="shared" si="39"/>
        <v>7.9759957723857342</v>
      </c>
      <c r="CB11" s="20">
        <f t="shared" si="10"/>
        <v>57.776417476621468</v>
      </c>
      <c r="CC11" s="59">
        <f t="shared" si="11"/>
        <v>324.22086192106593</v>
      </c>
      <c r="CD11" s="59">
        <f ca="1">AVERAGE(OFFSET($CC$3,0,0,'Données projet'!$E$12+1,1))-AVERAGE(OFFSET($H$3,0,0,'Données projet'!$E$12+1,1))</f>
        <v>535.99935263833549</v>
      </c>
      <c r="CE11" s="59">
        <f t="shared" si="40"/>
        <v>245.89966477332644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4.016578947368421</v>
      </c>
      <c r="CT11" s="12">
        <f>IF('Données projet'!$A$140&gt;35,CT10+CS11-DB10,IF(A11&lt;'Données projet'!$A$140,$CQ$205^A11,IF(A11='Données projet'!$A$140,'Données projet'!$B$140,CT10+CS11-DB10)))</f>
        <v>32.132631578947375</v>
      </c>
      <c r="CU11" s="17">
        <f>CT11*VLOOKUP('Données projet'!$B$13,Paramètres!$A$1:$I$89,3,0)*VLOOKUP('Données projet'!$B$13,Paramètres!$A$1:$I$89,5,0)</f>
        <v>30.577412210526322</v>
      </c>
      <c r="CV11" s="13">
        <f t="shared" si="41"/>
        <v>9.4635078802126973</v>
      </c>
      <c r="CW11" s="20">
        <f t="shared" si="13"/>
        <v>69.737935824703797</v>
      </c>
      <c r="CX11" s="59">
        <f t="shared" si="14"/>
        <v>336.18238026914827</v>
      </c>
      <c r="CY11" s="59">
        <f ca="1">AVERAGE(OFFSET($CX$3,0,0,'Données projet'!$E$13+1,1))-AVERAGE(OFFSET($H$3,0,0,'Données projet'!$E$13+1,1))</f>
        <v>449.28947235329758</v>
      </c>
      <c r="CZ11" s="59">
        <f t="shared" si="42"/>
        <v>289.36994109443964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2.6666666666666665</v>
      </c>
      <c r="DO11" s="12">
        <f>IF('Données projet'!$A$166&gt;35,DO10+DN11-DW10,IF(A11&lt;'Données projet'!$A$166,$DL$205^A11,IF(A11='Données projet'!$A$166,'Données projet'!$B$166,DO10+DN11-DW10)))</f>
        <v>7.1520739352994367</v>
      </c>
      <c r="DP11" s="17">
        <f>DO11*VLOOKUP('Données projet'!$B$14,Paramètres!$A$1:$I$89,3,0)*VLOOKUP('Données projet'!$B$14,Paramètres!$A$1:$I$89,5,0)</f>
        <v>5.5786176695335605</v>
      </c>
      <c r="DQ11" s="13">
        <f t="shared" si="43"/>
        <v>2.1046649418345189</v>
      </c>
      <c r="DR11" s="20">
        <f t="shared" si="16"/>
        <v>13.381717214799407</v>
      </c>
      <c r="DS11" s="59">
        <f t="shared" si="17"/>
        <v>279.82616165924384</v>
      </c>
      <c r="DT11" s="59">
        <f ca="1">AVERAGE(OFFSET($DS$3,0,0,'Données projet'!$E$14+1,1))-AVERAGE(OFFSET($H$3,0,0,'Données projet'!$E$14+1,1))</f>
        <v>288.82868507674738</v>
      </c>
      <c r="DU11" s="59">
        <f t="shared" si="44"/>
        <v>283.48738729114024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3.3603333333333336</v>
      </c>
      <c r="EJ11" s="12">
        <f>IF('Données projet'!$A$192&gt;35,EJ10+EI11-ER10,IF(A11&lt;'Données projet'!$A$192,$EG$205^A11,IF(A11='Données projet'!$A$192,'Données projet'!$B$192,EJ10+EI11-ER10)))</f>
        <v>26.882666666666669</v>
      </c>
      <c r="EK11" s="17">
        <f>EJ11*VLOOKUP('Données projet'!$B$15,Paramètres!$A$1:$I$89,3,0)*VLOOKUP('Données projet'!$B$15,Paramètres!$A$1:$I$89,5,0)</f>
        <v>26.000915200000001</v>
      </c>
      <c r="EL11" s="13">
        <f t="shared" si="45"/>
        <v>8.2004186116498072</v>
      </c>
      <c r="EM11" s="20">
        <f t="shared" si="19"/>
        <v>59.567323055290082</v>
      </c>
      <c r="EN11" s="59">
        <f t="shared" si="20"/>
        <v>326.01176749973456</v>
      </c>
      <c r="EO11" s="59">
        <f ca="1">AVERAGE(OFFSET($EN$3,0,0,'Données projet'!$E$15+1,1))-AVERAGE(OFFSET($H$3,0,0,'Données projet'!$E$15+1,1))</f>
        <v>510.71380643466227</v>
      </c>
      <c r="EP11" s="59">
        <f t="shared" si="46"/>
        <v>252.40654099948841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3.15468085106383</v>
      </c>
      <c r="N12" s="13">
        <f>IF('Données projet'!$A$36&gt;35,N11+M12-V11,IF(A12&lt;'Données projet'!$A$36,$K$205^A12,IF(A12='Données projet'!$A$36,'Données projet'!$B$36,N11+M12-V11)))</f>
        <v>28.39212765957447</v>
      </c>
      <c r="O12" s="13">
        <f>N12*VLOOKUP('Données projet'!$B$9,Paramètres!$A$1:$I$89,3,0)*VLOOKUP('Données projet'!$B$9,Paramètres!$A$1:$I$89,5,0)</f>
        <v>28.789617446808517</v>
      </c>
      <c r="P12" s="13">
        <f t="shared" si="33"/>
        <v>8.9729015113736228</v>
      </c>
      <c r="Q12" s="20">
        <f t="shared" si="2"/>
        <v>65.769720518833893</v>
      </c>
      <c r="R12" s="59">
        <f t="shared" si="0"/>
        <v>333.43638718550056</v>
      </c>
      <c r="S12" s="59">
        <f ca="1">AVERAGE(OFFSET($R$3,0,0,'Données projet'!$E$9+1,1))-AVERAGE(OFFSET($H$3,0,0,'Données projet'!$E$9+1,1))</f>
        <v>543.67050511722618</v>
      </c>
      <c r="T12" s="59">
        <f t="shared" si="34"/>
        <v>249.0871389941106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4.0942857142857143</v>
      </c>
      <c r="AI12" s="13">
        <f>IF('Données projet'!$A$62&gt;35,AI11+AH12-AQ11,IF(A12&lt;'Données projet'!$A$62,$AF$205^A12,IF(A12='Données projet'!$A$62,'Données projet'!$B$62,AI11+AH12-AQ11)))</f>
        <v>36.848571428571432</v>
      </c>
      <c r="AJ12" s="13">
        <f>AI12*VLOOKUP('Données projet'!$B$10,Paramètres!$A$1:$I$89,3,0)*VLOOKUP('Données projet'!$B$10,Paramètres!$A$1:$I$89,5,0)</f>
        <v>33.340587428571432</v>
      </c>
      <c r="AK12" s="13">
        <f t="shared" si="35"/>
        <v>10.215302372953809</v>
      </c>
      <c r="AL12" s="20">
        <f t="shared" si="4"/>
        <v>75.85984140432312</v>
      </c>
      <c r="AM12" s="59">
        <f t="shared" si="5"/>
        <v>343.52650807098979</v>
      </c>
      <c r="AN12" s="59">
        <f ca="1">AVERAGE(OFFSET($AM$3,0,0,'Données projet'!$E$10+1,1))-AVERAGE(OFFSET($H$3,0,0,'Données projet'!$E$10+1,1))</f>
        <v>635.71275911100679</v>
      </c>
      <c r="AO12" s="59">
        <f t="shared" si="36"/>
        <v>281.7776857269169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2.7884615384615379</v>
      </c>
      <c r="BD12" s="12">
        <f>IF('Données projet'!$A$88&gt;35,BD11+BC12-BL11,IF(A12&lt;'Données projet'!$A$88,$BA$205^A12,IF(A12='Données projet'!$A$88,'Données projet'!$B$88,BD11+BC12-BL11)))</f>
        <v>6.1076985560806971</v>
      </c>
      <c r="BE12" s="13">
        <f>BD12*VLOOKUP('Données projet'!$B$11,Paramètres!$A$1:$I$89,3,0)*VLOOKUP('Données projet'!$B$11,Paramètres!$A$1:$I$89,5,0)</f>
        <v>5.3356854585920974</v>
      </c>
      <c r="BF12" s="13">
        <f t="shared" si="37"/>
        <v>2.023472670422835</v>
      </c>
      <c r="BG12" s="20">
        <f t="shared" si="7"/>
        <v>12.81720040803434</v>
      </c>
      <c r="BH12" s="59">
        <f t="shared" si="8"/>
        <v>280.48386707470104</v>
      </c>
      <c r="BI12" s="59">
        <f ca="1">AVERAGE(OFFSET($BH$3,0,0,'Données projet'!$E$11+1,1))-AVERAGE(OFFSET($H$3,0,0,'Données projet'!$E$11+1,1))</f>
        <v>204.11804238362862</v>
      </c>
      <c r="BJ12" s="59">
        <f t="shared" si="38"/>
        <v>185.53854651509408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3.15468085106383</v>
      </c>
      <c r="BY12" s="12">
        <f>IF('Données projet'!$A$114&gt;35,BY11+BX12-CG11,IF(A12&lt;'Données projet'!$A$114,$BV$205^A12,IF(A12='Données projet'!$A$114,'Données projet'!$B$114,BY11+BX12-CG11)))</f>
        <v>28.39212765957447</v>
      </c>
      <c r="BZ12" s="13">
        <f>BY12*VLOOKUP('Données projet'!$B$12,Paramètres!$A$1:$I$89,3,0)*VLOOKUP('Données projet'!$B$12,Paramètres!$A$1:$I$89,5,0)</f>
        <v>28.346700255319156</v>
      </c>
      <c r="CA12" s="13">
        <f t="shared" si="39"/>
        <v>8.8508154226105802</v>
      </c>
      <c r="CB12" s="20">
        <f t="shared" si="10"/>
        <v>64.785673139060947</v>
      </c>
      <c r="CC12" s="59">
        <f t="shared" si="11"/>
        <v>332.45233980572766</v>
      </c>
      <c r="CD12" s="59">
        <f ca="1">AVERAGE(OFFSET($CC$3,0,0,'Données projet'!$E$12+1,1))-AVERAGE(OFFSET($H$3,0,0,'Données projet'!$E$12+1,1))</f>
        <v>535.99935263833549</v>
      </c>
      <c r="CE12" s="59">
        <f t="shared" si="40"/>
        <v>245.89966477332644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4.016578947368421</v>
      </c>
      <c r="CT12" s="12">
        <f>IF('Données projet'!$A$140&gt;35,CT11+CS12-DB11,IF(A12&lt;'Données projet'!$A$140,$CQ$205^A12,IF(A12='Données projet'!$A$140,'Données projet'!$B$140,CT11+CS12-DB11)))</f>
        <v>36.149210526315798</v>
      </c>
      <c r="CU12" s="17">
        <f>CT12*VLOOKUP('Données projet'!$B$13,Paramètres!$A$1:$I$89,3,0)*VLOOKUP('Données projet'!$B$13,Paramètres!$A$1:$I$89,5,0)</f>
        <v>34.399588736842112</v>
      </c>
      <c r="CV12" s="13">
        <f t="shared" si="41"/>
        <v>10.501480177330832</v>
      </c>
      <c r="CW12" s="20">
        <f t="shared" si="13"/>
        <v>78.202695025517883</v>
      </c>
      <c r="CX12" s="59">
        <f t="shared" si="14"/>
        <v>345.86936169218455</v>
      </c>
      <c r="CY12" s="59">
        <f ca="1">AVERAGE(OFFSET($CX$3,0,0,'Données projet'!$E$13+1,1))-AVERAGE(OFFSET($H$3,0,0,'Données projet'!$E$13+1,1))</f>
        <v>449.28947235329758</v>
      </c>
      <c r="CZ12" s="59">
        <f t="shared" si="42"/>
        <v>289.36994109443964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2.6666666666666665</v>
      </c>
      <c r="DO12" s="12">
        <f>IF('Données projet'!$A$166&gt;35,DO11+DN12-DW11,IF(A12&lt;'Données projet'!$A$166,$DL$205^A12,IF(A12='Données projet'!$A$166,'Données projet'!$B$166,DO11+DN12-DW11)))</f>
        <v>9.1461010385465205</v>
      </c>
      <c r="DP12" s="17">
        <f>DO12*VLOOKUP('Données projet'!$B$14,Paramètres!$A$1:$I$89,3,0)*VLOOKUP('Données projet'!$B$14,Paramètres!$A$1:$I$89,5,0)</f>
        <v>7.1339588100662858</v>
      </c>
      <c r="DQ12" s="13">
        <f t="shared" si="43"/>
        <v>2.6155015444227643</v>
      </c>
      <c r="DR12" s="20">
        <f t="shared" si="16"/>
        <v>16.980310117401761</v>
      </c>
      <c r="DS12" s="59">
        <f t="shared" si="17"/>
        <v>284.64697678406844</v>
      </c>
      <c r="DT12" s="59">
        <f ca="1">AVERAGE(OFFSET($DS$3,0,0,'Données projet'!$E$14+1,1))-AVERAGE(OFFSET($H$3,0,0,'Données projet'!$E$14+1,1))</f>
        <v>288.82868507674738</v>
      </c>
      <c r="DU12" s="59">
        <f t="shared" si="44"/>
        <v>283.48738729114024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3.3603333333333336</v>
      </c>
      <c r="EJ12" s="12">
        <f>IF('Données projet'!$A$192&gt;35,EJ11+EI12-ER11,IF(A12&lt;'Données projet'!$A$192,$EG$205^A12,IF(A12='Données projet'!$A$192,'Données projet'!$B$192,EJ11+EI12-ER11)))</f>
        <v>30.243000000000002</v>
      </c>
      <c r="EK12" s="17">
        <f>EJ12*VLOOKUP('Données projet'!$B$15,Paramètres!$A$1:$I$89,3,0)*VLOOKUP('Données projet'!$B$15,Paramètres!$A$1:$I$89,5,0)</f>
        <v>29.251029600000003</v>
      </c>
      <c r="EL12" s="13">
        <f t="shared" si="45"/>
        <v>9.0998533087415616</v>
      </c>
      <c r="EM12" s="20">
        <f t="shared" si="19"/>
        <v>66.794454399391569</v>
      </c>
      <c r="EN12" s="59">
        <f t="shared" si="20"/>
        <v>334.46112106605824</v>
      </c>
      <c r="EO12" s="59">
        <f ca="1">AVERAGE(OFFSET($EN$3,0,0,'Données projet'!$E$15+1,1))-AVERAGE(OFFSET($H$3,0,0,'Données projet'!$E$15+1,1))</f>
        <v>510.71380643466227</v>
      </c>
      <c r="EP12" s="59">
        <f t="shared" si="46"/>
        <v>252.40654099948841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3.15468085106383</v>
      </c>
      <c r="N13" s="13">
        <f>IF('Données projet'!$A$36&gt;35,N12+M13-V12,IF(A13&lt;'Données projet'!$A$36,$K$205^A13,IF(A13='Données projet'!$A$36,'Données projet'!$B$36,N12+M13-V12)))</f>
        <v>31.5468085106383</v>
      </c>
      <c r="O13" s="13">
        <f>N13*VLOOKUP('Données projet'!$B$9,Paramètres!$A$1:$I$89,3,0)*VLOOKUP('Données projet'!$B$9,Paramètres!$A$1:$I$89,5,0)</f>
        <v>31.988463829787236</v>
      </c>
      <c r="P13" s="13">
        <f t="shared" si="33"/>
        <v>9.8483668930869737</v>
      </c>
      <c r="Q13" s="20">
        <f t="shared" si="2"/>
        <v>72.865813509005918</v>
      </c>
      <c r="R13" s="59">
        <f t="shared" si="0"/>
        <v>341.75470239789479</v>
      </c>
      <c r="S13" s="59">
        <f ca="1">AVERAGE(OFFSET($R$3,0,0,'Données projet'!$E$9+1,1))-AVERAGE(OFFSET($H$3,0,0,'Données projet'!$E$9+1,1))</f>
        <v>543.67050511722618</v>
      </c>
      <c r="T13" s="59">
        <f t="shared" si="34"/>
        <v>249.0871389941106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4.0942857142857143</v>
      </c>
      <c r="AI13" s="13">
        <f>IF('Données projet'!$A$62&gt;35,AI12+AH13-AQ12,IF(A13&lt;'Données projet'!$A$62,$AF$205^A13,IF(A13='Données projet'!$A$62,'Données projet'!$B$62,AI12+AH13-AQ12)))</f>
        <v>40.94285714285715</v>
      </c>
      <c r="AJ13" s="13">
        <f>AI13*VLOOKUP('Données projet'!$B$10,Paramètres!$A$1:$I$89,3,0)*VLOOKUP('Données projet'!$B$10,Paramètres!$A$1:$I$89,5,0)</f>
        <v>37.045097142857145</v>
      </c>
      <c r="AK13" s="13">
        <f t="shared" si="35"/>
        <v>11.211985951829543</v>
      </c>
      <c r="AL13" s="20">
        <f t="shared" si="4"/>
        <v>84.04775305657931</v>
      </c>
      <c r="AM13" s="59">
        <f t="shared" si="5"/>
        <v>352.93664194546818</v>
      </c>
      <c r="AN13" s="59">
        <f ca="1">AVERAGE(OFFSET($AM$3,0,0,'Données projet'!$E$10+1,1))-AVERAGE(OFFSET($H$3,0,0,'Données projet'!$E$10+1,1))</f>
        <v>635.71275911100679</v>
      </c>
      <c r="AO13" s="59">
        <f t="shared" si="36"/>
        <v>281.7776857269169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2.7884615384615379</v>
      </c>
      <c r="BD13" s="12">
        <f>IF('Données projet'!$A$88&gt;35,BD12+BC13-BL12,IF(A13&lt;'Données projet'!$A$88,$BA$205^A13,IF(A13='Données projet'!$A$88,'Données projet'!$B$88,BD12+BC13-BL12)))</f>
        <v>7.4678799380567709</v>
      </c>
      <c r="BE13" s="13">
        <f>BD13*VLOOKUP('Données projet'!$B$11,Paramètres!$A$1:$I$89,3,0)*VLOOKUP('Données projet'!$B$11,Paramètres!$A$1:$I$89,5,0)</f>
        <v>6.5239399138863954</v>
      </c>
      <c r="BF13" s="13">
        <f t="shared" si="37"/>
        <v>2.4168687085683169</v>
      </c>
      <c r="BG13" s="20">
        <f t="shared" si="7"/>
        <v>15.57190835077529</v>
      </c>
      <c r="BH13" s="59">
        <f t="shared" si="8"/>
        <v>284.46079723966415</v>
      </c>
      <c r="BI13" s="59">
        <f ca="1">AVERAGE(OFFSET($BH$3,0,0,'Données projet'!$E$11+1,1))-AVERAGE(OFFSET($H$3,0,0,'Données projet'!$E$11+1,1))</f>
        <v>204.11804238362862</v>
      </c>
      <c r="BJ13" s="59">
        <f t="shared" si="38"/>
        <v>185.53854651509408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3.15468085106383</v>
      </c>
      <c r="BY13" s="12">
        <f>IF('Données projet'!$A$114&gt;35,BY12+BX13-CG12,IF(A13&lt;'Données projet'!$A$114,$BV$205^A13,IF(A13='Données projet'!$A$114,'Données projet'!$B$114,BY12+BX13-CG12)))</f>
        <v>31.5468085106383</v>
      </c>
      <c r="BZ13" s="13">
        <f>BY13*VLOOKUP('Données projet'!$B$12,Paramètres!$A$1:$I$89,3,0)*VLOOKUP('Données projet'!$B$12,Paramètres!$A$1:$I$89,5,0)</f>
        <v>31.496333617021282</v>
      </c>
      <c r="CA13" s="13">
        <f t="shared" si="39"/>
        <v>9.7143691451838787</v>
      </c>
      <c r="CB13" s="20">
        <f t="shared" si="10"/>
        <v>71.775307310840645</v>
      </c>
      <c r="CC13" s="59">
        <f t="shared" si="11"/>
        <v>340.66419619972953</v>
      </c>
      <c r="CD13" s="59">
        <f ca="1">AVERAGE(OFFSET($CC$3,0,0,'Données projet'!$E$12+1,1))-AVERAGE(OFFSET($H$3,0,0,'Données projet'!$E$12+1,1))</f>
        <v>535.99935263833549</v>
      </c>
      <c r="CE13" s="59">
        <f t="shared" si="40"/>
        <v>245.89966477332644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4.016578947368421</v>
      </c>
      <c r="CT13" s="12">
        <f>IF('Données projet'!$A$140&gt;35,CT12+CS13-DB12,IF(A13&lt;'Données projet'!$A$140,$CQ$205^A13,IF(A13='Données projet'!$A$140,'Données projet'!$B$140,CT12+CS13-DB12)))</f>
        <v>40.165789473684221</v>
      </c>
      <c r="CU13" s="17">
        <f>CT13*VLOOKUP('Données projet'!$B$13,Paramètres!$A$1:$I$89,3,0)*VLOOKUP('Données projet'!$B$13,Paramètres!$A$1:$I$89,5,0)</f>
        <v>38.221765263157906</v>
      </c>
      <c r="CV13" s="13">
        <f t="shared" si="41"/>
        <v>11.52608546697418</v>
      </c>
      <c r="CW13" s="20">
        <f t="shared" si="13"/>
        <v>86.644173354980055</v>
      </c>
      <c r="CX13" s="59">
        <f t="shared" si="14"/>
        <v>355.53306224386893</v>
      </c>
      <c r="CY13" s="59">
        <f ca="1">AVERAGE(OFFSET($CX$3,0,0,'Données projet'!$E$13+1,1))-AVERAGE(OFFSET($H$3,0,0,'Données projet'!$E$13+1,1))</f>
        <v>449.28947235329758</v>
      </c>
      <c r="CZ13" s="59">
        <f t="shared" si="42"/>
        <v>289.36994109443964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2.6666666666666665</v>
      </c>
      <c r="DO13" s="12">
        <f>IF('Données projet'!$A$166&gt;35,DO12+DN13-DW12,IF(A13&lt;'Données projet'!$A$166,$DL$205^A13,IF(A13='Données projet'!$A$166,'Données projet'!$B$166,DO12+DN13-DW12)))</f>
        <v>11.696070952851455</v>
      </c>
      <c r="DP13" s="17">
        <f>DO13*VLOOKUP('Données projet'!$B$14,Paramètres!$A$1:$I$89,3,0)*VLOOKUP('Données projet'!$B$14,Paramètres!$A$1:$I$89,5,0)</f>
        <v>9.1229353432241354</v>
      </c>
      <c r="DQ13" s="13">
        <f t="shared" si="43"/>
        <v>3.2503265450485803</v>
      </c>
      <c r="DR13" s="20">
        <f t="shared" si="16"/>
        <v>21.550097788741649</v>
      </c>
      <c r="DS13" s="59">
        <f t="shared" si="17"/>
        <v>290.43898667763051</v>
      </c>
      <c r="DT13" s="59">
        <f ca="1">AVERAGE(OFFSET($DS$3,0,0,'Données projet'!$E$14+1,1))-AVERAGE(OFFSET($H$3,0,0,'Données projet'!$E$14+1,1))</f>
        <v>288.82868507674738</v>
      </c>
      <c r="DU13" s="59">
        <f t="shared" si="44"/>
        <v>283.48738729114024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3.3603333333333336</v>
      </c>
      <c r="EJ13" s="12">
        <f>IF('Données projet'!$A$192&gt;35,EJ12+EI13-ER12,IF(A13&lt;'Données projet'!$A$192,$EG$205^A13,IF(A13='Données projet'!$A$192,'Données projet'!$B$192,EJ12+EI13-ER12)))</f>
        <v>33.603333333333339</v>
      </c>
      <c r="EK13" s="17">
        <f>EJ13*VLOOKUP('Données projet'!$B$15,Paramètres!$A$1:$I$89,3,0)*VLOOKUP('Données projet'!$B$15,Paramètres!$A$1:$I$89,5,0)</f>
        <v>32.501144000000004</v>
      </c>
      <c r="EL13" s="13">
        <f t="shared" si="45"/>
        <v>9.9877050856026894</v>
      </c>
      <c r="EM13" s="20">
        <f t="shared" si="19"/>
        <v>74.001412157424696</v>
      </c>
      <c r="EN13" s="59">
        <f t="shared" si="20"/>
        <v>342.89030104631354</v>
      </c>
      <c r="EO13" s="59">
        <f ca="1">AVERAGE(OFFSET($EN$3,0,0,'Données projet'!$E$15+1,1))-AVERAGE(OFFSET($H$3,0,0,'Données projet'!$E$15+1,1))</f>
        <v>510.71380643466227</v>
      </c>
      <c r="EP13" s="59">
        <f t="shared" si="46"/>
        <v>252.40654099948841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3.15468085106383</v>
      </c>
      <c r="N14" s="13">
        <f>IF('Données projet'!$A$36&gt;35,N13+M14-V13,IF(A14&lt;'Données projet'!$A$36,$K$205^A14,IF(A14='Données projet'!$A$36,'Données projet'!$B$36,N13+M14-V13)))</f>
        <v>34.70148936170213</v>
      </c>
      <c r="O14" s="13">
        <f>N14*VLOOKUP('Données projet'!$B$9,Paramètres!$A$1:$I$89,3,0)*VLOOKUP('Données projet'!$B$9,Paramètres!$A$1:$I$89,5,0)</f>
        <v>35.187310212765965</v>
      </c>
      <c r="P14" s="13">
        <f t="shared" si="33"/>
        <v>10.713683097404713</v>
      </c>
      <c r="Q14" s="20">
        <f t="shared" si="2"/>
        <v>79.944230015213932</v>
      </c>
      <c r="R14" s="59">
        <f t="shared" si="0"/>
        <v>350.05534112632506</v>
      </c>
      <c r="S14" s="59">
        <f ca="1">AVERAGE(OFFSET($R$3,0,0,'Données projet'!$E$9+1,1))-AVERAGE(OFFSET($H$3,0,0,'Données projet'!$E$9+1,1))</f>
        <v>543.67050511722618</v>
      </c>
      <c r="T14" s="59">
        <f t="shared" si="34"/>
        <v>249.0871389941106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4.0942857142857143</v>
      </c>
      <c r="AI14" s="13">
        <f>IF('Données projet'!$A$62&gt;35,AI13+AH14-AQ13,IF(A14&lt;'Données projet'!$A$62,$AF$205^A14,IF(A14='Données projet'!$A$62,'Données projet'!$B$62,AI13+AH14-AQ13)))</f>
        <v>45.037142857142868</v>
      </c>
      <c r="AJ14" s="13">
        <f>AI14*VLOOKUP('Données projet'!$B$10,Paramètres!$A$1:$I$89,3,0)*VLOOKUP('Données projet'!$B$10,Paramètres!$A$1:$I$89,5,0)</f>
        <v>40.749606857142865</v>
      </c>
      <c r="AK14" s="13">
        <f t="shared" si="35"/>
        <v>12.197115083595657</v>
      </c>
      <c r="AL14" s="20">
        <f t="shared" si="4"/>
        <v>92.215540713452924</v>
      </c>
      <c r="AM14" s="59">
        <f t="shared" si="5"/>
        <v>362.32665182456407</v>
      </c>
      <c r="AN14" s="59">
        <f ca="1">AVERAGE(OFFSET($AM$3,0,0,'Données projet'!$E$10+1,1))-AVERAGE(OFFSET($H$3,0,0,'Données projet'!$E$10+1,1))</f>
        <v>635.71275911100679</v>
      </c>
      <c r="AO14" s="59">
        <f t="shared" si="36"/>
        <v>281.7776857269169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2.7884615384615379</v>
      </c>
      <c r="BD14" s="12">
        <f>IF('Données projet'!$A$88&gt;35,BD13+BC14-BL13,IF(A14&lt;'Données projet'!$A$88,$BA$205^A14,IF(A14='Données projet'!$A$88,'Données projet'!$B$88,BD13+BC14-BL13)))</f>
        <v>9.1309730264451439</v>
      </c>
      <c r="BE14" s="13">
        <f>BD14*VLOOKUP('Données projet'!$B$11,Paramètres!$A$1:$I$89,3,0)*VLOOKUP('Données projet'!$B$11,Paramètres!$A$1:$I$89,5,0)</f>
        <v>7.976818035902479</v>
      </c>
      <c r="BF14" s="13">
        <f t="shared" si="37"/>
        <v>2.8867473427432389</v>
      </c>
      <c r="BG14" s="20">
        <f t="shared" si="7"/>
        <v>18.920709701141291</v>
      </c>
      <c r="BH14" s="59">
        <f t="shared" si="8"/>
        <v>289.03182081225242</v>
      </c>
      <c r="BI14" s="59">
        <f ca="1">AVERAGE(OFFSET($BH$3,0,0,'Données projet'!$E$11+1,1))-AVERAGE(OFFSET($H$3,0,0,'Données projet'!$E$11+1,1))</f>
        <v>204.11804238362862</v>
      </c>
      <c r="BJ14" s="59">
        <f t="shared" si="38"/>
        <v>185.53854651509408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3.15468085106383</v>
      </c>
      <c r="BY14" s="12">
        <f>IF('Données projet'!$A$114&gt;35,BY13+BX14-CG13,IF(A14&lt;'Données projet'!$A$114,$BV$205^A14,IF(A14='Données projet'!$A$114,'Données projet'!$B$114,BY13+BX14-CG13)))</f>
        <v>34.70148936170213</v>
      </c>
      <c r="BZ14" s="13">
        <f>BY14*VLOOKUP('Données projet'!$B$12,Paramètres!$A$1:$I$89,3,0)*VLOOKUP('Données projet'!$B$12,Paramètres!$A$1:$I$89,5,0)</f>
        <v>34.645966978723408</v>
      </c>
      <c r="CA14" s="13">
        <f t="shared" si="39"/>
        <v>10.567911780963664</v>
      </c>
      <c r="CB14" s="20">
        <f t="shared" si="10"/>
        <v>78.747505506454971</v>
      </c>
      <c r="CC14" s="59">
        <f t="shared" si="11"/>
        <v>348.8586166175661</v>
      </c>
      <c r="CD14" s="59">
        <f ca="1">AVERAGE(OFFSET($CC$3,0,0,'Données projet'!$E$12+1,1))-AVERAGE(OFFSET($H$3,0,0,'Données projet'!$E$12+1,1))</f>
        <v>535.99935263833549</v>
      </c>
      <c r="CE14" s="59">
        <f t="shared" si="40"/>
        <v>245.89966477332644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4.016578947368421</v>
      </c>
      <c r="CT14" s="12">
        <f>IF('Données projet'!$A$140&gt;35,CT13+CS14-DB13,IF(A14&lt;'Données projet'!$A$140,$CQ$205^A14,IF(A14='Données projet'!$A$140,'Données projet'!$B$140,CT13+CS14-DB13)))</f>
        <v>44.182368421052644</v>
      </c>
      <c r="CU14" s="17">
        <f>CT14*VLOOKUP('Données projet'!$B$13,Paramètres!$A$1:$I$89,3,0)*VLOOKUP('Données projet'!$B$13,Paramètres!$A$1:$I$89,5,0)</f>
        <v>42.043941789473699</v>
      </c>
      <c r="CV14" s="13">
        <f t="shared" si="41"/>
        <v>12.538812616073887</v>
      </c>
      <c r="CW14" s="20">
        <f t="shared" si="13"/>
        <v>95.064963922995389</v>
      </c>
      <c r="CX14" s="59">
        <f t="shared" si="14"/>
        <v>365.17607503410653</v>
      </c>
      <c r="CY14" s="59">
        <f ca="1">AVERAGE(OFFSET($CX$3,0,0,'Données projet'!$E$13+1,1))-AVERAGE(OFFSET($H$3,0,0,'Données projet'!$E$13+1,1))</f>
        <v>449.28947235329758</v>
      </c>
      <c r="CZ14" s="59">
        <f t="shared" si="42"/>
        <v>289.36994109443964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2.6666666666666665</v>
      </c>
      <c r="DO14" s="12">
        <f>IF('Données projet'!$A$166&gt;35,DO13+DN14-DW13,IF(A14&lt;'Données projet'!$A$166,$DL$205^A14,IF(A14='Données projet'!$A$166,'Données projet'!$B$166,DO13+DN14-DW13)))</f>
        <v>14.956982779612416</v>
      </c>
      <c r="DP14" s="17">
        <f>DO14*VLOOKUP('Données projet'!$B$14,Paramètres!$A$1:$I$89,3,0)*VLOOKUP('Données projet'!$B$14,Paramètres!$A$1:$I$89,5,0)</f>
        <v>11.666446568097685</v>
      </c>
      <c r="DQ14" s="13">
        <f t="shared" si="43"/>
        <v>4.0392339557111736</v>
      </c>
      <c r="DR14" s="20">
        <f t="shared" si="16"/>
        <v>27.354060245633761</v>
      </c>
      <c r="DS14" s="59">
        <f t="shared" si="17"/>
        <v>297.46517135674492</v>
      </c>
      <c r="DT14" s="59">
        <f ca="1">AVERAGE(OFFSET($DS$3,0,0,'Données projet'!$E$14+1,1))-AVERAGE(OFFSET($H$3,0,0,'Données projet'!$E$14+1,1))</f>
        <v>288.82868507674738</v>
      </c>
      <c r="DU14" s="59">
        <f t="shared" si="44"/>
        <v>283.48738729114024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3.3603333333333336</v>
      </c>
      <c r="EJ14" s="12">
        <f>IF('Données projet'!$A$192&gt;35,EJ13+EI14-ER13,IF(A14&lt;'Données projet'!$A$192,$EG$205^A14,IF(A14='Données projet'!$A$192,'Données projet'!$B$192,EJ13+EI14-ER13)))</f>
        <v>36.963666666666676</v>
      </c>
      <c r="EK14" s="17">
        <f>EJ14*VLOOKUP('Données projet'!$B$15,Paramètres!$A$1:$I$89,3,0)*VLOOKUP('Données projet'!$B$15,Paramètres!$A$1:$I$89,5,0)</f>
        <v>35.751258400000005</v>
      </c>
      <c r="EL14" s="13">
        <f t="shared" si="45"/>
        <v>10.865264090901857</v>
      </c>
      <c r="EM14" s="20">
        <f t="shared" si="19"/>
        <v>81.190443338320719</v>
      </c>
      <c r="EN14" s="59">
        <f t="shared" si="20"/>
        <v>351.30155444943188</v>
      </c>
      <c r="EO14" s="59">
        <f ca="1">AVERAGE(OFFSET($EN$3,0,0,'Données projet'!$E$15+1,1))-AVERAGE(OFFSET($H$3,0,0,'Données projet'!$E$15+1,1))</f>
        <v>510.71380643466227</v>
      </c>
      <c r="EP14" s="59">
        <f t="shared" si="46"/>
        <v>252.40654099948841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3.15468085106383</v>
      </c>
      <c r="N15" s="13">
        <f>IF('Données projet'!$A$36&gt;35,N14+M15-V14,IF(A15&lt;'Données projet'!$A$36,$K$205^A15,IF(A15='Données projet'!$A$36,'Données projet'!$B$36,N14+M15-V14)))</f>
        <v>37.85617021276596</v>
      </c>
      <c r="O15" s="13">
        <f>N15*VLOOKUP('Données projet'!$B$9,Paramètres!$A$1:$I$89,3,0)*VLOOKUP('Données projet'!$B$9,Paramètres!$A$1:$I$89,5,0)</f>
        <v>38.386156595744687</v>
      </c>
      <c r="P15" s="13">
        <f t="shared" si="33"/>
        <v>11.569877707591203</v>
      </c>
      <c r="Q15" s="20">
        <f t="shared" si="2"/>
        <v>87.006759744976691</v>
      </c>
      <c r="R15" s="59">
        <f t="shared" si="0"/>
        <v>358.34009307831002</v>
      </c>
      <c r="S15" s="59">
        <f ca="1">AVERAGE(OFFSET($R$3,0,0,'Données projet'!$E$9+1,1))-AVERAGE(OFFSET($H$3,0,0,'Données projet'!$E$9+1,1))</f>
        <v>543.67050511722618</v>
      </c>
      <c r="T15" s="59">
        <f t="shared" si="34"/>
        <v>249.0871389941106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4.0942857142857143</v>
      </c>
      <c r="AI15" s="13">
        <f>IF('Données projet'!$A$62&gt;35,AI14+AH15-AQ14,IF(A15&lt;'Données projet'!$A$62,$AF$205^A15,IF(A15='Données projet'!$A$62,'Données projet'!$B$62,AI14+AH15-AQ14)))</f>
        <v>49.131428571428586</v>
      </c>
      <c r="AJ15" s="13">
        <f>AI15*VLOOKUP('Données projet'!$B$10,Paramètres!$A$1:$I$89,3,0)*VLOOKUP('Données projet'!$B$10,Paramètres!$A$1:$I$89,5,0)</f>
        <v>44.454116571428585</v>
      </c>
      <c r="AK15" s="13">
        <f t="shared" si="35"/>
        <v>13.17185963217473</v>
      </c>
      <c r="AL15" s="20">
        <f t="shared" si="4"/>
        <v>100.36524188794243</v>
      </c>
      <c r="AM15" s="59">
        <f t="shared" si="5"/>
        <v>371.69857522127575</v>
      </c>
      <c r="AN15" s="59">
        <f ca="1">AVERAGE(OFFSET($AM$3,0,0,'Données projet'!$E$10+1,1))-AVERAGE(OFFSET($H$3,0,0,'Données projet'!$E$10+1,1))</f>
        <v>635.71275911100679</v>
      </c>
      <c r="AO15" s="59">
        <f t="shared" si="36"/>
        <v>281.7776857269169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2.7884615384615379</v>
      </c>
      <c r="BD15" s="12">
        <f>IF('Données projet'!$A$88&gt;35,BD14+BC15-BL14,IF(A15&lt;'Données projet'!$A$88,$BA$205^A15,IF(A15='Données projet'!$A$88,'Données projet'!$B$88,BD14+BC15-BL14)))</f>
        <v>11.164436105190498</v>
      </c>
      <c r="BE15" s="13">
        <f>BD15*VLOOKUP('Données projet'!$B$11,Paramètres!$A$1:$I$89,3,0)*VLOOKUP('Données projet'!$B$11,Paramètres!$A$1:$I$89,5,0)</f>
        <v>9.7532513814944206</v>
      </c>
      <c r="BF15" s="13">
        <f t="shared" si="37"/>
        <v>3.4479780350880382</v>
      </c>
      <c r="BG15" s="20">
        <f t="shared" si="7"/>
        <v>22.992141233881114</v>
      </c>
      <c r="BH15" s="59">
        <f t="shared" si="8"/>
        <v>294.32547456721443</v>
      </c>
      <c r="BI15" s="59">
        <f ca="1">AVERAGE(OFFSET($BH$3,0,0,'Données projet'!$E$11+1,1))-AVERAGE(OFFSET($H$3,0,0,'Données projet'!$E$11+1,1))</f>
        <v>204.11804238362862</v>
      </c>
      <c r="BJ15" s="59">
        <f t="shared" si="38"/>
        <v>185.53854651509408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3.15468085106383</v>
      </c>
      <c r="BY15" s="12">
        <f>IF('Données projet'!$A$114&gt;35,BY14+BX15-CG14,IF(A15&lt;'Données projet'!$A$114,$BV$205^A15,IF(A15='Données projet'!$A$114,'Données projet'!$B$114,BY14+BX15-CG14)))</f>
        <v>37.85617021276596</v>
      </c>
      <c r="BZ15" s="13">
        <f>BY15*VLOOKUP('Données projet'!$B$12,Paramètres!$A$1:$I$89,3,0)*VLOOKUP('Données projet'!$B$12,Paramètres!$A$1:$I$89,5,0)</f>
        <v>37.795600340425537</v>
      </c>
      <c r="CA15" s="13">
        <f t="shared" si="39"/>
        <v>11.412456931825858</v>
      </c>
      <c r="CB15" s="20">
        <f t="shared" si="10"/>
        <v>85.704033082504509</v>
      </c>
      <c r="CC15" s="59">
        <f t="shared" si="11"/>
        <v>357.03736641583782</v>
      </c>
      <c r="CD15" s="59">
        <f ca="1">AVERAGE(OFFSET($CC$3,0,0,'Données projet'!$E$12+1,1))-AVERAGE(OFFSET($H$3,0,0,'Données projet'!$E$12+1,1))</f>
        <v>535.99935263833549</v>
      </c>
      <c r="CE15" s="59">
        <f t="shared" si="40"/>
        <v>245.89966477332644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4.016578947368421</v>
      </c>
      <c r="CT15" s="12">
        <f>IF('Données projet'!$A$140&gt;35,CT14+CS15-DB14,IF(A15&lt;'Données projet'!$A$140,$CQ$205^A15,IF(A15='Données projet'!$A$140,'Données projet'!$B$140,CT14+CS15-DB14)))</f>
        <v>48.198947368421067</v>
      </c>
      <c r="CU15" s="17">
        <f>CT15*VLOOKUP('Données projet'!$B$13,Paramètres!$A$1:$I$89,3,0)*VLOOKUP('Données projet'!$B$13,Paramètres!$A$1:$I$89,5,0)</f>
        <v>45.866118315789485</v>
      </c>
      <c r="CV15" s="13">
        <f t="shared" si="41"/>
        <v>13.540864261844654</v>
      </c>
      <c r="CW15" s="20">
        <f t="shared" si="13"/>
        <v>103.4671613227128</v>
      </c>
      <c r="CX15" s="59">
        <f t="shared" si="14"/>
        <v>374.80049465604611</v>
      </c>
      <c r="CY15" s="59">
        <f ca="1">AVERAGE(OFFSET($CX$3,0,0,'Données projet'!$E$13+1,1))-AVERAGE(OFFSET($H$3,0,0,'Données projet'!$E$13+1,1))</f>
        <v>449.28947235329758</v>
      </c>
      <c r="CZ15" s="59">
        <f t="shared" si="42"/>
        <v>289.36994109443964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2.6666666666666665</v>
      </c>
      <c r="DO15" s="12">
        <f>IF('Données projet'!$A$166&gt;35,DO14+DN15-DW14,IF(A15&lt;'Données projet'!$A$166,$DL$205^A15,IF(A15='Données projet'!$A$166,'Données projet'!$B$166,DO14+DN15-DW14)))</f>
        <v>19.127049995800721</v>
      </c>
      <c r="DP15" s="17">
        <f>DO15*VLOOKUP('Données projet'!$B$14,Paramètres!$A$1:$I$89,3,0)*VLOOKUP('Données projet'!$B$14,Paramètres!$A$1:$I$89,5,0)</f>
        <v>14.919098996724562</v>
      </c>
      <c r="DQ15" s="13">
        <f t="shared" si="43"/>
        <v>5.019622097301081</v>
      </c>
      <c r="DR15" s="20">
        <f t="shared" si="16"/>
        <v>34.726605905427995</v>
      </c>
      <c r="DS15" s="59">
        <f t="shared" si="17"/>
        <v>306.05993923876133</v>
      </c>
      <c r="DT15" s="59">
        <f ca="1">AVERAGE(OFFSET($DS$3,0,0,'Données projet'!$E$14+1,1))-AVERAGE(OFFSET($H$3,0,0,'Données projet'!$E$14+1,1))</f>
        <v>288.82868507674738</v>
      </c>
      <c r="DU15" s="59">
        <f t="shared" si="44"/>
        <v>283.48738729114024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3.3603333333333336</v>
      </c>
      <c r="EJ15" s="12">
        <f>IF('Données projet'!$A$192&gt;35,EJ14+EI15-ER14,IF(A15&lt;'Données projet'!$A$192,$EG$205^A15,IF(A15='Données projet'!$A$192,'Données projet'!$B$192,EJ14+EI15-ER14)))</f>
        <v>40.324000000000012</v>
      </c>
      <c r="EK15" s="17">
        <f>EJ15*VLOOKUP('Données projet'!$B$15,Paramètres!$A$1:$I$89,3,0)*VLOOKUP('Données projet'!$B$15,Paramètres!$A$1:$I$89,5,0)</f>
        <v>39.001372800000013</v>
      </c>
      <c r="EL15" s="13">
        <f t="shared" si="45"/>
        <v>11.733572446516416</v>
      </c>
      <c r="EM15" s="20">
        <f t="shared" si="19"/>
        <v>88.363362971016116</v>
      </c>
      <c r="EN15" s="59">
        <f t="shared" si="20"/>
        <v>359.69669630434942</v>
      </c>
      <c r="EO15" s="59">
        <f ca="1">AVERAGE(OFFSET($EN$3,0,0,'Données projet'!$E$15+1,1))-AVERAGE(OFFSET($H$3,0,0,'Données projet'!$E$15+1,1))</f>
        <v>510.71380643466227</v>
      </c>
      <c r="EP15" s="59">
        <f t="shared" si="46"/>
        <v>252.40654099948841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3.15468085106383</v>
      </c>
      <c r="N16" s="13">
        <f>IF('Données projet'!$A$36&gt;35,N15+M16-V15,IF(A16&lt;'Données projet'!$A$36,$K$205^A16,IF(A16='Données projet'!$A$36,'Données projet'!$B$36,N15+M16-V15)))</f>
        <v>41.01085106382979</v>
      </c>
      <c r="O16" s="13">
        <f>N16*VLOOKUP('Données projet'!$B$9,Paramètres!$A$1:$I$89,3,0)*VLOOKUP('Données projet'!$B$9,Paramètres!$A$1:$I$89,5,0)</f>
        <v>41.585002978723409</v>
      </c>
      <c r="P16" s="13">
        <f t="shared" si="33"/>
        <v>12.417797276844537</v>
      </c>
      <c r="Q16" s="20">
        <f t="shared" si="2"/>
        <v>94.05487711178084</v>
      </c>
      <c r="R16" s="59">
        <f t="shared" si="0"/>
        <v>366.6104326673364</v>
      </c>
      <c r="S16" s="59">
        <f ca="1">AVERAGE(OFFSET($R$3,0,0,'Données projet'!$E$9+1,1))-AVERAGE(OFFSET($H$3,0,0,'Données projet'!$E$9+1,1))</f>
        <v>543.67050511722618</v>
      </c>
      <c r="T16" s="59">
        <f t="shared" si="34"/>
        <v>249.0871389941106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4.0942857142857143</v>
      </c>
      <c r="AI16" s="13">
        <f>IF('Données projet'!$A$62&gt;35,AI15+AH16-AQ15,IF(A16&lt;'Données projet'!$A$62,$AF$205^A16,IF(A16='Données projet'!$A$62,'Données projet'!$B$62,AI15+AH16-AQ15)))</f>
        <v>53.225714285714304</v>
      </c>
      <c r="AJ16" s="13">
        <f>AI16*VLOOKUP('Données projet'!$B$10,Paramètres!$A$1:$I$89,3,0)*VLOOKUP('Données projet'!$B$10,Paramètres!$A$1:$I$89,5,0)</f>
        <v>48.158626285714305</v>
      </c>
      <c r="AK16" s="13">
        <f t="shared" si="35"/>
        <v>14.137183365739432</v>
      </c>
      <c r="AL16" s="20">
        <f t="shared" si="4"/>
        <v>108.4985351429486</v>
      </c>
      <c r="AM16" s="59">
        <f t="shared" si="5"/>
        <v>381.05409069850413</v>
      </c>
      <c r="AN16" s="59">
        <f ca="1">AVERAGE(OFFSET($AM$3,0,0,'Données projet'!$E$10+1,1))-AVERAGE(OFFSET($H$3,0,0,'Données projet'!$E$10+1,1))</f>
        <v>635.71275911100679</v>
      </c>
      <c r="AO16" s="59">
        <f t="shared" si="36"/>
        <v>281.7776857269169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2.7884615384615379</v>
      </c>
      <c r="BD16" s="12">
        <f>IF('Données projet'!$A$88&gt;35,BD15+BC16-BL15,IF(A16&lt;'Données projet'!$A$88,$BA$205^A16,IF(A16='Données projet'!$A$88,'Données projet'!$B$88,BD15+BC16-BL15)))</f>
        <v>13.650750383982642</v>
      </c>
      <c r="BE16" s="13">
        <f>BD16*VLOOKUP('Données projet'!$B$11,Paramètres!$A$1:$I$89,3,0)*VLOOKUP('Données projet'!$B$11,Paramètres!$A$1:$I$89,5,0)</f>
        <v>11.925295535447237</v>
      </c>
      <c r="BF16" s="13">
        <f t="shared" si="37"/>
        <v>4.1183211133233542</v>
      </c>
      <c r="BG16" s="20">
        <f t="shared" si="7"/>
        <v>27.942632329942111</v>
      </c>
      <c r="BH16" s="59">
        <f t="shared" si="8"/>
        <v>300.49818788549766</v>
      </c>
      <c r="BI16" s="59">
        <f ca="1">AVERAGE(OFFSET($BH$3,0,0,'Données projet'!$E$11+1,1))-AVERAGE(OFFSET($H$3,0,0,'Données projet'!$E$11+1,1))</f>
        <v>204.11804238362862</v>
      </c>
      <c r="BJ16" s="59">
        <f t="shared" si="38"/>
        <v>185.53854651509408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3.15468085106383</v>
      </c>
      <c r="BY16" s="12">
        <f>IF('Données projet'!$A$114&gt;35,BY15+BX16-CG15,IF(A16&lt;'Données projet'!$A$114,$BV$205^A16,IF(A16='Données projet'!$A$114,'Données projet'!$B$114,BY15+BX16-CG15)))</f>
        <v>41.01085106382979</v>
      </c>
      <c r="BZ16" s="13">
        <f>BY16*VLOOKUP('Données projet'!$B$12,Paramètres!$A$1:$I$89,3,0)*VLOOKUP('Données projet'!$B$12,Paramètres!$A$1:$I$89,5,0)</f>
        <v>40.945233702127666</v>
      </c>
      <c r="CA16" s="13">
        <f t="shared" si="39"/>
        <v>12.248839632691121</v>
      </c>
      <c r="CB16" s="20">
        <f t="shared" si="10"/>
        <v>92.646344391476063</v>
      </c>
      <c r="CC16" s="59">
        <f t="shared" si="11"/>
        <v>365.20189994703162</v>
      </c>
      <c r="CD16" s="59">
        <f ca="1">AVERAGE(OFFSET($CC$3,0,0,'Données projet'!$E$12+1,1))-AVERAGE(OFFSET($H$3,0,0,'Données projet'!$E$12+1,1))</f>
        <v>535.99935263833549</v>
      </c>
      <c r="CE16" s="59">
        <f t="shared" si="40"/>
        <v>245.89966477332644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4.016578947368421</v>
      </c>
      <c r="CT16" s="12">
        <f>IF('Données projet'!$A$140&gt;35,CT15+CS16-DB15,IF(A16&lt;'Données projet'!$A$140,$CQ$205^A16,IF(A16='Données projet'!$A$140,'Données projet'!$B$140,CT15+CS16-DB15)))</f>
        <v>52.215526315789489</v>
      </c>
      <c r="CU16" s="17">
        <f>CT16*VLOOKUP('Données projet'!$B$13,Paramètres!$A$1:$I$89,3,0)*VLOOKUP('Données projet'!$B$13,Paramètres!$A$1:$I$89,5,0)</f>
        <v>49.688294842105279</v>
      </c>
      <c r="CV16" s="13">
        <f t="shared" si="41"/>
        <v>14.533231172057361</v>
      </c>
      <c r="CW16" s="20">
        <f t="shared" si="13"/>
        <v>111.85249114133325</v>
      </c>
      <c r="CX16" s="59">
        <f t="shared" si="14"/>
        <v>384.40804669688879</v>
      </c>
      <c r="CY16" s="59">
        <f ca="1">AVERAGE(OFFSET($CX$3,0,0,'Données projet'!$E$13+1,1))-AVERAGE(OFFSET($H$3,0,0,'Données projet'!$E$13+1,1))</f>
        <v>449.28947235329758</v>
      </c>
      <c r="CZ16" s="59">
        <f t="shared" si="42"/>
        <v>289.36994109443964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2.6666666666666665</v>
      </c>
      <c r="DO16" s="12">
        <f>IF('Données projet'!$A$166&gt;35,DO15+DN16-DW15,IF(A16&lt;'Données projet'!$A$166,$DL$205^A16,IF(A16='Données projet'!$A$166,'Données projet'!$B$166,DO15+DN16-DW15)))</f>
        <v>24.459748796430759</v>
      </c>
      <c r="DP16" s="17">
        <f>DO16*VLOOKUP('Données projet'!$B$14,Paramètres!$A$1:$I$89,3,0)*VLOOKUP('Données projet'!$B$14,Paramètres!$A$1:$I$89,5,0)</f>
        <v>19.078604061215994</v>
      </c>
      <c r="DQ16" s="13">
        <f t="shared" si="43"/>
        <v>6.2379664748280286</v>
      </c>
      <c r="DR16" s="20">
        <f t="shared" si="16"/>
        <v>44.093027016943331</v>
      </c>
      <c r="DS16" s="59">
        <f t="shared" si="17"/>
        <v>316.64858257249887</v>
      </c>
      <c r="DT16" s="59">
        <f ca="1">AVERAGE(OFFSET($DS$3,0,0,'Données projet'!$E$14+1,1))-AVERAGE(OFFSET($H$3,0,0,'Données projet'!$E$14+1,1))</f>
        <v>288.82868507674738</v>
      </c>
      <c r="DU16" s="59">
        <f t="shared" si="44"/>
        <v>283.48738729114024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3.3603333333333336</v>
      </c>
      <c r="EJ16" s="12">
        <f>IF('Données projet'!$A$192&gt;35,EJ15+EI16-ER15,IF(A16&lt;'Données projet'!$A$192,$EG$205^A16,IF(A16='Données projet'!$A$192,'Données projet'!$B$192,EJ15+EI16-ER15)))</f>
        <v>43.684333333333349</v>
      </c>
      <c r="EK16" s="17">
        <f>EJ16*VLOOKUP('Données projet'!$B$15,Paramètres!$A$1:$I$89,3,0)*VLOOKUP('Données projet'!$B$15,Paramètres!$A$1:$I$89,5,0)</f>
        <v>42.251487200000021</v>
      </c>
      <c r="EL16" s="13">
        <f t="shared" si="45"/>
        <v>12.593488682979761</v>
      </c>
      <c r="EM16" s="20">
        <f t="shared" si="19"/>
        <v>95.521666329523114</v>
      </c>
      <c r="EN16" s="59">
        <f t="shared" si="20"/>
        <v>368.07722188507864</v>
      </c>
      <c r="EO16" s="59">
        <f ca="1">AVERAGE(OFFSET($EN$3,0,0,'Données projet'!$E$15+1,1))-AVERAGE(OFFSET($H$3,0,0,'Données projet'!$E$15+1,1))</f>
        <v>510.71380643466227</v>
      </c>
      <c r="EP16" s="59">
        <f t="shared" si="46"/>
        <v>252.40654099948841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3.15468085106383</v>
      </c>
      <c r="N17" s="13">
        <f>IF('Données projet'!$A$36&gt;35,N16+M17-V16,IF(A17&lt;'Données projet'!$A$36,$K$205^A17,IF(A17='Données projet'!$A$36,'Données projet'!$B$36,N16+M17-V16)))</f>
        <v>44.16553191489362</v>
      </c>
      <c r="O17" s="13">
        <f>N17*VLOOKUP('Données projet'!$B$9,Paramètres!$A$1:$I$89,3,0)*VLOOKUP('Données projet'!$B$9,Paramètres!$A$1:$I$89,5,0)</f>
        <v>44.783849361702138</v>
      </c>
      <c r="P17" s="13">
        <f t="shared" si="33"/>
        <v>13.258150720998627</v>
      </c>
      <c r="Q17" s="20">
        <f t="shared" si="2"/>
        <v>101.08981681070382</v>
      </c>
      <c r="R17" s="59">
        <f t="shared" si="0"/>
        <v>374.86759458848161</v>
      </c>
      <c r="S17" s="59">
        <f ca="1">AVERAGE(OFFSET($R$3,0,0,'Données projet'!$E$9+1,1))-AVERAGE(OFFSET($H$3,0,0,'Données projet'!$E$9+1,1))</f>
        <v>543.67050511722618</v>
      </c>
      <c r="T17" s="59">
        <f t="shared" si="34"/>
        <v>249.0871389941106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4.0942857142857143</v>
      </c>
      <c r="AI17" s="13">
        <f>IF('Données projet'!$A$62&gt;35,AI16+AH17-AQ16,IF(A17&lt;'Données projet'!$A$62,$AF$205^A17,IF(A17='Données projet'!$A$62,'Données projet'!$B$62,AI16+AH17-AQ16)))</f>
        <v>57.320000000000022</v>
      </c>
      <c r="AJ17" s="13">
        <f>AI17*VLOOKUP('Données projet'!$B$10,Paramètres!$A$1:$I$89,3,0)*VLOOKUP('Données projet'!$B$10,Paramètres!$A$1:$I$89,5,0)</f>
        <v>51.863136000000019</v>
      </c>
      <c r="AK17" s="13">
        <f t="shared" si="35"/>
        <v>15.093893357630675</v>
      </c>
      <c r="AL17" s="20">
        <f t="shared" si="4"/>
        <v>116.61682613120678</v>
      </c>
      <c r="AM17" s="59">
        <f t="shared" si="5"/>
        <v>390.39460390898455</v>
      </c>
      <c r="AN17" s="59">
        <f ca="1">AVERAGE(OFFSET($AM$3,0,0,'Données projet'!$E$10+1,1))-AVERAGE(OFFSET($H$3,0,0,'Données projet'!$E$10+1,1))</f>
        <v>635.71275911100679</v>
      </c>
      <c r="AO17" s="59">
        <f t="shared" si="36"/>
        <v>281.7776857269169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2.7884615384615379</v>
      </c>
      <c r="BD17" s="12">
        <f>IF('Données projet'!$A$88&gt;35,BD16+BC17-BL16,IF(A17&lt;'Données projet'!$A$88,$BA$205^A17,IF(A17='Données projet'!$A$88,'Données projet'!$B$88,BD16+BC17-BL16)))</f>
        <v>16.69076559622826</v>
      </c>
      <c r="BE17" s="13">
        <f>BD17*VLOOKUP('Données projet'!$B$11,Paramètres!$A$1:$I$89,3,0)*VLOOKUP('Données projet'!$B$11,Paramètres!$A$1:$I$89,5,0)</f>
        <v>14.581052824865012</v>
      </c>
      <c r="BF17" s="13">
        <f t="shared" si="37"/>
        <v>4.9189898020947949</v>
      </c>
      <c r="BG17" s="20">
        <f t="shared" si="7"/>
        <v>33.962574241954997</v>
      </c>
      <c r="BH17" s="59">
        <f t="shared" si="8"/>
        <v>307.74035201973277</v>
      </c>
      <c r="BI17" s="59">
        <f ca="1">AVERAGE(OFFSET($BH$3,0,0,'Données projet'!$E$11+1,1))-AVERAGE(OFFSET($H$3,0,0,'Données projet'!$E$11+1,1))</f>
        <v>204.11804238362862</v>
      </c>
      <c r="BJ17" s="59">
        <f t="shared" si="38"/>
        <v>185.53854651509408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3.15468085106383</v>
      </c>
      <c r="BY17" s="12">
        <f>IF('Données projet'!$A$114&gt;35,BY16+BX17-CG16,IF(A17&lt;'Données projet'!$A$114,$BV$205^A17,IF(A17='Données projet'!$A$114,'Données projet'!$B$114,BY16+BX17-CG16)))</f>
        <v>44.16553191489362</v>
      </c>
      <c r="BZ17" s="13">
        <f>BY17*VLOOKUP('Données projet'!$B$12,Paramètres!$A$1:$I$89,3,0)*VLOOKUP('Données projet'!$B$12,Paramètres!$A$1:$I$89,5,0)</f>
        <v>44.094867063829788</v>
      </c>
      <c r="CA17" s="13">
        <f t="shared" si="39"/>
        <v>13.077759153822065</v>
      </c>
      <c r="CB17" s="20">
        <f t="shared" si="10"/>
        <v>99.575657329076975</v>
      </c>
      <c r="CC17" s="59">
        <f t="shared" si="11"/>
        <v>373.35343510685476</v>
      </c>
      <c r="CD17" s="59">
        <f ca="1">AVERAGE(OFFSET($CC$3,0,0,'Données projet'!$E$12+1,1))-AVERAGE(OFFSET($H$3,0,0,'Données projet'!$E$12+1,1))</f>
        <v>535.99935263833549</v>
      </c>
      <c r="CE17" s="59">
        <f t="shared" si="40"/>
        <v>245.89966477332644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4.016578947368421</v>
      </c>
      <c r="CT17" s="12">
        <f>IF('Données projet'!$A$140&gt;35,CT16+CS17-DB16,IF(A17&lt;'Données projet'!$A$140,$CQ$205^A17,IF(A17='Données projet'!$A$140,'Données projet'!$B$140,CT16+CS17-DB16)))</f>
        <v>56.232105263157912</v>
      </c>
      <c r="CU17" s="17">
        <f>CT17*VLOOKUP('Données projet'!$B$13,Paramètres!$A$1:$I$89,3,0)*VLOOKUP('Données projet'!$B$13,Paramètres!$A$1:$I$89,5,0)</f>
        <v>53.510471368421072</v>
      </c>
      <c r="CV17" s="13">
        <f t="shared" si="41"/>
        <v>15.516743029905101</v>
      </c>
      <c r="CW17" s="20">
        <f t="shared" si="13"/>
        <v>120.22239841041811</v>
      </c>
      <c r="CX17" s="59">
        <f t="shared" si="14"/>
        <v>394.00017618819589</v>
      </c>
      <c r="CY17" s="59">
        <f ca="1">AVERAGE(OFFSET($CX$3,0,0,'Données projet'!$E$13+1,1))-AVERAGE(OFFSET($H$3,0,0,'Données projet'!$E$13+1,1))</f>
        <v>449.28947235329758</v>
      </c>
      <c r="CZ17" s="59">
        <f t="shared" si="42"/>
        <v>289.36994109443964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2.6666666666666665</v>
      </c>
      <c r="DO17" s="12">
        <f>IF('Données projet'!$A$166&gt;35,DO16+DN17-DW16,IF(A17&lt;'Données projet'!$A$166,$DL$205^A17,IF(A17='Données projet'!$A$166,'Données projet'!$B$166,DO16+DN17-DW16)))</f>
        <v>31.279225563578599</v>
      </c>
      <c r="DP17" s="17">
        <f>DO17*VLOOKUP('Données projet'!$B$14,Paramètres!$A$1:$I$89,3,0)*VLOOKUP('Données projet'!$B$14,Paramètres!$A$1:$I$89,5,0)</f>
        <v>24.397795939591308</v>
      </c>
      <c r="DQ17" s="13">
        <f t="shared" si="43"/>
        <v>7.75202295846145</v>
      </c>
      <c r="DR17" s="20">
        <f t="shared" si="16"/>
        <v>55.994267914108548</v>
      </c>
      <c r="DS17" s="59">
        <f t="shared" si="17"/>
        <v>329.77204569188632</v>
      </c>
      <c r="DT17" s="59">
        <f ca="1">AVERAGE(OFFSET($DS$3,0,0,'Données projet'!$E$14+1,1))-AVERAGE(OFFSET($H$3,0,0,'Données projet'!$E$14+1,1))</f>
        <v>288.82868507674738</v>
      </c>
      <c r="DU17" s="59">
        <f t="shared" si="44"/>
        <v>283.48738729114024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3.3603333333333336</v>
      </c>
      <c r="EJ17" s="12">
        <f>IF('Données projet'!$A$192&gt;35,EJ16+EI17-ER16,IF(A17&lt;'Données projet'!$A$192,$EG$205^A17,IF(A17='Données projet'!$A$192,'Données projet'!$B$192,EJ16+EI17-ER16)))</f>
        <v>47.044666666666686</v>
      </c>
      <c r="EK17" s="17">
        <f>EJ17*VLOOKUP('Données projet'!$B$15,Paramètres!$A$1:$I$89,3,0)*VLOOKUP('Données projet'!$B$15,Paramètres!$A$1:$I$89,5,0)</f>
        <v>45.501601600000022</v>
      </c>
      <c r="EL17" s="13">
        <f t="shared" si="45"/>
        <v>13.445731746118797</v>
      </c>
      <c r="EM17" s="20">
        <f t="shared" si="19"/>
        <v>102.6666055778236</v>
      </c>
      <c r="EN17" s="59">
        <f t="shared" si="20"/>
        <v>376.44438335560136</v>
      </c>
      <c r="EO17" s="59">
        <f ca="1">AVERAGE(OFFSET($EN$3,0,0,'Données projet'!$E$15+1,1))-AVERAGE(OFFSET($H$3,0,0,'Données projet'!$E$15+1,1))</f>
        <v>510.71380643466227</v>
      </c>
      <c r="EP17" s="59">
        <f t="shared" si="46"/>
        <v>252.40654099948841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3.15468085106383</v>
      </c>
      <c r="N18" s="13">
        <f>IF('Données projet'!$A$36&gt;35,N17+M18-V17,IF(A18&lt;'Données projet'!$A$36,$K$205^A18,IF(A18='Données projet'!$A$36,'Données projet'!$B$36,N17+M18-V17)))</f>
        <v>47.32021276595745</v>
      </c>
      <c r="O18" s="13">
        <f>N18*VLOOKUP('Données projet'!$B$9,Paramètres!$A$1:$I$89,3,0)*VLOOKUP('Données projet'!$B$9,Paramètres!$A$1:$I$89,5,0)</f>
        <v>47.982695744680854</v>
      </c>
      <c r="P18" s="13">
        <f t="shared" si="33"/>
        <v>14.091539943551913</v>
      </c>
      <c r="Q18" s="20">
        <f t="shared" si="2"/>
        <v>108.11262715700541</v>
      </c>
      <c r="R18" s="59">
        <f t="shared" si="0"/>
        <v>383.11262715700542</v>
      </c>
      <c r="S18" s="59">
        <f ca="1">AVERAGE(OFFSET($R$3,0,0,'Données projet'!$E$9+1,1))-AVERAGE(OFFSET($H$3,0,0,'Données projet'!$E$9+1,1))</f>
        <v>543.67050511722618</v>
      </c>
      <c r="T18" s="59">
        <f t="shared" si="34"/>
        <v>249.0871389941106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4.0942857142857143</v>
      </c>
      <c r="AI18" s="13">
        <f>IF('Données projet'!$A$62&gt;35,AI17+AH18-AQ17,IF(A18&lt;'Données projet'!$A$62,$AF$205^A18,IF(A18='Données projet'!$A$62,'Données projet'!$B$62,AI17+AH18-AQ17)))</f>
        <v>61.414285714285739</v>
      </c>
      <c r="AJ18" s="13">
        <f>AI18*VLOOKUP('Données projet'!$B$10,Paramètres!$A$1:$I$89,3,0)*VLOOKUP('Données projet'!$B$10,Paramètres!$A$1:$I$89,5,0)</f>
        <v>55.567645714285739</v>
      </c>
      <c r="AK18" s="13">
        <f t="shared" si="35"/>
        <v>16.042674851771864</v>
      </c>
      <c r="AL18" s="20">
        <f t="shared" si="4"/>
        <v>124.72130831921697</v>
      </c>
      <c r="AM18" s="59">
        <f t="shared" si="5"/>
        <v>399.72130831921697</v>
      </c>
      <c r="AN18" s="59">
        <f ca="1">AVERAGE(OFFSET($AM$3,0,0,'Données projet'!$E$10+1,1))-AVERAGE(OFFSET($H$3,0,0,'Données projet'!$E$10+1,1))</f>
        <v>635.71275911100679</v>
      </c>
      <c r="AO18" s="59">
        <f t="shared" si="36"/>
        <v>281.7776857269169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2.7884615384615379</v>
      </c>
      <c r="BD18" s="12">
        <f>IF('Données projet'!$A$88&gt;35,BD17+BC18-BL17,IF(A18&lt;'Données projet'!$A$88,$BA$205^A18,IF(A18='Données projet'!$A$88,'Données projet'!$B$88,BD17+BC18-BL17)))</f>
        <v>20.407790660000337</v>
      </c>
      <c r="BE18" s="13">
        <f>BD18*VLOOKUP('Données projet'!$B$11,Paramètres!$A$1:$I$89,3,0)*VLOOKUP('Données projet'!$B$11,Paramètres!$A$1:$I$89,5,0)</f>
        <v>17.828245920576297</v>
      </c>
      <c r="BF18" s="13">
        <f t="shared" si="37"/>
        <v>5.8753215223634703</v>
      </c>
      <c r="BG18" s="20">
        <f t="shared" si="7"/>
        <v>41.283713296453428</v>
      </c>
      <c r="BH18" s="59">
        <f t="shared" si="8"/>
        <v>316.28371329645341</v>
      </c>
      <c r="BI18" s="59">
        <f ca="1">AVERAGE(OFFSET($BH$3,0,0,'Données projet'!$E$11+1,1))-AVERAGE(OFFSET($H$3,0,0,'Données projet'!$E$11+1,1))</f>
        <v>204.11804238362862</v>
      </c>
      <c r="BJ18" s="59">
        <f t="shared" si="38"/>
        <v>185.53854651509408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3.15468085106383</v>
      </c>
      <c r="BY18" s="12">
        <f>IF('Données projet'!$A$114&gt;35,BY17+BX18-CG17,IF(A18&lt;'Données projet'!$A$114,$BV$205^A18,IF(A18='Données projet'!$A$114,'Données projet'!$B$114,BY17+BX18-CG17)))</f>
        <v>47.32021276595745</v>
      </c>
      <c r="BZ18" s="13">
        <f>BY18*VLOOKUP('Données projet'!$B$12,Paramètres!$A$1:$I$89,3,0)*VLOOKUP('Données projet'!$B$12,Paramètres!$A$1:$I$89,5,0)</f>
        <v>47.244500425531925</v>
      </c>
      <c r="CA18" s="13">
        <f t="shared" si="39"/>
        <v>13.899809209165076</v>
      </c>
      <c r="CB18" s="20">
        <f t="shared" si="10"/>
        <v>106.49300594709727</v>
      </c>
      <c r="CC18" s="59">
        <f t="shared" si="11"/>
        <v>381.49300594709729</v>
      </c>
      <c r="CD18" s="59">
        <f ca="1">AVERAGE(OFFSET($CC$3,0,0,'Données projet'!$E$12+1,1))-AVERAGE(OFFSET($H$3,0,0,'Données projet'!$E$12+1,1))</f>
        <v>535.99935263833549</v>
      </c>
      <c r="CE18" s="59">
        <f t="shared" si="40"/>
        <v>245.89966477332644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4.016578947368421</v>
      </c>
      <c r="CT18" s="12">
        <f>IF('Données projet'!$A$140&gt;35,CT17+CS18-DB17,IF(A18&lt;'Données projet'!$A$140,$CQ$205^A18,IF(A18='Données projet'!$A$140,'Données projet'!$B$140,CT17+CS18-DB17)))</f>
        <v>60.248684210526335</v>
      </c>
      <c r="CU18" s="17">
        <f>CT18*VLOOKUP('Données projet'!$B$13,Paramètres!$A$1:$I$89,3,0)*VLOOKUP('Données projet'!$B$13,Paramètres!$A$1:$I$89,5,0)</f>
        <v>57.332647894736859</v>
      </c>
      <c r="CV18" s="13">
        <f t="shared" si="41"/>
        <v>16.492104276158738</v>
      </c>
      <c r="CW18" s="20">
        <f t="shared" si="13"/>
        <v>128.57811003097649</v>
      </c>
      <c r="CX18" s="59">
        <f t="shared" si="14"/>
        <v>403.57811003097652</v>
      </c>
      <c r="CY18" s="59">
        <f ca="1">AVERAGE(OFFSET($CX$3,0,0,'Données projet'!$E$13+1,1))-AVERAGE(OFFSET($H$3,0,0,'Données projet'!$E$13+1,1))</f>
        <v>449.28947235329758</v>
      </c>
      <c r="CZ18" s="59">
        <f t="shared" si="42"/>
        <v>289.36994109443964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40</v>
      </c>
      <c r="DM18" s="12">
        <f>VLOOKUP(A18,'Données projet'!$A$165:$I$185,9,0)</f>
        <v>2.6666666666666665</v>
      </c>
      <c r="DN18" s="12">
        <f t="array" ref="DN18">INDEX(DM:DM,MIN(IF(ISNUMBER(DM18:DM214),ROW(DM18:DM214),"")))</f>
        <v>2.6666666666666665</v>
      </c>
      <c r="DO18" s="12">
        <f>IF('Données projet'!$A$166&gt;35,DO17+DN18-DW17,IF(A18&lt;'Données projet'!$A$166,$DL$205^A18,IF(A18='Données projet'!$A$166,'Données projet'!$B$166,DO17+DN18-DW17)))</f>
        <v>40</v>
      </c>
      <c r="DP18" s="17">
        <f>DO18*VLOOKUP('Données projet'!$B$14,Paramètres!$A$1:$I$89,3,0)*VLOOKUP('Données projet'!$B$14,Paramètres!$A$1:$I$89,5,0)</f>
        <v>31.200000000000003</v>
      </c>
      <c r="DQ18" s="13">
        <f t="shared" si="43"/>
        <v>9.6335657126419925</v>
      </c>
      <c r="DR18" s="20">
        <f t="shared" si="16"/>
        <v>71.118460282851473</v>
      </c>
      <c r="DS18" s="59">
        <f t="shared" si="17"/>
        <v>346.11846028285146</v>
      </c>
      <c r="DT18" s="59">
        <f ca="1">AVERAGE(OFFSET($DS$3,0,0,'Données projet'!$E$14+1,1))-AVERAGE(OFFSET($H$3,0,0,'Données projet'!$E$14+1,1))</f>
        <v>288.82868507674738</v>
      </c>
      <c r="DU18" s="59">
        <f t="shared" si="44"/>
        <v>283.48738729114024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3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0.1075</v>
      </c>
      <c r="DZ18" s="16">
        <f>IF(ISNA(VLOOKUP(A18,'Données projet'!$A$165:$I$185,7,0)),0%,VLOOKUP(A18,'Données projet'!$A$165:$I$185,7,0))</f>
        <v>0.25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0.27698616282609173</v>
      </c>
      <c r="EC18" s="21">
        <f>EXP(-LN(2)/2)*EC17+(1-EXP(-LN(2)/2))/(LN(2)/2)*DW18*DZ18*VLOOKUP('Données projet'!$B$14,Paramètres!$A$1:$I$89,3,0)*0.475*44/12</f>
        <v>0.55196324504415206</v>
      </c>
      <c r="ED18" s="22">
        <f t="shared" si="18"/>
        <v>0.82894940787024374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3.3603333333333336</v>
      </c>
      <c r="EJ18" s="12">
        <f>IF('Données projet'!$A$192&gt;35,EJ17+EI18-ER17,IF(A18&lt;'Données projet'!$A$192,$EG$205^A18,IF(A18='Données projet'!$A$192,'Données projet'!$B$192,EJ17+EI18-ER17)))</f>
        <v>50.405000000000022</v>
      </c>
      <c r="EK18" s="17">
        <f>EJ18*VLOOKUP('Données projet'!$B$15,Paramètres!$A$1:$I$89,3,0)*VLOOKUP('Données projet'!$B$15,Paramètres!$A$1:$I$89,5,0)</f>
        <v>48.751716000000023</v>
      </c>
      <c r="EL18" s="13">
        <f t="shared" si="45"/>
        <v>14.290912055376443</v>
      </c>
      <c r="EM18" s="20">
        <f t="shared" si="19"/>
        <v>109.79924386311403</v>
      </c>
      <c r="EN18" s="59">
        <f t="shared" si="20"/>
        <v>384.79924386311404</v>
      </c>
      <c r="EO18" s="59">
        <f ca="1">AVERAGE(OFFSET($EN$3,0,0,'Données projet'!$E$15+1,1))-AVERAGE(OFFSET($H$3,0,0,'Données projet'!$E$15+1,1))</f>
        <v>510.71380643466227</v>
      </c>
      <c r="EP18" s="59">
        <f t="shared" si="46"/>
        <v>252.40654099948841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3.15468085106383</v>
      </c>
      <c r="N19" s="13">
        <f>IF('Données projet'!$A$36&gt;35,N18+M19-V18,IF(A19&lt;'Données projet'!$A$36,$K$205^A19,IF(A19='Données projet'!$A$36,'Données projet'!$B$36,N18+M19-V18)))</f>
        <v>50.47489361702128</v>
      </c>
      <c r="O19" s="13">
        <f>N19*VLOOKUP('Données projet'!$B$9,Paramètres!$A$1:$I$89,3,0)*VLOOKUP('Données projet'!$B$9,Paramètres!$A$1:$I$89,5,0)</f>
        <v>51.181542127659583</v>
      </c>
      <c r="P19" s="13">
        <f t="shared" si="33"/>
        <v>14.918482053875076</v>
      </c>
      <c r="Q19" s="20">
        <f t="shared" si="2"/>
        <v>115.12420878283955</v>
      </c>
      <c r="R19" s="59">
        <f t="shared" si="0"/>
        <v>391.34643100506179</v>
      </c>
      <c r="S19" s="59">
        <f ca="1">AVERAGE(OFFSET($R$3,0,0,'Données projet'!$E$9+1,1))-AVERAGE(OFFSET($H$3,0,0,'Données projet'!$E$9+1,1))</f>
        <v>543.67050511722618</v>
      </c>
      <c r="T19" s="59">
        <f t="shared" si="34"/>
        <v>249.0871389941106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4.0942857142857143</v>
      </c>
      <c r="AI19" s="13">
        <f>IF('Données projet'!$A$62&gt;35,AI18+AH19-AQ18,IF(A19&lt;'Données projet'!$A$62,$AF$205^A19,IF(A19='Données projet'!$A$62,'Données projet'!$B$62,AI18+AH19-AQ18)))</f>
        <v>65.508571428571457</v>
      </c>
      <c r="AJ19" s="13">
        <f>AI19*VLOOKUP('Données projet'!$B$10,Paramètres!$A$1:$I$89,3,0)*VLOOKUP('Données projet'!$B$10,Paramètres!$A$1:$I$89,5,0)</f>
        <v>59.272155428571445</v>
      </c>
      <c r="AK19" s="13">
        <f t="shared" si="35"/>
        <v>16.984116557241595</v>
      </c>
      <c r="AL19" s="20">
        <f t="shared" si="4"/>
        <v>132.81300704195772</v>
      </c>
      <c r="AM19" s="59">
        <f t="shared" si="5"/>
        <v>409.03522926417997</v>
      </c>
      <c r="AN19" s="59">
        <f ca="1">AVERAGE(OFFSET($AM$3,0,0,'Données projet'!$E$10+1,1))-AVERAGE(OFFSET($H$3,0,0,'Données projet'!$E$10+1,1))</f>
        <v>635.71275911100679</v>
      </c>
      <c r="AO19" s="59">
        <f t="shared" si="36"/>
        <v>281.7776857269169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2.7884615384615379</v>
      </c>
      <c r="BD19" s="12">
        <f>IF('Données projet'!$A$88&gt;35,BD18+BC19-BL18,IF(A19&lt;'Données projet'!$A$88,$BA$205^A19,IF(A19='Données projet'!$A$88,'Données projet'!$B$88,BD18+BC19-BL18)))</f>
        <v>24.952595327113794</v>
      </c>
      <c r="BE19" s="13">
        <f>BD19*VLOOKUP('Données projet'!$B$11,Paramètres!$A$1:$I$89,3,0)*VLOOKUP('Données projet'!$B$11,Paramètres!$A$1:$I$89,5,0)</f>
        <v>21.798587277766615</v>
      </c>
      <c r="BF19" s="13">
        <f t="shared" si="37"/>
        <v>7.0175797023297379</v>
      </c>
      <c r="BG19" s="20">
        <f t="shared" si="7"/>
        <v>50.188157490334476</v>
      </c>
      <c r="BH19" s="59">
        <f t="shared" si="8"/>
        <v>326.41037971255673</v>
      </c>
      <c r="BI19" s="59">
        <f ca="1">AVERAGE(OFFSET($BH$3,0,0,'Données projet'!$E$11+1,1))-AVERAGE(OFFSET($H$3,0,0,'Données projet'!$E$11+1,1))</f>
        <v>204.11804238362862</v>
      </c>
      <c r="BJ19" s="59">
        <f t="shared" si="38"/>
        <v>185.53854651509408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3.15468085106383</v>
      </c>
      <c r="BY19" s="12">
        <f>IF('Données projet'!$A$114&gt;35,BY18+BX19-CG18,IF(A19&lt;'Données projet'!$A$114,$BV$205^A19,IF(A19='Données projet'!$A$114,'Données projet'!$B$114,BY18+BX19-CG18)))</f>
        <v>50.47489361702128</v>
      </c>
      <c r="BZ19" s="13">
        <f>BY19*VLOOKUP('Données projet'!$B$12,Paramètres!$A$1:$I$89,3,0)*VLOOKUP('Données projet'!$B$12,Paramètres!$A$1:$I$89,5,0)</f>
        <v>50.394133787234047</v>
      </c>
      <c r="CA19" s="13">
        <f t="shared" si="39"/>
        <v>14.715499872255162</v>
      </c>
      <c r="CB19" s="20">
        <f t="shared" si="10"/>
        <v>113.39927862361037</v>
      </c>
      <c r="CC19" s="59">
        <f t="shared" si="11"/>
        <v>389.6215008458326</v>
      </c>
      <c r="CD19" s="59">
        <f ca="1">AVERAGE(OFFSET($CC$3,0,0,'Données projet'!$E$12+1,1))-AVERAGE(OFFSET($H$3,0,0,'Données projet'!$E$12+1,1))</f>
        <v>535.99935263833549</v>
      </c>
      <c r="CE19" s="59">
        <f t="shared" si="40"/>
        <v>245.89966477332644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4.016578947368421</v>
      </c>
      <c r="CT19" s="12">
        <f>IF('Données projet'!$A$140&gt;35,CT18+CS19-DB18,IF(A19&lt;'Données projet'!$A$140,$CQ$205^A19,IF(A19='Données projet'!$A$140,'Données projet'!$B$140,CT18+CS19-DB18)))</f>
        <v>64.265263157894751</v>
      </c>
      <c r="CU19" s="17">
        <f>CT19*VLOOKUP('Données projet'!$B$13,Paramètres!$A$1:$I$89,3,0)*VLOOKUP('Données projet'!$B$13,Paramètres!$A$1:$I$89,5,0)</f>
        <v>61.154824421052645</v>
      </c>
      <c r="CV19" s="13">
        <f t="shared" si="41"/>
        <v>17.459920112357459</v>
      </c>
      <c r="CW19" s="20">
        <f t="shared" si="13"/>
        <v>136.92068006235593</v>
      </c>
      <c r="CX19" s="59">
        <f t="shared" si="14"/>
        <v>413.14290228457816</v>
      </c>
      <c r="CY19" s="59">
        <f ca="1">AVERAGE(OFFSET($CX$3,0,0,'Données projet'!$E$13+1,1))-AVERAGE(OFFSET($H$3,0,0,'Données projet'!$E$13+1,1))</f>
        <v>449.28947235329758</v>
      </c>
      <c r="CZ19" s="59">
        <f t="shared" si="42"/>
        <v>289.36994109443964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9.6</v>
      </c>
      <c r="DO19" s="12">
        <f>IF('Données projet'!$A$166&gt;35,DO18+DN19-DW18,IF(A19&lt;'Données projet'!$A$166,$DL$205^A19,IF(A19='Données projet'!$A$166,'Données projet'!$B$166,DO18+DN19-DW18)))</f>
        <v>46.6</v>
      </c>
      <c r="DP19" s="17">
        <f>DO19*VLOOKUP('Données projet'!$B$14,Paramètres!$A$1:$I$89,3,0)*VLOOKUP('Données projet'!$B$14,Paramètres!$A$1:$I$89,5,0)</f>
        <v>36.347999999999999</v>
      </c>
      <c r="DQ19" s="13">
        <f t="shared" si="43"/>
        <v>11.025356771848859</v>
      </c>
      <c r="DR19" s="20">
        <f t="shared" si="16"/>
        <v>82.508596377636763</v>
      </c>
      <c r="DS19" s="59">
        <f t="shared" si="17"/>
        <v>358.73081859985899</v>
      </c>
      <c r="DT19" s="59">
        <f ca="1">AVERAGE(OFFSET($DS$3,0,0,'Données projet'!$E$14+1,1))-AVERAGE(OFFSET($H$3,0,0,'Données projet'!$E$14+1,1))</f>
        <v>288.82868507674738</v>
      </c>
      <c r="DU19" s="59">
        <f t="shared" si="44"/>
        <v>283.48738729114024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0.269411961637543</v>
      </c>
      <c r="EC19" s="21">
        <f>EXP(-LN(2)/2)*EC18+(1-EXP(-LN(2)/2))/(LN(2)/2)*DW19*DZ19*VLOOKUP('Données projet'!$B$14,Paramètres!$A$1:$I$89,3,0)*0.475*44/12</f>
        <v>0.390296953536452</v>
      </c>
      <c r="ED19" s="22">
        <f t="shared" si="18"/>
        <v>0.65970891517399499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3.3603333333333336</v>
      </c>
      <c r="EJ19" s="12">
        <f>IF('Données projet'!$A$192&gt;35,EJ18+EI19-ER18,IF(A19&lt;'Données projet'!$A$192,$EG$205^A19,IF(A19='Données projet'!$A$192,'Données projet'!$B$192,EJ18+EI19-ER18)))</f>
        <v>53.765333333333359</v>
      </c>
      <c r="EK19" s="17">
        <f>EJ19*VLOOKUP('Données projet'!$B$15,Paramètres!$A$1:$I$89,3,0)*VLOOKUP('Données projet'!$B$15,Paramètres!$A$1:$I$89,5,0)</f>
        <v>52.001830400000031</v>
      </c>
      <c r="EL19" s="13">
        <f t="shared" si="45"/>
        <v>15.129554036370385</v>
      </c>
      <c r="EM19" s="20">
        <f t="shared" si="19"/>
        <v>116.92049456001179</v>
      </c>
      <c r="EN19" s="59">
        <f t="shared" si="20"/>
        <v>393.142716782234</v>
      </c>
      <c r="EO19" s="59">
        <f ca="1">AVERAGE(OFFSET($EN$3,0,0,'Données projet'!$E$15+1,1))-AVERAGE(OFFSET($H$3,0,0,'Données projet'!$E$15+1,1))</f>
        <v>510.71380643466227</v>
      </c>
      <c r="EP19" s="59">
        <f t="shared" si="46"/>
        <v>252.40654099948841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3.15468085106383</v>
      </c>
      <c r="N20" s="13">
        <f>IF('Données projet'!$A$36&gt;35,N19+M20-V19,IF(A20&lt;'Données projet'!$A$36,$K$205^A20,IF(A20='Données projet'!$A$36,'Données projet'!$B$36,N19+M20-V19)))</f>
        <v>53.62957446808511</v>
      </c>
      <c r="O20" s="13">
        <f>N20*VLOOKUP('Données projet'!$B$9,Paramètres!$A$1:$I$89,3,0)*VLOOKUP('Données projet'!$B$9,Paramètres!$A$1:$I$89,5,0)</f>
        <v>54.380388510638305</v>
      </c>
      <c r="P20" s="13">
        <f t="shared" si="33"/>
        <v>15.73942586927798</v>
      </c>
      <c r="Q20" s="20">
        <f t="shared" si="2"/>
        <v>122.12534337835417</v>
      </c>
      <c r="R20" s="59">
        <f t="shared" si="0"/>
        <v>399.56978782279862</v>
      </c>
      <c r="S20" s="59">
        <f ca="1">AVERAGE(OFFSET($R$3,0,0,'Données projet'!$E$9+1,1))-AVERAGE(OFFSET($H$3,0,0,'Données projet'!$E$9+1,1))</f>
        <v>543.67050511722618</v>
      </c>
      <c r="T20" s="59">
        <f t="shared" si="34"/>
        <v>249.0871389941106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4.0942857142857143</v>
      </c>
      <c r="AI20" s="13">
        <f>IF('Données projet'!$A$62&gt;35,AI19+AH20-AQ19,IF(A20&lt;'Données projet'!$A$62,$AF$205^A20,IF(A20='Données projet'!$A$62,'Données projet'!$B$62,AI19+AH20-AQ19)))</f>
        <v>69.602857142857175</v>
      </c>
      <c r="AJ20" s="13">
        <f>AI20*VLOOKUP('Données projet'!$B$10,Paramètres!$A$1:$I$89,3,0)*VLOOKUP('Données projet'!$B$10,Paramètres!$A$1:$I$89,5,0)</f>
        <v>62.976665142857165</v>
      </c>
      <c r="AK20" s="13">
        <f t="shared" si="35"/>
        <v>17.918729435240664</v>
      </c>
      <c r="AL20" s="20">
        <f t="shared" si="4"/>
        <v>140.89281222352039</v>
      </c>
      <c r="AM20" s="59">
        <f t="shared" si="5"/>
        <v>418.33725666796488</v>
      </c>
      <c r="AN20" s="59">
        <f ca="1">AVERAGE(OFFSET($AM$3,0,0,'Données projet'!$E$10+1,1))-AVERAGE(OFFSET($H$3,0,0,'Données projet'!$E$10+1,1))</f>
        <v>635.71275911100679</v>
      </c>
      <c r="AO20" s="59">
        <f t="shared" si="36"/>
        <v>281.7776857269169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2.7884615384615379</v>
      </c>
      <c r="BD20" s="12">
        <f>IF('Données projet'!$A$88&gt;35,BD19+BC20-BL19,IF(A20&lt;'Données projet'!$A$88,$BA$205^A20,IF(A20='Données projet'!$A$88,'Données projet'!$B$88,BD19+BC20-BL19)))</f>
        <v>30.50952569692279</v>
      </c>
      <c r="BE20" s="13">
        <f>BD20*VLOOKUP('Données projet'!$B$11,Paramètres!$A$1:$I$89,3,0)*VLOOKUP('Données projet'!$B$11,Paramètres!$A$1:$I$89,5,0)</f>
        <v>26.653121648831753</v>
      </c>
      <c r="BF20" s="13">
        <f t="shared" si="37"/>
        <v>8.381911473457528</v>
      </c>
      <c r="BG20" s="20">
        <f t="shared" si="7"/>
        <v>61.019349354653826</v>
      </c>
      <c r="BH20" s="59">
        <f t="shared" si="8"/>
        <v>338.46379379909831</v>
      </c>
      <c r="BI20" s="59">
        <f ca="1">AVERAGE(OFFSET($BH$3,0,0,'Données projet'!$E$11+1,1))-AVERAGE(OFFSET($H$3,0,0,'Données projet'!$E$11+1,1))</f>
        <v>204.11804238362862</v>
      </c>
      <c r="BJ20" s="59">
        <f t="shared" si="38"/>
        <v>185.53854651509408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3.15468085106383</v>
      </c>
      <c r="BY20" s="12">
        <f>IF('Données projet'!$A$114&gt;35,BY19+BX20-CG19,IF(A20&lt;'Données projet'!$A$114,$BV$205^A20,IF(A20='Données projet'!$A$114,'Données projet'!$B$114,BY19+BX20-CG19)))</f>
        <v>53.62957446808511</v>
      </c>
      <c r="BZ20" s="13">
        <f>BY20*VLOOKUP('Données projet'!$B$12,Paramètres!$A$1:$I$89,3,0)*VLOOKUP('Données projet'!$B$12,Paramètres!$A$1:$I$89,5,0)</f>
        <v>53.543767148936169</v>
      </c>
      <c r="CA20" s="13">
        <f t="shared" si="39"/>
        <v>15.525273853754317</v>
      </c>
      <c r="CB20" s="20">
        <f t="shared" si="10"/>
        <v>120.29524641301924</v>
      </c>
      <c r="CC20" s="59">
        <f t="shared" si="11"/>
        <v>397.7396908574637</v>
      </c>
      <c r="CD20" s="59">
        <f ca="1">AVERAGE(OFFSET($CC$3,0,0,'Données projet'!$E$12+1,1))-AVERAGE(OFFSET($H$3,0,0,'Données projet'!$E$12+1,1))</f>
        <v>535.99935263833549</v>
      </c>
      <c r="CE20" s="59">
        <f t="shared" si="40"/>
        <v>245.89966477332644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4.016578947368421</v>
      </c>
      <c r="CT20" s="12">
        <f>IF('Données projet'!$A$140&gt;35,CT19+CS20-DB19,IF(A20&lt;'Données projet'!$A$140,$CQ$205^A20,IF(A20='Données projet'!$A$140,'Données projet'!$B$140,CT19+CS20-DB19)))</f>
        <v>68.281842105263166</v>
      </c>
      <c r="CU20" s="17">
        <f>CT20*VLOOKUP('Données projet'!$B$13,Paramètres!$A$1:$I$89,3,0)*VLOOKUP('Données projet'!$B$13,Paramètres!$A$1:$I$89,5,0)</f>
        <v>64.977000947368424</v>
      </c>
      <c r="CV20" s="13">
        <f t="shared" si="41"/>
        <v>18.420715814085391</v>
      </c>
      <c r="CW20" s="20">
        <f t="shared" si="13"/>
        <v>145.25102335953207</v>
      </c>
      <c r="CX20" s="59">
        <f t="shared" si="14"/>
        <v>422.6954678039765</v>
      </c>
      <c r="CY20" s="59">
        <f ca="1">AVERAGE(OFFSET($CX$3,0,0,'Données projet'!$E$13+1,1))-AVERAGE(OFFSET($H$3,0,0,'Données projet'!$E$13+1,1))</f>
        <v>449.28947235329758</v>
      </c>
      <c r="CZ20" s="59">
        <f t="shared" si="42"/>
        <v>289.36994109443964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9.6</v>
      </c>
      <c r="DO20" s="12">
        <f>IF('Données projet'!$A$166&gt;35,DO19+DN20-DW19,IF(A20&lt;'Données projet'!$A$166,$DL$205^A20,IF(A20='Données projet'!$A$166,'Données projet'!$B$166,DO19+DN20-DW19)))</f>
        <v>56.2</v>
      </c>
      <c r="DP20" s="17">
        <f>DO20*VLOOKUP('Données projet'!$B$14,Paramètres!$A$1:$I$89,3,0)*VLOOKUP('Données projet'!$B$14,Paramètres!$A$1:$I$89,5,0)</f>
        <v>43.836000000000006</v>
      </c>
      <c r="DQ20" s="13">
        <f t="shared" si="43"/>
        <v>13.009897179721728</v>
      </c>
      <c r="DR20" s="20">
        <f t="shared" si="16"/>
        <v>99.006604254682017</v>
      </c>
      <c r="DS20" s="59">
        <f t="shared" si="17"/>
        <v>376.45104869912649</v>
      </c>
      <c r="DT20" s="59">
        <f ca="1">AVERAGE(OFFSET($DS$3,0,0,'Données projet'!$E$14+1,1))-AVERAGE(OFFSET($H$3,0,0,'Données projet'!$E$14+1,1))</f>
        <v>288.82868507674738</v>
      </c>
      <c r="DU20" s="59">
        <f t="shared" si="44"/>
        <v>283.48738729114024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0.26204487737880505</v>
      </c>
      <c r="EC20" s="21">
        <f>EXP(-LN(2)/2)*EC19+(1-EXP(-LN(2)/2))/(LN(2)/2)*DW20*DZ20*VLOOKUP('Données projet'!$B$14,Paramètres!$A$1:$I$89,3,0)*0.475*44/12</f>
        <v>0.27598162252207609</v>
      </c>
      <c r="ED20" s="22">
        <f t="shared" si="18"/>
        <v>0.53802649990088114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3.3603333333333336</v>
      </c>
      <c r="EJ20" s="12">
        <f>IF('Données projet'!$A$192&gt;35,EJ19+EI20-ER19,IF(A20&lt;'Données projet'!$A$192,$EG$205^A20,IF(A20='Données projet'!$A$192,'Données projet'!$B$192,EJ19+EI20-ER19)))</f>
        <v>57.125666666666696</v>
      </c>
      <c r="EK20" s="17">
        <f>EJ20*VLOOKUP('Données projet'!$B$15,Paramètres!$A$1:$I$89,3,0)*VLOOKUP('Données projet'!$B$15,Paramètres!$A$1:$I$89,5,0)</f>
        <v>55.251944800000032</v>
      </c>
      <c r="EL20" s="13">
        <f t="shared" si="45"/>
        <v>15.962112856437207</v>
      </c>
      <c r="EM20" s="20">
        <f t="shared" si="19"/>
        <v>124.03115041829483</v>
      </c>
      <c r="EN20" s="59">
        <f t="shared" si="20"/>
        <v>401.47559486273929</v>
      </c>
      <c r="EO20" s="59">
        <f ca="1">AVERAGE(OFFSET($EN$3,0,0,'Données projet'!$E$15+1,1))-AVERAGE(OFFSET($H$3,0,0,'Données projet'!$E$15+1,1))</f>
        <v>510.71380643466227</v>
      </c>
      <c r="EP20" s="59">
        <f t="shared" si="46"/>
        <v>252.40654099948841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3.15468085106383</v>
      </c>
      <c r="N21" s="13">
        <f>IF('Données projet'!$A$36&gt;35,N20+M21-V20,IF(A21&lt;'Données projet'!$A$36,$K$205^A21,IF(A21='Données projet'!$A$36,'Données projet'!$B$36,N20+M21-V20)))</f>
        <v>56.78425531914894</v>
      </c>
      <c r="O21" s="13">
        <f>N21*VLOOKUP('Données projet'!$B$9,Paramètres!$A$1:$I$89,3,0)*VLOOKUP('Données projet'!$B$9,Paramètres!$A$1:$I$89,5,0)</f>
        <v>57.579234893617034</v>
      </c>
      <c r="P21" s="13">
        <f t="shared" si="33"/>
        <v>16.5547644222085</v>
      </c>
      <c r="Q21" s="20">
        <f t="shared" si="2"/>
        <v>129.11671547506282</v>
      </c>
      <c r="R21" s="59">
        <f t="shared" si="0"/>
        <v>407.78338214172948</v>
      </c>
      <c r="S21" s="59">
        <f ca="1">AVERAGE(OFFSET($R$3,0,0,'Données projet'!$E$9+1,1))-AVERAGE(OFFSET($H$3,0,0,'Données projet'!$E$9+1,1))</f>
        <v>543.67050511722618</v>
      </c>
      <c r="T21" s="59">
        <f t="shared" si="34"/>
        <v>249.0871389941106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4.0942857142857143</v>
      </c>
      <c r="AI21" s="13">
        <f>IF('Données projet'!$A$62&gt;35,AI20+AH21-AQ20,IF(A21&lt;'Données projet'!$A$62,$AF$205^A21,IF(A21='Données projet'!$A$62,'Données projet'!$B$62,AI20+AH21-AQ20)))</f>
        <v>73.697142857142893</v>
      </c>
      <c r="AJ21" s="13">
        <f>AI21*VLOOKUP('Données projet'!$B$10,Paramètres!$A$1:$I$89,3,0)*VLOOKUP('Données projet'!$B$10,Paramètres!$A$1:$I$89,5,0)</f>
        <v>66.681174857142892</v>
      </c>
      <c r="AK21" s="13">
        <f t="shared" si="35"/>
        <v>18.846960938055496</v>
      </c>
      <c r="AL21" s="20">
        <f t="shared" si="4"/>
        <v>148.96150317663719</v>
      </c>
      <c r="AM21" s="59">
        <f t="shared" si="5"/>
        <v>427.62816984330391</v>
      </c>
      <c r="AN21" s="59">
        <f ca="1">AVERAGE(OFFSET($AM$3,0,0,'Données projet'!$E$10+1,1))-AVERAGE(OFFSET($H$3,0,0,'Données projet'!$E$10+1,1))</f>
        <v>635.71275911100679</v>
      </c>
      <c r="AO21" s="59">
        <f t="shared" si="36"/>
        <v>281.7776857269169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2.7884615384615379</v>
      </c>
      <c r="BD21" s="12">
        <f>IF('Données projet'!$A$88&gt;35,BD20+BC21-BL20,IF(A21&lt;'Données projet'!$A$88,$BA$205^A21,IF(A21='Données projet'!$A$88,'Données projet'!$B$88,BD20+BC21-BL20)))</f>
        <v>37.303981651950231</v>
      </c>
      <c r="BE21" s="13">
        <f>BD21*VLOOKUP('Données projet'!$B$11,Paramètres!$A$1:$I$89,3,0)*VLOOKUP('Données projet'!$B$11,Paramètres!$A$1:$I$89,5,0)</f>
        <v>32.588758371143726</v>
      </c>
      <c r="BF21" s="13">
        <f t="shared" si="37"/>
        <v>10.011491558201302</v>
      </c>
      <c r="BG21" s="20">
        <f t="shared" si="7"/>
        <v>74.19543529360925</v>
      </c>
      <c r="BH21" s="59">
        <f t="shared" si="8"/>
        <v>352.86210196027594</v>
      </c>
      <c r="BI21" s="59">
        <f ca="1">AVERAGE(OFFSET($BH$3,0,0,'Données projet'!$E$11+1,1))-AVERAGE(OFFSET($H$3,0,0,'Données projet'!$E$11+1,1))</f>
        <v>204.11804238362862</v>
      </c>
      <c r="BJ21" s="59">
        <f t="shared" si="38"/>
        <v>185.53854651509408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3.15468085106383</v>
      </c>
      <c r="BY21" s="12">
        <f>IF('Données projet'!$A$114&gt;35,BY20+BX21-CG20,IF(A21&lt;'Données projet'!$A$114,$BV$205^A21,IF(A21='Données projet'!$A$114,'Données projet'!$B$114,BY20+BX21-CG20)))</f>
        <v>56.78425531914894</v>
      </c>
      <c r="BZ21" s="13">
        <f>BY21*VLOOKUP('Données projet'!$B$12,Paramètres!$A$1:$I$89,3,0)*VLOOKUP('Données projet'!$B$12,Paramètres!$A$1:$I$89,5,0)</f>
        <v>56.693400510638313</v>
      </c>
      <c r="CA21" s="13">
        <f t="shared" si="39"/>
        <v>16.329518838476297</v>
      </c>
      <c r="CB21" s="20">
        <f t="shared" si="10"/>
        <v>127.18158453304126</v>
      </c>
      <c r="CC21" s="59">
        <f t="shared" si="11"/>
        <v>405.84825119970793</v>
      </c>
      <c r="CD21" s="59">
        <f ca="1">AVERAGE(OFFSET($CC$3,0,0,'Données projet'!$E$12+1,1))-AVERAGE(OFFSET($H$3,0,0,'Données projet'!$E$12+1,1))</f>
        <v>535.99935263833549</v>
      </c>
      <c r="CE21" s="59">
        <f t="shared" si="40"/>
        <v>245.89966477332644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4.016578947368421</v>
      </c>
      <c r="CT21" s="12">
        <f>IF('Données projet'!$A$140&gt;35,CT20+CS21-DB20,IF(A21&lt;'Données projet'!$A$140,$CQ$205^A21,IF(A21='Données projet'!$A$140,'Données projet'!$B$140,CT20+CS21-DB20)))</f>
        <v>72.298421052631582</v>
      </c>
      <c r="CU21" s="17">
        <f>CT21*VLOOKUP('Données projet'!$B$13,Paramètres!$A$1:$I$89,3,0)*VLOOKUP('Données projet'!$B$13,Paramètres!$A$1:$I$89,5,0)</f>
        <v>68.79917747368421</v>
      </c>
      <c r="CV21" s="13">
        <f t="shared" si="41"/>
        <v>19.37495136883436</v>
      </c>
      <c r="CW21" s="20">
        <f t="shared" si="13"/>
        <v>153.56994106738651</v>
      </c>
      <c r="CX21" s="59">
        <f t="shared" si="14"/>
        <v>432.23660773405322</v>
      </c>
      <c r="CY21" s="59">
        <f ca="1">AVERAGE(OFFSET($CX$3,0,0,'Données projet'!$E$13+1,1))-AVERAGE(OFFSET($H$3,0,0,'Données projet'!$E$13+1,1))</f>
        <v>449.28947235329758</v>
      </c>
      <c r="CZ21" s="59">
        <f t="shared" si="42"/>
        <v>289.36994109443964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9.6</v>
      </c>
      <c r="DO21" s="12">
        <f>IF('Données projet'!$A$166&gt;35,DO20+DN21-DW20,IF(A21&lt;'Données projet'!$A$166,$DL$205^A21,IF(A21='Données projet'!$A$166,'Données projet'!$B$166,DO20+DN21-DW20)))</f>
        <v>65.8</v>
      </c>
      <c r="DP21" s="17">
        <f>DO21*VLOOKUP('Données projet'!$B$14,Paramètres!$A$1:$I$89,3,0)*VLOOKUP('Données projet'!$B$14,Paramètres!$A$1:$I$89,5,0)</f>
        <v>51.323999999999998</v>
      </c>
      <c r="DQ21" s="13">
        <f t="shared" si="43"/>
        <v>14.95516659950003</v>
      </c>
      <c r="DR21" s="20">
        <f t="shared" si="16"/>
        <v>115.43621516079588</v>
      </c>
      <c r="DS21" s="59">
        <f t="shared" si="17"/>
        <v>394.10288182746257</v>
      </c>
      <c r="DT21" s="59">
        <f ca="1">AVERAGE(OFFSET($DS$3,0,0,'Données projet'!$E$14+1,1))-AVERAGE(OFFSET($H$3,0,0,'Données projet'!$E$14+1,1))</f>
        <v>288.82868507674738</v>
      </c>
      <c r="DU21" s="59">
        <f t="shared" si="44"/>
        <v>283.48738729114024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0.25487924642654042</v>
      </c>
      <c r="EC21" s="21">
        <f>EXP(-LN(2)/2)*EC20+(1-EXP(-LN(2)/2))/(LN(2)/2)*DW21*DZ21*VLOOKUP('Données projet'!$B$14,Paramètres!$A$1:$I$89,3,0)*0.475*44/12</f>
        <v>0.19514847676822603</v>
      </c>
      <c r="ED21" s="22">
        <f t="shared" si="18"/>
        <v>0.45002772319476647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3.3603333333333336</v>
      </c>
      <c r="EJ21" s="12">
        <f>IF('Données projet'!$A$192&gt;35,EJ20+EI21-ER20,IF(A21&lt;'Données projet'!$A$192,$EG$205^A21,IF(A21='Données projet'!$A$192,'Données projet'!$B$192,EJ20+EI21-ER20)))</f>
        <v>60.486000000000033</v>
      </c>
      <c r="EK21" s="17">
        <f>EJ21*VLOOKUP('Données projet'!$B$15,Paramètres!$A$1:$I$89,3,0)*VLOOKUP('Données projet'!$B$15,Paramètres!$A$1:$I$89,5,0)</f>
        <v>58.502059200000033</v>
      </c>
      <c r="EL21" s="13">
        <f t="shared" si="45"/>
        <v>16.788987108787442</v>
      </c>
      <c r="EM21" s="20">
        <f t="shared" si="19"/>
        <v>131.13190565447152</v>
      </c>
      <c r="EN21" s="59">
        <f t="shared" si="20"/>
        <v>409.79857232113818</v>
      </c>
      <c r="EO21" s="59">
        <f ca="1">AVERAGE(OFFSET($EN$3,0,0,'Données projet'!$E$15+1,1))-AVERAGE(OFFSET($H$3,0,0,'Données projet'!$E$15+1,1))</f>
        <v>510.71380643466227</v>
      </c>
      <c r="EP21" s="59">
        <f t="shared" si="46"/>
        <v>252.40654099948841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3.15468085106383</v>
      </c>
      <c r="N22" s="13">
        <f>IF('Données projet'!$A$36&gt;35,N21+M22-V21,IF(A22&lt;'Données projet'!$A$36,$K$205^A22,IF(A22='Données projet'!$A$36,'Données projet'!$B$36,N21+M22-V21)))</f>
        <v>59.93893617021277</v>
      </c>
      <c r="O22" s="13">
        <f>N22*VLOOKUP('Données projet'!$B$9,Paramètres!$A$1:$I$89,3,0)*VLOOKUP('Données projet'!$B$9,Paramètres!$A$1:$I$89,5,0)</f>
        <v>60.778081276595749</v>
      </c>
      <c r="P22" s="13">
        <f t="shared" si="33"/>
        <v>17.364844608391596</v>
      </c>
      <c r="Q22" s="20">
        <f t="shared" si="2"/>
        <v>136.09892924968628</v>
      </c>
      <c r="R22" s="59">
        <f t="shared" si="0"/>
        <v>415.98781813857511</v>
      </c>
      <c r="S22" s="59">
        <f ca="1">AVERAGE(OFFSET($R$3,0,0,'Données projet'!$E$9+1,1))-AVERAGE(OFFSET($H$3,0,0,'Données projet'!$E$9+1,1))</f>
        <v>543.67050511722618</v>
      </c>
      <c r="T22" s="59">
        <f t="shared" si="34"/>
        <v>249.0871389941106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4.0942857142857143</v>
      </c>
      <c r="AI22" s="13">
        <f>IF('Données projet'!$A$62&gt;35,AI21+AH22-AQ21,IF(A22&lt;'Données projet'!$A$62,$AF$205^A22,IF(A22='Données projet'!$A$62,'Données projet'!$B$62,AI21+AH22-AQ21)))</f>
        <v>77.791428571428611</v>
      </c>
      <c r="AJ22" s="13">
        <f>AI22*VLOOKUP('Données projet'!$B$10,Paramètres!$A$1:$I$89,3,0)*VLOOKUP('Données projet'!$B$10,Paramètres!$A$1:$I$89,5,0)</f>
        <v>70.385684571428612</v>
      </c>
      <c r="AK22" s="13">
        <f t="shared" si="35"/>
        <v>19.769205993092573</v>
      </c>
      <c r="AL22" s="20">
        <f t="shared" si="4"/>
        <v>157.01976773320771</v>
      </c>
      <c r="AM22" s="59">
        <f t="shared" si="5"/>
        <v>436.9086566220966</v>
      </c>
      <c r="AN22" s="59">
        <f ca="1">AVERAGE(OFFSET($AM$3,0,0,'Données projet'!$E$10+1,1))-AVERAGE(OFFSET($H$3,0,0,'Données projet'!$E$10+1,1))</f>
        <v>635.71275911100679</v>
      </c>
      <c r="AO22" s="59">
        <f t="shared" si="36"/>
        <v>281.7776857269169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2.7884615384615379</v>
      </c>
      <c r="BD22" s="12">
        <f>IF('Données projet'!$A$88&gt;35,BD21+BC22-BL21,IF(A22&lt;'Données projet'!$A$88,$BA$205^A22,IF(A22='Données projet'!$A$88,'Données projet'!$B$88,BD21+BC22-BL21)))</f>
        <v>45.611559514653344</v>
      </c>
      <c r="BE22" s="13">
        <f>BD22*VLOOKUP('Données projet'!$B$11,Paramètres!$A$1:$I$89,3,0)*VLOOKUP('Données projet'!$B$11,Paramètres!$A$1:$I$89,5,0)</f>
        <v>39.846258392001168</v>
      </c>
      <c r="BF22" s="13">
        <f t="shared" si="37"/>
        <v>11.957888548134614</v>
      </c>
      <c r="BG22" s="20">
        <f t="shared" si="7"/>
        <v>90.225555920736483</v>
      </c>
      <c r="BH22" s="59">
        <f t="shared" si="8"/>
        <v>370.11444480962535</v>
      </c>
      <c r="BI22" s="59">
        <f ca="1">AVERAGE(OFFSET($BH$3,0,0,'Données projet'!$E$11+1,1))-AVERAGE(OFFSET($H$3,0,0,'Données projet'!$E$11+1,1))</f>
        <v>204.11804238362862</v>
      </c>
      <c r="BJ22" s="59">
        <f t="shared" si="38"/>
        <v>185.53854651509408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3.15468085106383</v>
      </c>
      <c r="BY22" s="12">
        <f>IF('Données projet'!$A$114&gt;35,BY21+BX22-CG21,IF(A22&lt;'Données projet'!$A$114,$BV$205^A22,IF(A22='Données projet'!$A$114,'Données projet'!$B$114,BY21+BX22-CG21)))</f>
        <v>59.93893617021277</v>
      </c>
      <c r="BZ22" s="13">
        <f>BY22*VLOOKUP('Données projet'!$B$12,Paramètres!$A$1:$I$89,3,0)*VLOOKUP('Données projet'!$B$12,Paramètres!$A$1:$I$89,5,0)</f>
        <v>59.843033872340435</v>
      </c>
      <c r="CA22" s="13">
        <f t="shared" si="39"/>
        <v>17.128577002252239</v>
      </c>
      <c r="CB22" s="20">
        <f t="shared" si="10"/>
        <v>134.05888893991556</v>
      </c>
      <c r="CC22" s="59">
        <f t="shared" si="11"/>
        <v>413.94777782880442</v>
      </c>
      <c r="CD22" s="59">
        <f ca="1">AVERAGE(OFFSET($CC$3,0,0,'Données projet'!$E$12+1,1))-AVERAGE(OFFSET($H$3,0,0,'Données projet'!$E$12+1,1))</f>
        <v>535.99935263833549</v>
      </c>
      <c r="CE22" s="59">
        <f t="shared" si="40"/>
        <v>245.89966477332644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4.016578947368421</v>
      </c>
      <c r="CT22" s="12">
        <f>IF('Données projet'!$A$140&gt;35,CT21+CS22-DB21,IF(A22&lt;'Données projet'!$A$140,$CQ$205^A22,IF(A22='Données projet'!$A$140,'Données projet'!$B$140,CT21+CS22-DB21)))</f>
        <v>76.314999999999998</v>
      </c>
      <c r="CU22" s="17">
        <f>CT22*VLOOKUP('Données projet'!$B$13,Paramètres!$A$1:$I$89,3,0)*VLOOKUP('Données projet'!$B$13,Paramètres!$A$1:$I$89,5,0)</f>
        <v>72.621353999999997</v>
      </c>
      <c r="CV22" s="13">
        <f t="shared" si="41"/>
        <v>20.323032767751659</v>
      </c>
      <c r="CW22" s="20">
        <f t="shared" si="13"/>
        <v>161.87814028716744</v>
      </c>
      <c r="CX22" s="59">
        <f t="shared" si="14"/>
        <v>441.76702917605633</v>
      </c>
      <c r="CY22" s="59">
        <f ca="1">AVERAGE(OFFSET($CX$3,0,0,'Données projet'!$E$13+1,1))-AVERAGE(OFFSET($H$3,0,0,'Données projet'!$E$13+1,1))</f>
        <v>449.28947235329758</v>
      </c>
      <c r="CZ22" s="59">
        <f t="shared" si="42"/>
        <v>289.36994109443964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9.6</v>
      </c>
      <c r="DO22" s="12">
        <f>IF('Données projet'!$A$166&gt;35,DO21+DN22-DW21,IF(A22&lt;'Données projet'!$A$166,$DL$205^A22,IF(A22='Données projet'!$A$166,'Données projet'!$B$166,DO21+DN22-DW21)))</f>
        <v>75.399999999999991</v>
      </c>
      <c r="DP22" s="17">
        <f>DO22*VLOOKUP('Données projet'!$B$14,Paramètres!$A$1:$I$89,3,0)*VLOOKUP('Données projet'!$B$14,Paramètres!$A$1:$I$89,5,0)</f>
        <v>58.811999999999998</v>
      </c>
      <c r="DQ22" s="13">
        <f t="shared" si="43"/>
        <v>16.86755663452599</v>
      </c>
      <c r="DR22" s="20">
        <f t="shared" si="16"/>
        <v>131.8085611384661</v>
      </c>
      <c r="DS22" s="59">
        <f t="shared" si="17"/>
        <v>411.69745002735499</v>
      </c>
      <c r="DT22" s="59">
        <f ca="1">AVERAGE(OFFSET($DS$3,0,0,'Données projet'!$E$14+1,1))-AVERAGE(OFFSET($H$3,0,0,'Données projet'!$E$14+1,1))</f>
        <v>288.82868507674738</v>
      </c>
      <c r="DU22" s="59">
        <f t="shared" si="44"/>
        <v>283.48738729114024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0.24790956002948963</v>
      </c>
      <c r="EC22" s="21">
        <f>EXP(-LN(2)/2)*EC21+(1-EXP(-LN(2)/2))/(LN(2)/2)*DW22*DZ22*VLOOKUP('Données projet'!$B$14,Paramètres!$A$1:$I$89,3,0)*0.475*44/12</f>
        <v>0.13799081126103807</v>
      </c>
      <c r="ED22" s="22">
        <f t="shared" si="18"/>
        <v>0.38590037129052768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3.3603333333333336</v>
      </c>
      <c r="EJ22" s="12">
        <f>IF('Données projet'!$A$192&gt;35,EJ21+EI22-ER21,IF(A22&lt;'Données projet'!$A$192,$EG$205^A22,IF(A22='Données projet'!$A$192,'Données projet'!$B$192,EJ21+EI22-ER21)))</f>
        <v>63.846333333333369</v>
      </c>
      <c r="EK22" s="17">
        <f>EJ22*VLOOKUP('Données projet'!$B$15,Paramètres!$A$1:$I$89,3,0)*VLOOKUP('Données projet'!$B$15,Paramètres!$A$1:$I$89,5,0)</f>
        <v>61.752173600000035</v>
      </c>
      <c r="EL22" s="13">
        <f t="shared" si="45"/>
        <v>17.610528597149965</v>
      </c>
      <c r="EM22" s="20">
        <f t="shared" si="19"/>
        <v>138.22337299336959</v>
      </c>
      <c r="EN22" s="59">
        <f t="shared" si="20"/>
        <v>418.11226188225845</v>
      </c>
      <c r="EO22" s="59">
        <f ca="1">AVERAGE(OFFSET($EN$3,0,0,'Données projet'!$E$15+1,1))-AVERAGE(OFFSET($H$3,0,0,'Données projet'!$E$15+1,1))</f>
        <v>510.71380643466227</v>
      </c>
      <c r="EP22" s="59">
        <f t="shared" si="46"/>
        <v>252.40654099948841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3.15468085106383</v>
      </c>
      <c r="N23" s="13">
        <f>IF('Données projet'!$A$36&gt;35,N22+M23-V22,IF(A23&lt;'Données projet'!$A$36,$K$205^A23,IF(A23='Données projet'!$A$36,'Données projet'!$B$36,N22+M23-V22)))</f>
        <v>63.0936170212766</v>
      </c>
      <c r="O23" s="13">
        <f>N23*VLOOKUP('Données projet'!$B$9,Paramètres!$A$1:$I$89,3,0)*VLOOKUP('Données projet'!$B$9,Paramètres!$A$1:$I$89,5,0)</f>
        <v>63.976927659574471</v>
      </c>
      <c r="P23" s="13">
        <f t="shared" si="33"/>
        <v>18.169974745835987</v>
      </c>
      <c r="Q23" s="20">
        <f t="shared" si="2"/>
        <v>143.07252168942321</v>
      </c>
      <c r="R23" s="59">
        <f t="shared" si="0"/>
        <v>424.18363280053438</v>
      </c>
      <c r="S23" s="59">
        <f ca="1">AVERAGE(OFFSET($R$3,0,0,'Données projet'!$E$9+1,1))-AVERAGE(OFFSET($H$3,0,0,'Données projet'!$E$9+1,1))</f>
        <v>543.67050511722618</v>
      </c>
      <c r="T23" s="59">
        <f t="shared" si="34"/>
        <v>249.0871389941106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4.0942857142857143</v>
      </c>
      <c r="AI23" s="13">
        <f>IF('Données projet'!$A$62&gt;35,AI22+AH23-AQ22,IF(A23&lt;'Données projet'!$A$62,$AF$205^A23,IF(A23='Données projet'!$A$62,'Données projet'!$B$62,AI22+AH23-AQ22)))</f>
        <v>81.885714285714329</v>
      </c>
      <c r="AJ23" s="13">
        <f>AI23*VLOOKUP('Données projet'!$B$10,Paramètres!$A$1:$I$89,3,0)*VLOOKUP('Données projet'!$B$10,Paramètres!$A$1:$I$89,5,0)</f>
        <v>74.090194285714318</v>
      </c>
      <c r="AK23" s="13">
        <f t="shared" si="35"/>
        <v>20.685815608516002</v>
      </c>
      <c r="AL23" s="20">
        <f t="shared" si="4"/>
        <v>165.06821723245113</v>
      </c>
      <c r="AM23" s="59">
        <f t="shared" si="5"/>
        <v>446.17932834356225</v>
      </c>
      <c r="AN23" s="59">
        <f ca="1">AVERAGE(OFFSET($AM$3,0,0,'Données projet'!$E$10+1,1))-AVERAGE(OFFSET($H$3,0,0,'Données projet'!$E$10+1,1))</f>
        <v>635.71275911100679</v>
      </c>
      <c r="AO23" s="59">
        <f t="shared" si="36"/>
        <v>281.7776857269169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55.769230769230759</v>
      </c>
      <c r="BB23" s="12">
        <f>VLOOKUP(A23,'Données projet'!$A$87:$I$107,9,0)</f>
        <v>2.7884615384615379</v>
      </c>
      <c r="BC23" s="12">
        <f t="array" ref="BC23">INDEX(BB:BB,MIN(IF(ISNUMBER(BB23:BB219),ROW(BB23:BB219),"")))</f>
        <v>2.7884615384615379</v>
      </c>
      <c r="BD23" s="12">
        <f>IF('Données projet'!$A$88&gt;35,BD22+BC23-BL22,IF(A23&lt;'Données projet'!$A$88,$BA$205^A23,IF(A23='Données projet'!$A$88,'Données projet'!$B$88,BD22+BC23-BL22)))</f>
        <v>55.769230769230759</v>
      </c>
      <c r="BE23" s="13">
        <f>BD23*VLOOKUP('Données projet'!$B$11,Paramètres!$A$1:$I$89,3,0)*VLOOKUP('Données projet'!$B$11,Paramètres!$A$1:$I$89,5,0)</f>
        <v>48.72</v>
      </c>
      <c r="BF23" s="13">
        <f t="shared" si="37"/>
        <v>14.282696808795901</v>
      </c>
      <c r="BG23" s="20">
        <f t="shared" si="7"/>
        <v>109.72969694198621</v>
      </c>
      <c r="BH23" s="59">
        <f t="shared" si="8"/>
        <v>390.84080805309736</v>
      </c>
      <c r="BI23" s="59">
        <f ca="1">AVERAGE(OFFSET($BH$3,0,0,'Données projet'!$E$11+1,1))-AVERAGE(OFFSET($H$3,0,0,'Données projet'!$E$11+1,1))</f>
        <v>204.11804238362862</v>
      </c>
      <c r="BJ23" s="59">
        <f t="shared" si="38"/>
        <v>185.53854651509408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18.589743589743588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0.215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3.8446626361501948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3.8446626361501948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3.15468085106383</v>
      </c>
      <c r="BY23" s="12">
        <f>IF('Données projet'!$A$114&gt;35,BY22+BX23-CG22,IF(A23&lt;'Données projet'!$A$114,$BV$205^A23,IF(A23='Données projet'!$A$114,'Données projet'!$B$114,BY22+BX23-CG22)))</f>
        <v>63.0936170212766</v>
      </c>
      <c r="BZ23" s="13">
        <f>BY23*VLOOKUP('Données projet'!$B$12,Paramètres!$A$1:$I$89,3,0)*VLOOKUP('Données projet'!$B$12,Paramètres!$A$1:$I$89,5,0)</f>
        <v>62.992667234042564</v>
      </c>
      <c r="CA23" s="13">
        <f t="shared" si="39"/>
        <v>17.922752468088877</v>
      </c>
      <c r="CB23" s="20">
        <f t="shared" si="10"/>
        <v>140.9276893145456</v>
      </c>
      <c r="CC23" s="59">
        <f t="shared" si="11"/>
        <v>422.03880042565675</v>
      </c>
      <c r="CD23" s="59">
        <f ca="1">AVERAGE(OFFSET($CC$3,0,0,'Données projet'!$E$12+1,1))-AVERAGE(OFFSET($H$3,0,0,'Données projet'!$E$12+1,1))</f>
        <v>535.99935263833549</v>
      </c>
      <c r="CE23" s="59">
        <f t="shared" si="40"/>
        <v>245.89966477332644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4.016578947368421</v>
      </c>
      <c r="CT23" s="12">
        <f>IF('Données projet'!$A$140&gt;35,CT22+CS23-DB22,IF(A23&lt;'Données projet'!$A$140,$CQ$205^A23,IF(A23='Données projet'!$A$140,'Données projet'!$B$140,CT22+CS23-DB22)))</f>
        <v>80.331578947368413</v>
      </c>
      <c r="CU23" s="17">
        <f>CT23*VLOOKUP('Données projet'!$B$13,Paramètres!$A$1:$I$89,3,0)*VLOOKUP('Données projet'!$B$13,Paramètres!$A$1:$I$89,5,0)</f>
        <v>76.443530526315783</v>
      </c>
      <c r="CV23" s="13">
        <f t="shared" si="41"/>
        <v>21.265320852361398</v>
      </c>
      <c r="CW23" s="20">
        <f t="shared" si="13"/>
        <v>170.17624948452939</v>
      </c>
      <c r="CX23" s="59">
        <f t="shared" si="14"/>
        <v>451.28736059564051</v>
      </c>
      <c r="CY23" s="59">
        <f ca="1">AVERAGE(OFFSET($CX$3,0,0,'Données projet'!$E$13+1,1))-AVERAGE(OFFSET($H$3,0,0,'Données projet'!$E$13+1,1))</f>
        <v>449.28947235329758</v>
      </c>
      <c r="CZ23" s="59">
        <f t="shared" si="42"/>
        <v>289.36994109443964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85</v>
      </c>
      <c r="DM23" s="12">
        <f>VLOOKUP(A23,'Données projet'!$A$165:$I$185,9,0)</f>
        <v>9.6</v>
      </c>
      <c r="DN23" s="12">
        <f t="array" ref="DN23">INDEX(DM:DM,MIN(IF(ISNUMBER(DM23:DM219),ROW(DM23:DM219),"")))</f>
        <v>9.6</v>
      </c>
      <c r="DO23" s="12">
        <f>IF('Données projet'!$A$166&gt;35,DO22+DN23-DW22,IF(A23&lt;'Données projet'!$A$166,$DL$205^A23,IF(A23='Données projet'!$A$166,'Données projet'!$B$166,DO22+DN23-DW22)))</f>
        <v>84.999999999999986</v>
      </c>
      <c r="DP23" s="17">
        <f>DO23*VLOOKUP('Données projet'!$B$14,Paramètres!$A$1:$I$89,3,0)*VLOOKUP('Données projet'!$B$14,Paramètres!$A$1:$I$89,5,0)</f>
        <v>66.3</v>
      </c>
      <c r="DQ23" s="13">
        <f t="shared" si="43"/>
        <v>18.751733344032118</v>
      </c>
      <c r="DR23" s="20">
        <f t="shared" si="16"/>
        <v>148.13176890752257</v>
      </c>
      <c r="DS23" s="59">
        <f t="shared" si="17"/>
        <v>429.24288001863374</v>
      </c>
      <c r="DT23" s="59">
        <f ca="1">AVERAGE(OFFSET($DS$3,0,0,'Données projet'!$E$14+1,1))-AVERAGE(OFFSET($H$3,0,0,'Données projet'!$E$14+1,1))</f>
        <v>288.82868507674738</v>
      </c>
      <c r="DU23" s="59">
        <f t="shared" si="44"/>
        <v>283.48738729114024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25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0.1075</v>
      </c>
      <c r="DZ23" s="16">
        <f>IF(ISNA(VLOOKUP(A23,'Données projet'!$A$165:$I$185,7,0)),0%,VLOOKUP(A23,'Données projet'!$A$165:$I$185,7,0))</f>
        <v>0.25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2.5493484836242497</v>
      </c>
      <c r="EC23" s="21">
        <f>EXP(-LN(2)/2)*EC22+(1-EXP(-LN(2)/2))/(LN(2)/2)*DW23*DZ23*VLOOKUP('Données projet'!$B$14,Paramètres!$A$1:$I$89,3,0)*0.475*44/12</f>
        <v>4.69726794708538</v>
      </c>
      <c r="ED23" s="22">
        <f t="shared" si="18"/>
        <v>7.2466164307096292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3.3603333333333336</v>
      </c>
      <c r="EJ23" s="12">
        <f>IF('Données projet'!$A$192&gt;35,EJ22+EI23-ER22,IF(A23&lt;'Données projet'!$A$192,$EG$205^A23,IF(A23='Données projet'!$A$192,'Données projet'!$B$192,EJ22+EI23-ER22)))</f>
        <v>67.206666666666706</v>
      </c>
      <c r="EK23" s="17">
        <f>EJ23*VLOOKUP('Données projet'!$B$15,Paramètres!$A$1:$I$89,3,0)*VLOOKUP('Données projet'!$B$15,Paramètres!$A$1:$I$89,5,0)</f>
        <v>65.002288000000036</v>
      </c>
      <c r="EL23" s="13">
        <f t="shared" si="45"/>
        <v>18.427050001726204</v>
      </c>
      <c r="EM23" s="20">
        <f t="shared" si="19"/>
        <v>145.30609701967319</v>
      </c>
      <c r="EN23" s="59">
        <f t="shared" si="20"/>
        <v>426.41720813078433</v>
      </c>
      <c r="EO23" s="59">
        <f ca="1">AVERAGE(OFFSET($EN$3,0,0,'Données projet'!$E$15+1,1))-AVERAGE(OFFSET($H$3,0,0,'Données projet'!$E$15+1,1))</f>
        <v>510.71380643466227</v>
      </c>
      <c r="EP23" s="59">
        <f t="shared" si="46"/>
        <v>252.40654099948841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3.15468085106383</v>
      </c>
      <c r="N24" s="13">
        <f>IF('Données projet'!$A$36&gt;35,N23+M24-V23,IF(A24&lt;'Données projet'!$A$36,$K$205^A24,IF(A24='Données projet'!$A$36,'Données projet'!$B$36,N23+M24-V23)))</f>
        <v>66.24829787234043</v>
      </c>
      <c r="O24" s="13">
        <f>N24*VLOOKUP('Données projet'!$B$9,Paramètres!$A$1:$I$89,3,0)*VLOOKUP('Données projet'!$B$9,Paramètres!$A$1:$I$89,5,0)</f>
        <v>67.175774042553201</v>
      </c>
      <c r="P24" s="13">
        <f t="shared" si="33"/>
        <v>18.970430579076694</v>
      </c>
      <c r="Q24" s="20">
        <f t="shared" si="2"/>
        <v>150.03797304933872</v>
      </c>
      <c r="R24" s="59">
        <f t="shared" si="0"/>
        <v>432.37130638267206</v>
      </c>
      <c r="S24" s="59">
        <f ca="1">AVERAGE(OFFSET($R$3,0,0,'Données projet'!$E$9+1,1))-AVERAGE(OFFSET($H$3,0,0,'Données projet'!$E$9+1,1))</f>
        <v>543.67050511722618</v>
      </c>
      <c r="T24" s="59">
        <f t="shared" si="34"/>
        <v>249.0871389941106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4.0942857142857143</v>
      </c>
      <c r="AI24" s="13">
        <f>IF('Données projet'!$A$62&gt;35,AI23+AH24-AQ23,IF(A24&lt;'Données projet'!$A$62,$AF$205^A24,IF(A24='Données projet'!$A$62,'Données projet'!$B$62,AI23+AH24-AQ23)))</f>
        <v>85.980000000000047</v>
      </c>
      <c r="AJ24" s="13">
        <f>AI24*VLOOKUP('Données projet'!$B$10,Paramètres!$A$1:$I$89,3,0)*VLOOKUP('Données projet'!$B$10,Paramètres!$A$1:$I$89,5,0)</f>
        <v>77.794704000000038</v>
      </c>
      <c r="AK24" s="13">
        <f t="shared" si="35"/>
        <v>21.597103708846074</v>
      </c>
      <c r="AL24" s="20">
        <f t="shared" si="4"/>
        <v>173.10739842624028</v>
      </c>
      <c r="AM24" s="59">
        <f t="shared" si="5"/>
        <v>455.44073175957362</v>
      </c>
      <c r="AN24" s="59">
        <f ca="1">AVERAGE(OFFSET($AM$3,0,0,'Données projet'!$E$10+1,1))-AVERAGE(OFFSET($H$3,0,0,'Données projet'!$E$10+1,1))</f>
        <v>635.71275911100679</v>
      </c>
      <c r="AO24" s="59">
        <f t="shared" si="36"/>
        <v>281.7776857269169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5.1282051282051295</v>
      </c>
      <c r="BD24" s="12">
        <f>IF('Données projet'!$A$88&gt;35,BD23+BC24-BL23,IF(A24&lt;'Données projet'!$A$88,$BA$205^A24,IF(A24='Données projet'!$A$88,'Données projet'!$B$88,BD23+BC24-BL23)))</f>
        <v>42.307692307692307</v>
      </c>
      <c r="BE24" s="13">
        <f>BD24*VLOOKUP('Données projet'!$B$11,Paramètres!$A$1:$I$89,3,0)*VLOOKUP('Données projet'!$B$11,Paramètres!$A$1:$I$89,5,0)</f>
        <v>36.96</v>
      </c>
      <c r="BF24" s="13">
        <f t="shared" si="37"/>
        <v>11.189225514592357</v>
      </c>
      <c r="BG24" s="20">
        <f t="shared" si="7"/>
        <v>83.859901104581681</v>
      </c>
      <c r="BH24" s="59">
        <f t="shared" si="8"/>
        <v>366.19323443791501</v>
      </c>
      <c r="BI24" s="59">
        <f ca="1">AVERAGE(OFFSET($BH$3,0,0,'Données projet'!$E$11+1,1))-AVERAGE(OFFSET($H$3,0,0,'Données projet'!$E$11+1,1))</f>
        <v>204.11804238362862</v>
      </c>
      <c r="BJ24" s="59">
        <f t="shared" si="38"/>
        <v>185.53854651509408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3.7395301341826466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3.7395301341826466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3.15468085106383</v>
      </c>
      <c r="BY24" s="12">
        <f>IF('Données projet'!$A$114&gt;35,BY23+BX24-CG23,IF(A24&lt;'Données projet'!$A$114,$BV$205^A24,IF(A24='Données projet'!$A$114,'Données projet'!$B$114,BY23+BX24-CG23)))</f>
        <v>66.24829787234043</v>
      </c>
      <c r="BZ24" s="13">
        <f>BY24*VLOOKUP('Données projet'!$B$12,Paramètres!$A$1:$I$89,3,0)*VLOOKUP('Données projet'!$B$12,Paramètres!$A$1:$I$89,5,0)</f>
        <v>66.142300595744686</v>
      </c>
      <c r="CA24" s="13">
        <f t="shared" si="39"/>
        <v>18.712317228716778</v>
      </c>
      <c r="CB24" s="20">
        <f t="shared" si="10"/>
        <v>147.78845937760369</v>
      </c>
      <c r="CC24" s="59">
        <f t="shared" si="11"/>
        <v>430.12179271093703</v>
      </c>
      <c r="CD24" s="59">
        <f ca="1">AVERAGE(OFFSET($CC$3,0,0,'Données projet'!$E$12+1,1))-AVERAGE(OFFSET($H$3,0,0,'Données projet'!$E$12+1,1))</f>
        <v>535.99935263833549</v>
      </c>
      <c r="CE24" s="59">
        <f t="shared" si="40"/>
        <v>245.89966477332644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4.016578947368421</v>
      </c>
      <c r="CT24" s="12">
        <f>IF('Données projet'!$A$140&gt;35,CT23+CS24-DB23,IF(A24&lt;'Données projet'!$A$140,$CQ$205^A24,IF(A24='Données projet'!$A$140,'Données projet'!$B$140,CT23+CS24-DB23)))</f>
        <v>84.348157894736829</v>
      </c>
      <c r="CU24" s="17">
        <f>CT24*VLOOKUP('Données projet'!$B$13,Paramètres!$A$1:$I$89,3,0)*VLOOKUP('Données projet'!$B$13,Paramètres!$A$1:$I$89,5,0)</f>
        <v>80.265707052631569</v>
      </c>
      <c r="CV24" s="13">
        <f t="shared" si="41"/>
        <v>22.202138341659698</v>
      </c>
      <c r="CW24" s="20">
        <f t="shared" si="13"/>
        <v>178.46483072839058</v>
      </c>
      <c r="CX24" s="59">
        <f t="shared" si="14"/>
        <v>460.79816406172392</v>
      </c>
      <c r="CY24" s="59">
        <f ca="1">AVERAGE(OFFSET($CX$3,0,0,'Données projet'!$E$13+1,1))-AVERAGE(OFFSET($H$3,0,0,'Données projet'!$E$13+1,1))</f>
        <v>449.28947235329758</v>
      </c>
      <c r="CZ24" s="59">
        <f t="shared" si="42"/>
        <v>289.36994109443964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10.6</v>
      </c>
      <c r="DO24" s="12">
        <f>IF('Données projet'!$A$166&gt;35,DO23+DN24-DW23,IF(A24&lt;'Données projet'!$A$166,$DL$205^A24,IF(A24='Données projet'!$A$166,'Données projet'!$B$166,DO23+DN24-DW23)))</f>
        <v>70.59999999999998</v>
      </c>
      <c r="DP24" s="17">
        <f>DO24*VLOOKUP('Données projet'!$B$14,Paramètres!$A$1:$I$89,3,0)*VLOOKUP('Données projet'!$B$14,Paramètres!$A$1:$I$89,5,0)</f>
        <v>55.067999999999984</v>
      </c>
      <c r="DQ24" s="13">
        <f t="shared" si="43"/>
        <v>15.915148294580479</v>
      </c>
      <c r="DR24" s="20">
        <f t="shared" si="16"/>
        <v>123.62898327972762</v>
      </c>
      <c r="DS24" s="59">
        <f t="shared" si="17"/>
        <v>405.96231661306092</v>
      </c>
      <c r="DT24" s="59">
        <f ca="1">AVERAGE(OFFSET($DS$3,0,0,'Données projet'!$E$14+1,1))-AVERAGE(OFFSET($H$3,0,0,'Données projet'!$E$14+1,1))</f>
        <v>288.82868507674738</v>
      </c>
      <c r="DU24" s="59">
        <f t="shared" si="44"/>
        <v>283.48738729114024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2.4796364152751345</v>
      </c>
      <c r="EC24" s="21">
        <f>EXP(-LN(2)/2)*EC23+(1-EXP(-LN(2)/2))/(LN(2)/2)*DW24*DZ24*VLOOKUP('Données projet'!$B$14,Paramètres!$A$1:$I$89,3,0)*0.475*44/12</f>
        <v>3.3214700184342854</v>
      </c>
      <c r="ED24" s="22">
        <f t="shared" si="18"/>
        <v>5.8011064337094194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3.3603333333333336</v>
      </c>
      <c r="EJ24" s="12">
        <f>IF('Données projet'!$A$192&gt;35,EJ23+EI24-ER23,IF(A24&lt;'Données projet'!$A$192,$EG$205^A24,IF(A24='Données projet'!$A$192,'Données projet'!$B$192,EJ23+EI24-ER23)))</f>
        <v>70.567000000000036</v>
      </c>
      <c r="EK24" s="17">
        <f>EJ24*VLOOKUP('Données projet'!$B$15,Paramètres!$A$1:$I$89,3,0)*VLOOKUP('Données projet'!$B$15,Paramètres!$A$1:$I$89,5,0)</f>
        <v>68.252402400000037</v>
      </c>
      <c r="EL24" s="13">
        <f t="shared" si="45"/>
        <v>19.238830968382739</v>
      </c>
      <c r="EM24" s="20">
        <f t="shared" si="19"/>
        <v>152.38056478326666</v>
      </c>
      <c r="EN24" s="59">
        <f t="shared" si="20"/>
        <v>434.71389811659998</v>
      </c>
      <c r="EO24" s="59">
        <f ca="1">AVERAGE(OFFSET($EN$3,0,0,'Données projet'!$E$15+1,1))-AVERAGE(OFFSET($H$3,0,0,'Données projet'!$E$15+1,1))</f>
        <v>510.71380643466227</v>
      </c>
      <c r="EP24" s="59">
        <f t="shared" si="46"/>
        <v>252.40654099948841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3.15468085106383</v>
      </c>
      <c r="N25" s="13">
        <f>IF('Données projet'!$A$36&gt;35,N24+M25-V24,IF(A25&lt;'Données projet'!$A$36,$K$205^A25,IF(A25='Données projet'!$A$36,'Données projet'!$B$36,N24+M25-V24)))</f>
        <v>69.40297872340426</v>
      </c>
      <c r="O25" s="13">
        <f>N25*VLOOKUP('Données projet'!$B$9,Paramètres!$A$1:$I$89,3,0)*VLOOKUP('Données projet'!$B$9,Paramètres!$A$1:$I$89,5,0)</f>
        <v>70.37462042553193</v>
      </c>
      <c r="P25" s="13">
        <f t="shared" si="33"/>
        <v>19.766460107348305</v>
      </c>
      <c r="Q25" s="20">
        <f t="shared" si="2"/>
        <v>156.99571526143308</v>
      </c>
      <c r="R25" s="59">
        <f t="shared" si="0"/>
        <v>440.55127081698862</v>
      </c>
      <c r="S25" s="59">
        <f ca="1">AVERAGE(OFFSET($R$3,0,0,'Données projet'!$E$9+1,1))-AVERAGE(OFFSET($H$3,0,0,'Données projet'!$E$9+1,1))</f>
        <v>543.67050511722618</v>
      </c>
      <c r="T25" s="59">
        <f t="shared" si="34"/>
        <v>249.0871389941106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4.0942857142857143</v>
      </c>
      <c r="AI25" s="13">
        <f>IF('Données projet'!$A$62&gt;35,AI24+AH25-AQ24,IF(A25&lt;'Données projet'!$A$62,$AF$205^A25,IF(A25='Données projet'!$A$62,'Données projet'!$B$62,AI24+AH25-AQ24)))</f>
        <v>90.074285714285764</v>
      </c>
      <c r="AJ25" s="13">
        <f>AI25*VLOOKUP('Données projet'!$B$10,Paramètres!$A$1:$I$89,3,0)*VLOOKUP('Données projet'!$B$10,Paramètres!$A$1:$I$89,5,0)</f>
        <v>81.499213714285759</v>
      </c>
      <c r="AK25" s="13">
        <f t="shared" si="35"/>
        <v>22.503352631648468</v>
      </c>
      <c r="AL25" s="20">
        <f t="shared" si="4"/>
        <v>181.13780305250211</v>
      </c>
      <c r="AM25" s="59">
        <f t="shared" si="5"/>
        <v>464.69335860805768</v>
      </c>
      <c r="AN25" s="59">
        <f ca="1">AVERAGE(OFFSET($AM$3,0,0,'Données projet'!$E$10+1,1))-AVERAGE(OFFSET($H$3,0,0,'Données projet'!$E$10+1,1))</f>
        <v>635.71275911100679</v>
      </c>
      <c r="AO25" s="59">
        <f t="shared" si="36"/>
        <v>281.7776857269169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5.1282051282051295</v>
      </c>
      <c r="BD25" s="12">
        <f>IF('Données projet'!$A$88&gt;35,BD24+BC25-BL24,IF(A25&lt;'Données projet'!$A$88,$BA$205^A25,IF(A25='Données projet'!$A$88,'Données projet'!$B$88,BD24+BC25-BL24)))</f>
        <v>47.435897435897438</v>
      </c>
      <c r="BE25" s="13">
        <f>BD25*VLOOKUP('Données projet'!$B$11,Paramètres!$A$1:$I$89,3,0)*VLOOKUP('Données projet'!$B$11,Paramètres!$A$1:$I$89,5,0)</f>
        <v>41.440000000000012</v>
      </c>
      <c r="BF25" s="13">
        <f t="shared" si="37"/>
        <v>12.37952989938819</v>
      </c>
      <c r="BG25" s="20">
        <f t="shared" si="7"/>
        <v>93.735681241434449</v>
      </c>
      <c r="BH25" s="59">
        <f t="shared" si="8"/>
        <v>377.29123679699001</v>
      </c>
      <c r="BI25" s="59">
        <f ca="1">AVERAGE(OFFSET($BH$3,0,0,'Données projet'!$E$11+1,1))-AVERAGE(OFFSET($H$3,0,0,'Données projet'!$E$11+1,1))</f>
        <v>204.11804238362862</v>
      </c>
      <c r="BJ25" s="59">
        <f t="shared" si="38"/>
        <v>185.53854651509408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3.6372724860100791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3.6372724860100791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3.15468085106383</v>
      </c>
      <c r="BY25" s="12">
        <f>IF('Données projet'!$A$114&gt;35,BY24+BX25-CG24,IF(A25&lt;'Données projet'!$A$114,$BV$205^A25,IF(A25='Données projet'!$A$114,'Données projet'!$B$114,BY24+BX25-CG24)))</f>
        <v>69.40297872340426</v>
      </c>
      <c r="BZ25" s="13">
        <f>BY25*VLOOKUP('Données projet'!$B$12,Paramètres!$A$1:$I$89,3,0)*VLOOKUP('Données projet'!$B$12,Paramètres!$A$1:$I$89,5,0)</f>
        <v>69.291933957446815</v>
      </c>
      <c r="CA25" s="13">
        <f t="shared" si="39"/>
        <v>19.49751590907109</v>
      </c>
      <c r="CB25" s="20">
        <f t="shared" si="10"/>
        <v>154.64162518418536</v>
      </c>
      <c r="CC25" s="59">
        <f t="shared" si="11"/>
        <v>438.19718073974093</v>
      </c>
      <c r="CD25" s="59">
        <f ca="1">AVERAGE(OFFSET($CC$3,0,0,'Données projet'!$E$12+1,1))-AVERAGE(OFFSET($H$3,0,0,'Données projet'!$E$12+1,1))</f>
        <v>535.99935263833549</v>
      </c>
      <c r="CE25" s="59">
        <f t="shared" si="40"/>
        <v>245.89966477332644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4.016578947368421</v>
      </c>
      <c r="CT25" s="12">
        <f>IF('Données projet'!$A$140&gt;35,CT24+CS25-DB24,IF(A25&lt;'Données projet'!$A$140,$CQ$205^A25,IF(A25='Données projet'!$A$140,'Données projet'!$B$140,CT24+CS25-DB24)))</f>
        <v>88.364736842105245</v>
      </c>
      <c r="CU25" s="17">
        <f>CT25*VLOOKUP('Données projet'!$B$13,Paramètres!$A$1:$I$89,3,0)*VLOOKUP('Données projet'!$B$13,Paramètres!$A$1:$I$89,5,0)</f>
        <v>84.087883578947356</v>
      </c>
      <c r="CV25" s="13">
        <f t="shared" si="41"/>
        <v>23.133775482791631</v>
      </c>
      <c r="CW25" s="20">
        <f t="shared" si="13"/>
        <v>186.74438953252874</v>
      </c>
      <c r="CX25" s="59">
        <f t="shared" si="14"/>
        <v>470.29994508808431</v>
      </c>
      <c r="CY25" s="59">
        <f ca="1">AVERAGE(OFFSET($CX$3,0,0,'Données projet'!$E$13+1,1))-AVERAGE(OFFSET($H$3,0,0,'Données projet'!$E$13+1,1))</f>
        <v>449.28947235329758</v>
      </c>
      <c r="CZ25" s="59">
        <f t="shared" si="42"/>
        <v>289.36994109443964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10.6</v>
      </c>
      <c r="DO25" s="12">
        <f>IF('Données projet'!$A$166&gt;35,DO24+DN25-DW24,IF(A25&lt;'Données projet'!$A$166,$DL$205^A25,IF(A25='Données projet'!$A$166,'Données projet'!$B$166,DO24+DN25-DW24)))</f>
        <v>81.199999999999974</v>
      </c>
      <c r="DP25" s="17">
        <f>DO25*VLOOKUP('Données projet'!$B$14,Paramètres!$A$1:$I$89,3,0)*VLOOKUP('Données projet'!$B$14,Paramètres!$A$1:$I$89,5,0)</f>
        <v>63.335999999999984</v>
      </c>
      <c r="DQ25" s="13">
        <f t="shared" si="43"/>
        <v>18.009040022946227</v>
      </c>
      <c r="DR25" s="20">
        <f t="shared" si="16"/>
        <v>141.67594470663133</v>
      </c>
      <c r="DS25" s="59">
        <f t="shared" si="17"/>
        <v>425.23150026218684</v>
      </c>
      <c r="DT25" s="59">
        <f ca="1">AVERAGE(OFFSET($DS$3,0,0,'Données projet'!$E$14+1,1))-AVERAGE(OFFSET($H$3,0,0,'Données projet'!$E$14+1,1))</f>
        <v>288.82868507674738</v>
      </c>
      <c r="DU25" s="59">
        <f t="shared" si="44"/>
        <v>283.48738729114024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2.4118306271010241</v>
      </c>
      <c r="EC25" s="21">
        <f>EXP(-LN(2)/2)*EC24+(1-EXP(-LN(2)/2))/(LN(2)/2)*DW25*DZ25*VLOOKUP('Données projet'!$B$14,Paramètres!$A$1:$I$89,3,0)*0.475*44/12</f>
        <v>2.3486339735426904</v>
      </c>
      <c r="ED25" s="22">
        <f t="shared" si="18"/>
        <v>4.760464600643715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3.3603333333333336</v>
      </c>
      <c r="EJ25" s="12">
        <f>IF('Données projet'!$A$192&gt;35,EJ24+EI25-ER24,IF(A25&lt;'Données projet'!$A$192,$EG$205^A25,IF(A25='Données projet'!$A$192,'Données projet'!$B$192,EJ24+EI25-ER24)))</f>
        <v>73.927333333333365</v>
      </c>
      <c r="EK25" s="17">
        <f>EJ25*VLOOKUP('Données projet'!$B$15,Paramètres!$A$1:$I$89,3,0)*VLOOKUP('Données projet'!$B$15,Paramètres!$A$1:$I$89,5,0)</f>
        <v>71.502516800000038</v>
      </c>
      <c r="EL25" s="13">
        <f t="shared" si="45"/>
        <v>20.046123005135481</v>
      </c>
      <c r="EM25" s="20">
        <f t="shared" si="19"/>
        <v>159.44721432727769</v>
      </c>
      <c r="EN25" s="59">
        <f t="shared" si="20"/>
        <v>443.00276988283326</v>
      </c>
      <c r="EO25" s="59">
        <f ca="1">AVERAGE(OFFSET($EN$3,0,0,'Données projet'!$E$15+1,1))-AVERAGE(OFFSET($H$3,0,0,'Données projet'!$E$15+1,1))</f>
        <v>510.71380643466227</v>
      </c>
      <c r="EP25" s="59">
        <f t="shared" si="46"/>
        <v>252.40654099948841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3.15468085106383</v>
      </c>
      <c r="N26" s="13">
        <f>IF('Données projet'!$A$36&gt;35,N25+M26-V25,IF(A26&lt;'Données projet'!$A$36,$K$205^A26,IF(A26='Données projet'!$A$36,'Données projet'!$B$36,N25+M26-V25)))</f>
        <v>72.55765957446809</v>
      </c>
      <c r="O26" s="13">
        <f>N26*VLOOKUP('Données projet'!$B$9,Paramètres!$A$1:$I$89,3,0)*VLOOKUP('Données projet'!$B$9,Paramètres!$A$1:$I$89,5,0)</f>
        <v>73.573466808510659</v>
      </c>
      <c r="P26" s="13">
        <f t="shared" si="33"/>
        <v>20.558287510093926</v>
      </c>
      <c r="Q26" s="20">
        <f t="shared" si="2"/>
        <v>163.94613877156965</v>
      </c>
      <c r="R26" s="59">
        <f t="shared" si="0"/>
        <v>448.72391654934745</v>
      </c>
      <c r="S26" s="59">
        <f ca="1">AVERAGE(OFFSET($R$3,0,0,'Données projet'!$E$9+1,1))-AVERAGE(OFFSET($H$3,0,0,'Données projet'!$E$9+1,1))</f>
        <v>543.67050511722618</v>
      </c>
      <c r="T26" s="59">
        <f t="shared" si="34"/>
        <v>249.0871389941106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4.0942857142857143</v>
      </c>
      <c r="AI26" s="13">
        <f>IF('Données projet'!$A$62&gt;35,AI25+AH26-AQ25,IF(A26&lt;'Données projet'!$A$62,$AF$205^A26,IF(A26='Données projet'!$A$62,'Données projet'!$B$62,AI25+AH26-AQ25)))</f>
        <v>94.168571428571482</v>
      </c>
      <c r="AJ26" s="13">
        <f>AI26*VLOOKUP('Données projet'!$B$10,Paramètres!$A$1:$I$89,3,0)*VLOOKUP('Données projet'!$B$10,Paramètres!$A$1:$I$89,5,0)</f>
        <v>85.203723428571479</v>
      </c>
      <c r="AK26" s="13">
        <f t="shared" si="35"/>
        <v>23.404817596574706</v>
      </c>
      <c r="AL26" s="20">
        <f t="shared" si="4"/>
        <v>189.15987561879626</v>
      </c>
      <c r="AM26" s="59">
        <f t="shared" si="5"/>
        <v>473.93765339657404</v>
      </c>
      <c r="AN26" s="59">
        <f ca="1">AVERAGE(OFFSET($AM$3,0,0,'Données projet'!$E$10+1,1))-AVERAGE(OFFSET($H$3,0,0,'Données projet'!$E$10+1,1))</f>
        <v>635.71275911100679</v>
      </c>
      <c r="AO26" s="59">
        <f t="shared" si="36"/>
        <v>281.7776857269169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5.1282051282051295</v>
      </c>
      <c r="BD26" s="12">
        <f>IF('Données projet'!$A$88&gt;35,BD25+BC26-BL25,IF(A26&lt;'Données projet'!$A$88,$BA$205^A26,IF(A26='Données projet'!$A$88,'Données projet'!$B$88,BD25+BC26-BL25)))</f>
        <v>52.564102564102569</v>
      </c>
      <c r="BE26" s="13">
        <f>BD26*VLOOKUP('Données projet'!$B$11,Paramètres!$A$1:$I$89,3,0)*VLOOKUP('Données projet'!$B$11,Paramètres!$A$1:$I$89,5,0)</f>
        <v>45.920000000000009</v>
      </c>
      <c r="BF26" s="13">
        <f t="shared" si="37"/>
        <v>13.554918962034838</v>
      </c>
      <c r="BG26" s="20">
        <f t="shared" si="7"/>
        <v>103.58548385887735</v>
      </c>
      <c r="BH26" s="59">
        <f t="shared" si="8"/>
        <v>388.36326163665512</v>
      </c>
      <c r="BI26" s="59">
        <f ca="1">AVERAGE(OFFSET($BH$3,0,0,'Données projet'!$E$11+1,1))-AVERAGE(OFFSET($H$3,0,0,'Données projet'!$E$11+1,1))</f>
        <v>204.11804238362862</v>
      </c>
      <c r="BJ26" s="59">
        <f t="shared" si="38"/>
        <v>185.53854651509408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3.5378110786042867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3.5378110786042867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3.15468085106383</v>
      </c>
      <c r="BY26" s="12">
        <f>IF('Données projet'!$A$114&gt;35,BY25+BX26-CG25,IF(A26&lt;'Données projet'!$A$114,$BV$205^A26,IF(A26='Données projet'!$A$114,'Données projet'!$B$114,BY25+BX26-CG25)))</f>
        <v>72.55765957446809</v>
      </c>
      <c r="BZ26" s="13">
        <f>BY26*VLOOKUP('Données projet'!$B$12,Paramètres!$A$1:$I$89,3,0)*VLOOKUP('Données projet'!$B$12,Paramètres!$A$1:$I$89,5,0)</f>
        <v>72.441567319148945</v>
      </c>
      <c r="CA26" s="13">
        <f t="shared" si="39"/>
        <v>20.278569638389662</v>
      </c>
      <c r="CB26" s="20">
        <f t="shared" si="10"/>
        <v>161.48757186771309</v>
      </c>
      <c r="CC26" s="59">
        <f t="shared" si="11"/>
        <v>446.26534964549086</v>
      </c>
      <c r="CD26" s="59">
        <f ca="1">AVERAGE(OFFSET($CC$3,0,0,'Données projet'!$E$12+1,1))-AVERAGE(OFFSET($H$3,0,0,'Données projet'!$E$12+1,1))</f>
        <v>535.99935263833549</v>
      </c>
      <c r="CE26" s="59">
        <f t="shared" si="40"/>
        <v>245.89966477332644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4.016578947368421</v>
      </c>
      <c r="CT26" s="12">
        <f>IF('Données projet'!$A$140&gt;35,CT25+CS26-DB25,IF(A26&lt;'Données projet'!$A$140,$CQ$205^A26,IF(A26='Données projet'!$A$140,'Données projet'!$B$140,CT25+CS26-DB25)))</f>
        <v>92.381315789473661</v>
      </c>
      <c r="CU26" s="17">
        <f>CT26*VLOOKUP('Données projet'!$B$13,Paramètres!$A$1:$I$89,3,0)*VLOOKUP('Données projet'!$B$13,Paramètres!$A$1:$I$89,5,0)</f>
        <v>87.910060105263142</v>
      </c>
      <c r="CV26" s="13">
        <f t="shared" si="41"/>
        <v>24.060494645289975</v>
      </c>
      <c r="CW26" s="20">
        <f t="shared" si="13"/>
        <v>195.01538285721335</v>
      </c>
      <c r="CX26" s="59">
        <f t="shared" si="14"/>
        <v>479.79316063499112</v>
      </c>
      <c r="CY26" s="59">
        <f ca="1">AVERAGE(OFFSET($CX$3,0,0,'Données projet'!$E$13+1,1))-AVERAGE(OFFSET($H$3,0,0,'Données projet'!$E$13+1,1))</f>
        <v>449.28947235329758</v>
      </c>
      <c r="CZ26" s="59">
        <f t="shared" si="42"/>
        <v>289.36994109443964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10.6</v>
      </c>
      <c r="DO26" s="12">
        <f>IF('Données projet'!$A$166&gt;35,DO25+DN26-DW25,IF(A26&lt;'Données projet'!$A$166,$DL$205^A26,IF(A26='Données projet'!$A$166,'Données projet'!$B$166,DO25+DN26-DW25)))</f>
        <v>91.799999999999969</v>
      </c>
      <c r="DP26" s="17">
        <f>DO26*VLOOKUP('Données projet'!$B$14,Paramètres!$A$1:$I$89,3,0)*VLOOKUP('Données projet'!$B$14,Paramètres!$A$1:$I$89,5,0)</f>
        <v>71.603999999999985</v>
      </c>
      <c r="DQ26" s="13">
        <f t="shared" si="43"/>
        <v>20.071260561992585</v>
      </c>
      <c r="DR26" s="20">
        <f t="shared" si="16"/>
        <v>159.66774547880371</v>
      </c>
      <c r="DS26" s="59">
        <f t="shared" si="17"/>
        <v>444.44552325658151</v>
      </c>
      <c r="DT26" s="59">
        <f ca="1">AVERAGE(OFFSET($DS$3,0,0,'Données projet'!$E$14+1,1))-AVERAGE(OFFSET($H$3,0,0,'Données projet'!$E$14+1,1))</f>
        <v>288.82868507674738</v>
      </c>
      <c r="DU26" s="59">
        <f t="shared" si="44"/>
        <v>283.48738729114024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2.3458789917702862</v>
      </c>
      <c r="EC26" s="21">
        <f>EXP(-LN(2)/2)*EC25+(1-EXP(-LN(2)/2))/(LN(2)/2)*DW26*DZ26*VLOOKUP('Données projet'!$B$14,Paramètres!$A$1:$I$89,3,0)*0.475*44/12</f>
        <v>1.6607350092171429</v>
      </c>
      <c r="ED26" s="22">
        <f t="shared" si="18"/>
        <v>4.0066140009874296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3.3603333333333336</v>
      </c>
      <c r="EJ26" s="12">
        <f>IF('Données projet'!$A$192&gt;35,EJ25+EI26-ER25,IF(A26&lt;'Données projet'!$A$192,$EG$205^A26,IF(A26='Données projet'!$A$192,'Données projet'!$B$192,EJ25+EI26-ER25)))</f>
        <v>77.287666666666695</v>
      </c>
      <c r="EK26" s="17">
        <f>EJ26*VLOOKUP('Données projet'!$B$15,Paramètres!$A$1:$I$89,3,0)*VLOOKUP('Données projet'!$B$15,Paramètres!$A$1:$I$89,5,0)</f>
        <v>74.752631200000025</v>
      </c>
      <c r="EL26" s="13">
        <f t="shared" si="45"/>
        <v>20.84915346319784</v>
      </c>
      <c r="EM26" s="20">
        <f t="shared" si="19"/>
        <v>166.50644162173626</v>
      </c>
      <c r="EN26" s="59">
        <f t="shared" si="20"/>
        <v>451.28421939951403</v>
      </c>
      <c r="EO26" s="59">
        <f ca="1">AVERAGE(OFFSET($EN$3,0,0,'Données projet'!$E$15+1,1))-AVERAGE(OFFSET($H$3,0,0,'Données projet'!$E$15+1,1))</f>
        <v>510.71380643466227</v>
      </c>
      <c r="EP26" s="59">
        <f t="shared" si="46"/>
        <v>252.40654099948841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3.15468085106383</v>
      </c>
      <c r="N27" s="13">
        <f>IF('Données projet'!$A$36&gt;35,N26+M27-V26,IF(A27&lt;'Données projet'!$A$36,$K$205^A27,IF(A27='Données projet'!$A$36,'Données projet'!$B$36,N26+M27-V26)))</f>
        <v>75.71234042553192</v>
      </c>
      <c r="O27" s="13">
        <f>N27*VLOOKUP('Données projet'!$B$9,Paramètres!$A$1:$I$89,3,0)*VLOOKUP('Données projet'!$B$9,Paramètres!$A$1:$I$89,5,0)</f>
        <v>76.772313191489374</v>
      </c>
      <c r="P27" s="13">
        <f t="shared" si="33"/>
        <v>21.346116370513087</v>
      </c>
      <c r="Q27" s="20">
        <f t="shared" si="2"/>
        <v>170.88959815382097</v>
      </c>
      <c r="R27" s="59">
        <f t="shared" si="0"/>
        <v>456.889598153821</v>
      </c>
      <c r="S27" s="59">
        <f ca="1">AVERAGE(OFFSET($R$3,0,0,'Données projet'!$E$9+1,1))-AVERAGE(OFFSET($H$3,0,0,'Données projet'!$E$9+1,1))</f>
        <v>543.67050511722618</v>
      </c>
      <c r="T27" s="59">
        <f t="shared" si="34"/>
        <v>249.0871389941106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4.0942857142857143</v>
      </c>
      <c r="AI27" s="13">
        <f>IF('Données projet'!$A$62&gt;35,AI26+AH27-AQ26,IF(A27&lt;'Données projet'!$A$62,$AF$205^A27,IF(A27='Données projet'!$A$62,'Données projet'!$B$62,AI26+AH27-AQ26)))</f>
        <v>98.2628571428572</v>
      </c>
      <c r="AJ27" s="13">
        <f>AI27*VLOOKUP('Données projet'!$B$10,Paramètres!$A$1:$I$89,3,0)*VLOOKUP('Données projet'!$B$10,Paramètres!$A$1:$I$89,5,0)</f>
        <v>88.908233142857185</v>
      </c>
      <c r="AK27" s="13">
        <f t="shared" si="35"/>
        <v>24.301730375247274</v>
      </c>
      <c r="AL27" s="20">
        <f t="shared" si="4"/>
        <v>197.17401979403192</v>
      </c>
      <c r="AM27" s="59">
        <f t="shared" si="5"/>
        <v>483.17401979403189</v>
      </c>
      <c r="AN27" s="59">
        <f ca="1">AVERAGE(OFFSET($AM$3,0,0,'Données projet'!$E$10+1,1))-AVERAGE(OFFSET($H$3,0,0,'Données projet'!$E$10+1,1))</f>
        <v>635.71275911100679</v>
      </c>
      <c r="AO27" s="59">
        <f t="shared" si="36"/>
        <v>281.7776857269169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5.1282051282051295</v>
      </c>
      <c r="BD27" s="12">
        <f>IF('Données projet'!$A$88&gt;35,BD26+BC27-BL26,IF(A27&lt;'Données projet'!$A$88,$BA$205^A27,IF(A27='Données projet'!$A$88,'Données projet'!$B$88,BD26+BC27-BL26)))</f>
        <v>57.692307692307701</v>
      </c>
      <c r="BE27" s="13">
        <f>BD27*VLOOKUP('Données projet'!$B$11,Paramètres!$A$1:$I$89,3,0)*VLOOKUP('Données projet'!$B$11,Paramètres!$A$1:$I$89,5,0)</f>
        <v>50.400000000000013</v>
      </c>
      <c r="BF27" s="13">
        <f t="shared" si="37"/>
        <v>14.717013453056426</v>
      </c>
      <c r="BG27" s="20">
        <f t="shared" si="7"/>
        <v>113.41213176407329</v>
      </c>
      <c r="BH27" s="59">
        <f t="shared" si="8"/>
        <v>399.41213176407331</v>
      </c>
      <c r="BI27" s="59">
        <f ca="1">AVERAGE(OFFSET($BH$3,0,0,'Données projet'!$E$11+1,1))-AVERAGE(OFFSET($H$3,0,0,'Données projet'!$E$11+1,1))</f>
        <v>204.11804238362862</v>
      </c>
      <c r="BJ27" s="59">
        <f t="shared" si="38"/>
        <v>185.53854651509408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3.4410694486144537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3.4410694486144537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3.15468085106383</v>
      </c>
      <c r="BY27" s="12">
        <f>IF('Données projet'!$A$114&gt;35,BY26+BX27-CG26,IF(A27&lt;'Données projet'!$A$114,$BV$205^A27,IF(A27='Données projet'!$A$114,'Données projet'!$B$114,BY26+BX27-CG26)))</f>
        <v>75.71234042553192</v>
      </c>
      <c r="BZ27" s="13">
        <f>BY27*VLOOKUP('Données projet'!$B$12,Paramètres!$A$1:$I$89,3,0)*VLOOKUP('Données projet'!$B$12,Paramètres!$A$1:$I$89,5,0)</f>
        <v>75.591200680851074</v>
      </c>
      <c r="CA27" s="13">
        <f t="shared" si="39"/>
        <v>21.055679229901067</v>
      </c>
      <c r="CB27" s="20">
        <f t="shared" si="10"/>
        <v>168.3266491778933</v>
      </c>
      <c r="CC27" s="59">
        <f t="shared" si="11"/>
        <v>454.32664917789327</v>
      </c>
      <c r="CD27" s="59">
        <f ca="1">AVERAGE(OFFSET($CC$3,0,0,'Données projet'!$E$12+1,1))-AVERAGE(OFFSET($H$3,0,0,'Données projet'!$E$12+1,1))</f>
        <v>535.99935263833549</v>
      </c>
      <c r="CE27" s="59">
        <f t="shared" si="40"/>
        <v>245.89966477332644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4.016578947368421</v>
      </c>
      <c r="CT27" s="12">
        <f>IF('Données projet'!$A$140&gt;35,CT26+CS27-DB26,IF(A27&lt;'Données projet'!$A$140,$CQ$205^A27,IF(A27='Données projet'!$A$140,'Données projet'!$B$140,CT26+CS27-DB26)))</f>
        <v>96.397894736842076</v>
      </c>
      <c r="CU27" s="17">
        <f>CT27*VLOOKUP('Données projet'!$B$13,Paramètres!$A$1:$I$89,3,0)*VLOOKUP('Données projet'!$B$13,Paramètres!$A$1:$I$89,5,0)</f>
        <v>91.732236631578928</v>
      </c>
      <c r="CV27" s="13">
        <f t="shared" si="41"/>
        <v>24.982534093770941</v>
      </c>
      <c r="CW27" s="20">
        <f t="shared" si="13"/>
        <v>203.27822567998433</v>
      </c>
      <c r="CX27" s="59">
        <f t="shared" si="14"/>
        <v>489.2782256799843</v>
      </c>
      <c r="CY27" s="59">
        <f ca="1">AVERAGE(OFFSET($CX$3,0,0,'Données projet'!$E$13+1,1))-AVERAGE(OFFSET($H$3,0,0,'Données projet'!$E$13+1,1))</f>
        <v>449.28947235329758</v>
      </c>
      <c r="CZ27" s="59">
        <f t="shared" si="42"/>
        <v>289.36994109443964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10.6</v>
      </c>
      <c r="DO27" s="12">
        <f>IF('Données projet'!$A$166&gt;35,DO26+DN27-DW26,IF(A27&lt;'Données projet'!$A$166,$DL$205^A27,IF(A27='Données projet'!$A$166,'Données projet'!$B$166,DO26+DN27-DW26)))</f>
        <v>102.39999999999996</v>
      </c>
      <c r="DP27" s="17">
        <f>DO27*VLOOKUP('Données projet'!$B$14,Paramètres!$A$1:$I$89,3,0)*VLOOKUP('Données projet'!$B$14,Paramètres!$A$1:$I$89,5,0)</f>
        <v>79.871999999999971</v>
      </c>
      <c r="DQ27" s="13">
        <f t="shared" si="43"/>
        <v>22.105884547145401</v>
      </c>
      <c r="DR27" s="20">
        <f t="shared" si="16"/>
        <v>177.61148225294485</v>
      </c>
      <c r="DS27" s="59">
        <f t="shared" si="17"/>
        <v>463.61148225294482</v>
      </c>
      <c r="DT27" s="59">
        <f ca="1">AVERAGE(OFFSET($DS$3,0,0,'Données projet'!$E$14+1,1))-AVERAGE(OFFSET($H$3,0,0,'Données projet'!$E$14+1,1))</f>
        <v>288.82868507674738</v>
      </c>
      <c r="DU27" s="59">
        <f t="shared" si="44"/>
        <v>283.48738729114024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2.2817308073759133</v>
      </c>
      <c r="EC27" s="21">
        <f>EXP(-LN(2)/2)*EC26+(1-EXP(-LN(2)/2))/(LN(2)/2)*DW27*DZ27*VLOOKUP('Données projet'!$B$14,Paramètres!$A$1:$I$89,3,0)*0.475*44/12</f>
        <v>1.1743169867713454</v>
      </c>
      <c r="ED27" s="22">
        <f t="shared" si="18"/>
        <v>3.4560477941472589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3.3603333333333336</v>
      </c>
      <c r="EJ27" s="12">
        <f>IF('Données projet'!$A$192&gt;35,EJ26+EI27-ER26,IF(A27&lt;'Données projet'!$A$192,$EG$205^A27,IF(A27='Données projet'!$A$192,'Données projet'!$B$192,EJ26+EI27-ER26)))</f>
        <v>80.648000000000025</v>
      </c>
      <c r="EK27" s="17">
        <f>EJ27*VLOOKUP('Données projet'!$B$15,Paramètres!$A$1:$I$89,3,0)*VLOOKUP('Données projet'!$B$15,Paramètres!$A$1:$I$89,5,0)</f>
        <v>78.002745600000026</v>
      </c>
      <c r="EL27" s="13">
        <f t="shared" si="45"/>
        <v>21.648128806136818</v>
      </c>
      <c r="EM27" s="20">
        <f t="shared" si="19"/>
        <v>173.55860625735497</v>
      </c>
      <c r="EN27" s="59">
        <f t="shared" si="20"/>
        <v>459.558606257355</v>
      </c>
      <c r="EO27" s="59">
        <f ca="1">AVERAGE(OFFSET($EN$3,0,0,'Données projet'!$E$15+1,1))-AVERAGE(OFFSET($H$3,0,0,'Données projet'!$E$15+1,1))</f>
        <v>510.71380643466227</v>
      </c>
      <c r="EP27" s="59">
        <f t="shared" si="46"/>
        <v>252.40654099948841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3.15468085106383</v>
      </c>
      <c r="N28" s="13">
        <f>IF('Données projet'!$A$36&gt;35,N27+M28-V27,IF(A28&lt;'Données projet'!$A$36,$K$205^A28,IF(A28='Données projet'!$A$36,'Données projet'!$B$36,N27+M28-V27)))</f>
        <v>78.86702127659575</v>
      </c>
      <c r="O28" s="13">
        <f>N28*VLOOKUP('Données projet'!$B$9,Paramètres!$A$1:$I$89,3,0)*VLOOKUP('Données projet'!$B$9,Paramètres!$A$1:$I$89,5,0)</f>
        <v>79.971159574468089</v>
      </c>
      <c r="P28" s="13">
        <f t="shared" si="33"/>
        <v>22.130132346712966</v>
      </c>
      <c r="Q28" s="20">
        <f t="shared" si="2"/>
        <v>177.82641676272365</v>
      </c>
      <c r="R28" s="59">
        <f t="shared" si="0"/>
        <v>465.04863898494591</v>
      </c>
      <c r="S28" s="59">
        <f ca="1">AVERAGE(OFFSET($R$3,0,0,'Données projet'!$E$9+1,1))-AVERAGE(OFFSET($H$3,0,0,'Données projet'!$E$9+1,1))</f>
        <v>543.67050511722618</v>
      </c>
      <c r="T28" s="59">
        <f t="shared" si="34"/>
        <v>249.0871389941106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4.0942857142857143</v>
      </c>
      <c r="AI28" s="13">
        <f>IF('Données projet'!$A$62&gt;35,AI27+AH28-AQ27,IF(A28&lt;'Données projet'!$A$62,$AF$205^A28,IF(A28='Données projet'!$A$62,'Données projet'!$B$62,AI27+AH28-AQ27)))</f>
        <v>102.35714285714292</v>
      </c>
      <c r="AJ28" s="13">
        <f>AI28*VLOOKUP('Données projet'!$B$10,Paramètres!$A$1:$I$89,3,0)*VLOOKUP('Données projet'!$B$10,Paramètres!$A$1:$I$89,5,0)</f>
        <v>92.612742857142905</v>
      </c>
      <c r="AK28" s="13">
        <f t="shared" si="35"/>
        <v>25.194302332262133</v>
      </c>
      <c r="AL28" s="20">
        <f t="shared" si="4"/>
        <v>205.18060370488044</v>
      </c>
      <c r="AM28" s="59">
        <f t="shared" si="5"/>
        <v>492.40282592710264</v>
      </c>
      <c r="AN28" s="59">
        <f ca="1">AVERAGE(OFFSET($AM$3,0,0,'Données projet'!$E$10+1,1))-AVERAGE(OFFSET($H$3,0,0,'Données projet'!$E$10+1,1))</f>
        <v>635.71275911100679</v>
      </c>
      <c r="AO28" s="59">
        <f t="shared" si="36"/>
        <v>281.7776857269169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62.820512820512818</v>
      </c>
      <c r="BB28" s="12">
        <f>VLOOKUP(A28,'Données projet'!$A$87:$I$107,9,0)</f>
        <v>5.1282051282051295</v>
      </c>
      <c r="BC28" s="12">
        <f t="array" ref="BC28">INDEX(BB:BB,MIN(IF(ISNUMBER(BB28:BB224),ROW(BB28:BB224),"")))</f>
        <v>5.1282051282051295</v>
      </c>
      <c r="BD28" s="12">
        <f>IF('Données projet'!$A$88&gt;35,BD27+BC28-BL27,IF(A28&lt;'Données projet'!$A$88,$BA$205^A28,IF(A28='Données projet'!$A$88,'Données projet'!$B$88,BD27+BC28-BL27)))</f>
        <v>62.820512820512832</v>
      </c>
      <c r="BE28" s="13">
        <f>BD28*VLOOKUP('Données projet'!$B$11,Paramètres!$A$1:$I$89,3,0)*VLOOKUP('Données projet'!$B$11,Paramètres!$A$1:$I$89,5,0)</f>
        <v>54.880000000000017</v>
      </c>
      <c r="BF28" s="13">
        <f t="shared" si="37"/>
        <v>15.867129491049784</v>
      </c>
      <c r="BG28" s="20">
        <f t="shared" si="7"/>
        <v>123.21791719691173</v>
      </c>
      <c r="BH28" s="59">
        <f t="shared" si="8"/>
        <v>410.44013941913397</v>
      </c>
      <c r="BI28" s="59">
        <f ca="1">AVERAGE(OFFSET($BH$3,0,0,'Données projet'!$E$11+1,1))-AVERAGE(OFFSET($H$3,0,0,'Données projet'!$E$11+1,1))</f>
        <v>204.11804238362862</v>
      </c>
      <c r="BJ28" s="59">
        <f t="shared" si="38"/>
        <v>185.53854651509408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12.179487179487179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0.215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5.8658901231307938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5.8658901231307938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3.15468085106383</v>
      </c>
      <c r="BY28" s="12">
        <f>IF('Données projet'!$A$114&gt;35,BY27+BX28-CG27,IF(A28&lt;'Données projet'!$A$114,$BV$205^A28,IF(A28='Données projet'!$A$114,'Données projet'!$B$114,BY27+BX28-CG27)))</f>
        <v>78.86702127659575</v>
      </c>
      <c r="BZ28" s="13">
        <f>BY28*VLOOKUP('Données projet'!$B$12,Paramètres!$A$1:$I$89,3,0)*VLOOKUP('Données projet'!$B$12,Paramètres!$A$1:$I$89,5,0)</f>
        <v>78.740834042553203</v>
      </c>
      <c r="CA28" s="13">
        <f t="shared" si="39"/>
        <v>21.829027815631907</v>
      </c>
      <c r="CB28" s="20">
        <f t="shared" si="10"/>
        <v>175.15917606967238</v>
      </c>
      <c r="CC28" s="59">
        <f t="shared" si="11"/>
        <v>462.38139829189458</v>
      </c>
      <c r="CD28" s="59">
        <f ca="1">AVERAGE(OFFSET($CC$3,0,0,'Données projet'!$E$12+1,1))-AVERAGE(OFFSET($H$3,0,0,'Données projet'!$E$12+1,1))</f>
        <v>535.99935263833549</v>
      </c>
      <c r="CE28" s="59">
        <f t="shared" si="40"/>
        <v>245.89966477332644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4.016578947368421</v>
      </c>
      <c r="CT28" s="12">
        <f>IF('Données projet'!$A$140&gt;35,CT27+CS28-DB27,IF(A28&lt;'Données projet'!$A$140,$CQ$205^A28,IF(A28='Données projet'!$A$140,'Données projet'!$B$140,CT27+CS28-DB27)))</f>
        <v>100.41447368421049</v>
      </c>
      <c r="CU28" s="17">
        <f>CT28*VLOOKUP('Données projet'!$B$13,Paramètres!$A$1:$I$89,3,0)*VLOOKUP('Données projet'!$B$13,Paramètres!$A$1:$I$89,5,0)</f>
        <v>95.5544131578947</v>
      </c>
      <c r="CV28" s="13">
        <f t="shared" si="41"/>
        <v>25.900111114129121</v>
      </c>
      <c r="CW28" s="20">
        <f t="shared" si="13"/>
        <v>211.53329644044149</v>
      </c>
      <c r="CX28" s="59">
        <f t="shared" si="14"/>
        <v>498.75551866266369</v>
      </c>
      <c r="CY28" s="59">
        <f ca="1">AVERAGE(OFFSET($CX$3,0,0,'Données projet'!$E$13+1,1))-AVERAGE(OFFSET($H$3,0,0,'Données projet'!$E$13+1,1))</f>
        <v>449.28947235329758</v>
      </c>
      <c r="CZ28" s="59">
        <f t="shared" si="42"/>
        <v>289.36994109443964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113</v>
      </c>
      <c r="DM28" s="12">
        <f>VLOOKUP(A28,'Données projet'!$A$165:$I$185,9,0)</f>
        <v>10.6</v>
      </c>
      <c r="DN28" s="12">
        <f t="array" ref="DN28">INDEX(DM:DM,MIN(IF(ISNUMBER(DM28:DM224),ROW(DM28:DM224),"")))</f>
        <v>10.6</v>
      </c>
      <c r="DO28" s="12">
        <f>IF('Données projet'!$A$166&gt;35,DO27+DN28-DW27,IF(A28&lt;'Données projet'!$A$166,$DL$205^A28,IF(A28='Données projet'!$A$166,'Données projet'!$B$166,DO27+DN28-DW27)))</f>
        <v>112.99999999999996</v>
      </c>
      <c r="DP28" s="17">
        <f>DO28*VLOOKUP('Données projet'!$B$14,Paramètres!$A$1:$I$89,3,0)*VLOOKUP('Données projet'!$B$14,Paramètres!$A$1:$I$89,5,0)</f>
        <v>88.139999999999972</v>
      </c>
      <c r="DQ28" s="13">
        <f t="shared" si="43"/>
        <v>24.116094026318823</v>
      </c>
      <c r="DR28" s="20">
        <f t="shared" si="16"/>
        <v>195.51269709583855</v>
      </c>
      <c r="DS28" s="59">
        <f t="shared" si="17"/>
        <v>482.73491931806075</v>
      </c>
      <c r="DT28" s="59">
        <f ca="1">AVERAGE(OFFSET($DS$3,0,0,'Données projet'!$E$14+1,1))-AVERAGE(OFFSET($H$3,0,0,'Données projet'!$E$14+1,1))</f>
        <v>288.82868507674738</v>
      </c>
      <c r="DU28" s="59">
        <f t="shared" si="44"/>
        <v>283.48738729114024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27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0.1075</v>
      </c>
      <c r="DZ28" s="16">
        <f>IF(ISNA(VLOOKUP(A28,'Données projet'!$A$165:$I$185,7,0)),0%,VLOOKUP(A28,'Données projet'!$A$165:$I$185,7,0))</f>
        <v>0.25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4.7122122238920356</v>
      </c>
      <c r="EC28" s="21">
        <f>EXP(-LN(2)/2)*EC27+(1-EXP(-LN(2)/2))/(LN(2)/2)*DW28*DZ28*VLOOKUP('Données projet'!$B$14,Paramètres!$A$1:$I$89,3,0)*0.475*44/12</f>
        <v>5.7980367100059418</v>
      </c>
      <c r="ED28" s="22">
        <f t="shared" si="18"/>
        <v>10.510248933897977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3.3603333333333336</v>
      </c>
      <c r="EJ28" s="12">
        <f>IF('Données projet'!$A$192&gt;35,EJ27+EI28-ER27,IF(A28&lt;'Données projet'!$A$192,$EG$205^A28,IF(A28='Données projet'!$A$192,'Données projet'!$B$192,EJ27+EI28-ER27)))</f>
        <v>84.008333333333354</v>
      </c>
      <c r="EK28" s="17">
        <f>EJ28*VLOOKUP('Données projet'!$B$15,Paramètres!$A$1:$I$89,3,0)*VLOOKUP('Données projet'!$B$15,Paramètres!$A$1:$I$89,5,0)</f>
        <v>81.252860000000027</v>
      </c>
      <c r="EL28" s="13">
        <f t="shared" si="45"/>
        <v>22.443237318816408</v>
      </c>
      <c r="EM28" s="20">
        <f t="shared" si="19"/>
        <v>180.60403616360529</v>
      </c>
      <c r="EN28" s="59">
        <f t="shared" si="20"/>
        <v>467.82625838582749</v>
      </c>
      <c r="EO28" s="59">
        <f ca="1">AVERAGE(OFFSET($EN$3,0,0,'Données projet'!$E$15+1,1))-AVERAGE(OFFSET($H$3,0,0,'Données projet'!$E$15+1,1))</f>
        <v>510.71380643466227</v>
      </c>
      <c r="EP28" s="59">
        <f t="shared" si="46"/>
        <v>252.40654099948841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3.15468085106383</v>
      </c>
      <c r="N29" s="13">
        <f>IF('Données projet'!$A$36&gt;35,N28+M29-V28,IF(A29&lt;'Données projet'!$A$36,$K$205^A29,IF(A29='Données projet'!$A$36,'Données projet'!$B$36,N28+M29-V28)))</f>
        <v>82.02170212765958</v>
      </c>
      <c r="O29" s="13">
        <f>N29*VLOOKUP('Données projet'!$B$9,Paramètres!$A$1:$I$89,3,0)*VLOOKUP('Données projet'!$B$9,Paramètres!$A$1:$I$89,5,0)</f>
        <v>83.170005957446818</v>
      </c>
      <c r="P29" s="13">
        <f t="shared" si="33"/>
        <v>22.910505403444816</v>
      </c>
      <c r="Q29" s="20">
        <f t="shared" si="2"/>
        <v>184.75689062021959</v>
      </c>
      <c r="R29" s="59">
        <f t="shared" si="0"/>
        <v>473.20133506466402</v>
      </c>
      <c r="S29" s="59">
        <f ca="1">AVERAGE(OFFSET($R$3,0,0,'Données projet'!$E$9+1,1))-AVERAGE(OFFSET($H$3,0,0,'Données projet'!$E$9+1,1))</f>
        <v>543.67050511722618</v>
      </c>
      <c r="T29" s="59">
        <f t="shared" si="34"/>
        <v>249.0871389941106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4.0942857142857143</v>
      </c>
      <c r="AI29" s="13">
        <f>IF('Données projet'!$A$62&gt;35,AI28+AH29-AQ28,IF(A29&lt;'Données projet'!$A$62,$AF$205^A29,IF(A29='Données projet'!$A$62,'Données projet'!$B$62,AI28+AH29-AQ28)))</f>
        <v>106.45142857142864</v>
      </c>
      <c r="AJ29" s="13">
        <f>AI29*VLOOKUP('Données projet'!$B$10,Paramètres!$A$1:$I$89,3,0)*VLOOKUP('Données projet'!$B$10,Paramètres!$A$1:$I$89,5,0)</f>
        <v>96.317252571428625</v>
      </c>
      <c r="AK29" s="13">
        <f t="shared" si="35"/>
        <v>26.082726965934707</v>
      </c>
      <c r="AL29" s="20">
        <f t="shared" si="4"/>
        <v>213.1799643609078</v>
      </c>
      <c r="AM29" s="59">
        <f t="shared" si="5"/>
        <v>501.62440880535223</v>
      </c>
      <c r="AN29" s="59">
        <f ca="1">AVERAGE(OFFSET($AM$3,0,0,'Données projet'!$E$10+1,1))-AVERAGE(OFFSET($H$3,0,0,'Données projet'!$E$10+1,1))</f>
        <v>635.71275911100679</v>
      </c>
      <c r="AO29" s="59">
        <f t="shared" si="36"/>
        <v>281.7776857269169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5.1282051282051295</v>
      </c>
      <c r="BD29" s="12">
        <f>IF('Données projet'!$A$88&gt;35,BD28+BC29-BL28,IF(A29&lt;'Données projet'!$A$88,$BA$205^A29,IF(A29='Données projet'!$A$88,'Données projet'!$B$88,BD28+BC29-BL28)))</f>
        <v>55.769230769230774</v>
      </c>
      <c r="BE29" s="13">
        <f>BD29*VLOOKUP('Données projet'!$B$11,Paramètres!$A$1:$I$89,3,0)*VLOOKUP('Données projet'!$B$11,Paramètres!$A$1:$I$89,5,0)</f>
        <v>48.720000000000013</v>
      </c>
      <c r="BF29" s="13">
        <f t="shared" si="37"/>
        <v>14.282696808795908</v>
      </c>
      <c r="BG29" s="20">
        <f t="shared" si="7"/>
        <v>109.72969694198622</v>
      </c>
      <c r="BH29" s="59">
        <f t="shared" si="8"/>
        <v>398.17414138643068</v>
      </c>
      <c r="BI29" s="59">
        <f ca="1">AVERAGE(OFFSET($BH$3,0,0,'Données projet'!$E$11+1,1))-AVERAGE(OFFSET($H$3,0,0,'Données projet'!$E$11+1,1))</f>
        <v>204.11804238362862</v>
      </c>
      <c r="BJ29" s="59">
        <f t="shared" si="38"/>
        <v>185.53854651509408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5.7054870492400278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5.7054870492400278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3.15468085106383</v>
      </c>
      <c r="BY29" s="12">
        <f>IF('Données projet'!$A$114&gt;35,BY28+BX29-CG28,IF(A29&lt;'Données projet'!$A$114,$BV$205^A29,IF(A29='Données projet'!$A$114,'Données projet'!$B$114,BY28+BX29-CG28)))</f>
        <v>82.02170212765958</v>
      </c>
      <c r="BZ29" s="13">
        <f>BY29*VLOOKUP('Données projet'!$B$12,Paramètres!$A$1:$I$89,3,0)*VLOOKUP('Données projet'!$B$12,Paramètres!$A$1:$I$89,5,0)</f>
        <v>81.890467404255332</v>
      </c>
      <c r="CA29" s="13">
        <f t="shared" si="39"/>
        <v>22.598783047778063</v>
      </c>
      <c r="CB29" s="20">
        <f t="shared" si="10"/>
        <v>181.9854445372915</v>
      </c>
      <c r="CC29" s="59">
        <f t="shared" si="11"/>
        <v>470.42988898173598</v>
      </c>
      <c r="CD29" s="59">
        <f ca="1">AVERAGE(OFFSET($CC$3,0,0,'Données projet'!$E$12+1,1))-AVERAGE(OFFSET($H$3,0,0,'Données projet'!$E$12+1,1))</f>
        <v>535.99935263833549</v>
      </c>
      <c r="CE29" s="59">
        <f t="shared" si="40"/>
        <v>245.89966477332644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4.016578947368421</v>
      </c>
      <c r="CT29" s="12">
        <f>IF('Données projet'!$A$140&gt;35,CT28+CS29-DB28,IF(A29&lt;'Données projet'!$A$140,$CQ$205^A29,IF(A29='Données projet'!$A$140,'Données projet'!$B$140,CT28+CS29-DB28)))</f>
        <v>104.43105263157891</v>
      </c>
      <c r="CU29" s="17">
        <f>CT29*VLOOKUP('Données projet'!$B$13,Paramètres!$A$1:$I$89,3,0)*VLOOKUP('Données projet'!$B$13,Paramètres!$A$1:$I$89,5,0)</f>
        <v>99.376589684210487</v>
      </c>
      <c r="CV29" s="13">
        <f t="shared" si="41"/>
        <v>26.813424625461547</v>
      </c>
      <c r="CW29" s="20">
        <f t="shared" si="13"/>
        <v>219.78094158934547</v>
      </c>
      <c r="CX29" s="59">
        <f t="shared" si="14"/>
        <v>508.22538603378996</v>
      </c>
      <c r="CY29" s="59">
        <f ca="1">AVERAGE(OFFSET($CX$3,0,0,'Données projet'!$E$13+1,1))-AVERAGE(OFFSET($H$3,0,0,'Données projet'!$E$13+1,1))</f>
        <v>449.28947235329758</v>
      </c>
      <c r="CZ29" s="59">
        <f t="shared" si="42"/>
        <v>289.36994109443964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11.5</v>
      </c>
      <c r="DO29" s="12">
        <f>IF('Données projet'!$A$166&gt;35,DO28+DN29-DW28,IF(A29&lt;'Données projet'!$A$166,$DL$205^A29,IF(A29='Données projet'!$A$166,'Données projet'!$B$166,DO28+DN29-DW28)))</f>
        <v>97.499999999999957</v>
      </c>
      <c r="DP29" s="17">
        <f>DO29*VLOOKUP('Données projet'!$B$14,Paramètres!$A$1:$I$89,3,0)*VLOOKUP('Données projet'!$B$14,Paramètres!$A$1:$I$89,5,0)</f>
        <v>76.049999999999969</v>
      </c>
      <c r="DQ29" s="13">
        <f t="shared" si="43"/>
        <v>21.168560890749262</v>
      </c>
      <c r="DR29" s="20">
        <f t="shared" si="16"/>
        <v>169.32232688472158</v>
      </c>
      <c r="DS29" s="59">
        <f t="shared" si="17"/>
        <v>457.76677132916603</v>
      </c>
      <c r="DT29" s="59">
        <f ca="1">AVERAGE(OFFSET($DS$3,0,0,'Données projet'!$E$14+1,1))-AVERAGE(OFFSET($H$3,0,0,'Données projet'!$E$14+1,1))</f>
        <v>288.82868507674738</v>
      </c>
      <c r="DU29" s="59">
        <f t="shared" si="44"/>
        <v>283.48738729114024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4.5833565328252366</v>
      </c>
      <c r="EC29" s="21">
        <f>EXP(-LN(2)/2)*EC28+(1-EXP(-LN(2)/2))/(LN(2)/2)*DW29*DZ29*VLOOKUP('Données projet'!$B$14,Paramètres!$A$1:$I$89,3,0)*0.475*44/12</f>
        <v>4.0998310752137419</v>
      </c>
      <c r="ED29" s="22">
        <f t="shared" si="18"/>
        <v>8.6831876080389776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3.3603333333333336</v>
      </c>
      <c r="EJ29" s="12">
        <f>IF('Données projet'!$A$192&gt;35,EJ28+EI29-ER28,IF(A29&lt;'Données projet'!$A$192,$EG$205^A29,IF(A29='Données projet'!$A$192,'Données projet'!$B$192,EJ28+EI29-ER28)))</f>
        <v>87.368666666666684</v>
      </c>
      <c r="EK29" s="17">
        <f>EJ29*VLOOKUP('Données projet'!$B$15,Paramètres!$A$1:$I$89,3,0)*VLOOKUP('Données projet'!$B$15,Paramètres!$A$1:$I$89,5,0)</f>
        <v>84.502974400000014</v>
      </c>
      <c r="EL29" s="13">
        <f t="shared" si="45"/>
        <v>23.234651370709514</v>
      </c>
      <c r="EM29" s="20">
        <f t="shared" si="19"/>
        <v>187.64303155065241</v>
      </c>
      <c r="EN29" s="59">
        <f t="shared" si="20"/>
        <v>476.08747599509684</v>
      </c>
      <c r="EO29" s="59">
        <f ca="1">AVERAGE(OFFSET($EN$3,0,0,'Données projet'!$E$15+1,1))-AVERAGE(OFFSET($H$3,0,0,'Données projet'!$E$15+1,1))</f>
        <v>510.71380643466227</v>
      </c>
      <c r="EP29" s="59">
        <f t="shared" si="46"/>
        <v>252.40654099948841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3.15468085106383</v>
      </c>
      <c r="N30" s="13">
        <f>IF('Données projet'!$A$36&gt;35,N29+M30-V29,IF(A30&lt;'Données projet'!$A$36,$K$205^A30,IF(A30='Données projet'!$A$36,'Données projet'!$B$36,N29+M30-V29)))</f>
        <v>85.17638297872341</v>
      </c>
      <c r="O30" s="13">
        <f>N30*VLOOKUP('Données projet'!$B$9,Paramètres!$A$1:$I$89,3,0)*VLOOKUP('Données projet'!$B$9,Paramètres!$A$1:$I$89,5,0)</f>
        <v>86.368852340425548</v>
      </c>
      <c r="P30" s="13">
        <f t="shared" si="33"/>
        <v>23.687391690839092</v>
      </c>
      <c r="Q30" s="20">
        <f t="shared" si="2"/>
        <v>191.68129168778592</v>
      </c>
      <c r="R30" s="59">
        <f t="shared" si="0"/>
        <v>481.3479583544526</v>
      </c>
      <c r="S30" s="59">
        <f ca="1">AVERAGE(OFFSET($R$3,0,0,'Données projet'!$E$9+1,1))-AVERAGE(OFFSET($H$3,0,0,'Données projet'!$E$9+1,1))</f>
        <v>543.67050511722618</v>
      </c>
      <c r="T30" s="59">
        <f t="shared" si="34"/>
        <v>249.0871389941106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4.0942857142857143</v>
      </c>
      <c r="AI30" s="13">
        <f>IF('Données projet'!$A$62&gt;35,AI29+AH30-AQ29,IF(A30&lt;'Données projet'!$A$62,$AF$205^A30,IF(A30='Données projet'!$A$62,'Données projet'!$B$62,AI29+AH30-AQ29)))</f>
        <v>110.54571428571435</v>
      </c>
      <c r="AJ30" s="13">
        <f>AI30*VLOOKUP('Données projet'!$B$10,Paramètres!$A$1:$I$89,3,0)*VLOOKUP('Données projet'!$B$10,Paramètres!$A$1:$I$89,5,0)</f>
        <v>100.02176228571433</v>
      </c>
      <c r="AK30" s="13">
        <f t="shared" si="35"/>
        <v>26.967182047167292</v>
      </c>
      <c r="AL30" s="20">
        <f t="shared" si="4"/>
        <v>221.17241137976885</v>
      </c>
      <c r="AM30" s="59">
        <f t="shared" si="5"/>
        <v>510.83907804643553</v>
      </c>
      <c r="AN30" s="59">
        <f ca="1">AVERAGE(OFFSET($AM$3,0,0,'Données projet'!$E$10+1,1))-AVERAGE(OFFSET($H$3,0,0,'Données projet'!$E$10+1,1))</f>
        <v>635.71275911100679</v>
      </c>
      <c r="AO30" s="59">
        <f t="shared" si="36"/>
        <v>281.7776857269169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5.1282051282051295</v>
      </c>
      <c r="BD30" s="12">
        <f>IF('Données projet'!$A$88&gt;35,BD29+BC30-BL29,IF(A30&lt;'Données projet'!$A$88,$BA$205^A30,IF(A30='Données projet'!$A$88,'Données projet'!$B$88,BD29+BC30-BL29)))</f>
        <v>60.897435897435905</v>
      </c>
      <c r="BE30" s="13">
        <f>BD30*VLOOKUP('Données projet'!$B$11,Paramètres!$A$1:$I$89,3,0)*VLOOKUP('Données projet'!$B$11,Paramètres!$A$1:$I$89,5,0)</f>
        <v>53.20000000000001</v>
      </c>
      <c r="BF30" s="13">
        <f t="shared" si="37"/>
        <v>15.437166316247742</v>
      </c>
      <c r="BG30" s="20">
        <f t="shared" si="7"/>
        <v>119.54306466746483</v>
      </c>
      <c r="BH30" s="59">
        <f t="shared" si="8"/>
        <v>409.2097313341315</v>
      </c>
      <c r="BI30" s="59">
        <f ca="1">AVERAGE(OFFSET($BH$3,0,0,'Données projet'!$E$11+1,1))-AVERAGE(OFFSET($H$3,0,0,'Données projet'!$E$11+1,1))</f>
        <v>204.11804238362862</v>
      </c>
      <c r="BJ30" s="59">
        <f t="shared" si="38"/>
        <v>185.53854651509408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5.5494702058400351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5.5494702058400351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3.15468085106383</v>
      </c>
      <c r="BY30" s="12">
        <f>IF('Données projet'!$A$114&gt;35,BY29+BX30-CG29,IF(A30&lt;'Données projet'!$A$114,$BV$205^A30,IF(A30='Données projet'!$A$114,'Données projet'!$B$114,BY29+BX30-CG29)))</f>
        <v>85.17638297872341</v>
      </c>
      <c r="BZ30" s="13">
        <f>BY30*VLOOKUP('Données projet'!$B$12,Paramètres!$A$1:$I$89,3,0)*VLOOKUP('Données projet'!$B$12,Paramètres!$A$1:$I$89,5,0)</f>
        <v>85.040100765957447</v>
      </c>
      <c r="CA30" s="13">
        <f t="shared" si="39"/>
        <v>23.365098951877545</v>
      </c>
      <c r="CB30" s="20">
        <f t="shared" si="10"/>
        <v>188.80572284189591</v>
      </c>
      <c r="CC30" s="59">
        <f t="shared" si="11"/>
        <v>478.47238950856263</v>
      </c>
      <c r="CD30" s="59">
        <f ca="1">AVERAGE(OFFSET($CC$3,0,0,'Données projet'!$E$12+1,1))-AVERAGE(OFFSET($H$3,0,0,'Données projet'!$E$12+1,1))</f>
        <v>535.99935263833549</v>
      </c>
      <c r="CE30" s="59">
        <f t="shared" si="40"/>
        <v>245.89966477332644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4.016578947368421</v>
      </c>
      <c r="CT30" s="12">
        <f>IF('Données projet'!$A$140&gt;35,CT29+CS30-DB29,IF(A30&lt;'Données projet'!$A$140,$CQ$205^A30,IF(A30='Données projet'!$A$140,'Données projet'!$B$140,CT29+CS30-DB29)))</f>
        <v>108.44763157894732</v>
      </c>
      <c r="CU30" s="17">
        <f>CT30*VLOOKUP('Données projet'!$B$13,Paramètres!$A$1:$I$89,3,0)*VLOOKUP('Données projet'!$B$13,Paramètres!$A$1:$I$89,5,0)</f>
        <v>103.19876621052627</v>
      </c>
      <c r="CV30" s="13">
        <f t="shared" si="41"/>
        <v>27.722657378854588</v>
      </c>
      <c r="CW30" s="20">
        <f t="shared" si="13"/>
        <v>228.02147941817165</v>
      </c>
      <c r="CX30" s="59">
        <f t="shared" si="14"/>
        <v>517.68814608483831</v>
      </c>
      <c r="CY30" s="59">
        <f ca="1">AVERAGE(OFFSET($CX$3,0,0,'Données projet'!$E$13+1,1))-AVERAGE(OFFSET($H$3,0,0,'Données projet'!$E$13+1,1))</f>
        <v>449.28947235329758</v>
      </c>
      <c r="CZ30" s="59">
        <f t="shared" si="42"/>
        <v>289.36994109443964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11.5</v>
      </c>
      <c r="DO30" s="12">
        <f>IF('Données projet'!$A$166&gt;35,DO29+DN30-DW29,IF(A30&lt;'Données projet'!$A$166,$DL$205^A30,IF(A30='Données projet'!$A$166,'Données projet'!$B$166,DO29+DN30-DW29)))</f>
        <v>108.99999999999996</v>
      </c>
      <c r="DP30" s="17">
        <f>DO30*VLOOKUP('Données projet'!$B$14,Paramètres!$A$1:$I$89,3,0)*VLOOKUP('Données projet'!$B$14,Paramètres!$A$1:$I$89,5,0)</f>
        <v>85.019999999999968</v>
      </c>
      <c r="DQ30" s="13">
        <f t="shared" si="43"/>
        <v>23.360218970693097</v>
      </c>
      <c r="DR30" s="20">
        <f t="shared" si="16"/>
        <v>188.76221470729038</v>
      </c>
      <c r="DS30" s="59">
        <f t="shared" si="17"/>
        <v>478.4288813739571</v>
      </c>
      <c r="DT30" s="59">
        <f ca="1">AVERAGE(OFFSET($DS$3,0,0,'Données projet'!$E$14+1,1))-AVERAGE(OFFSET($H$3,0,0,'Données projet'!$E$14+1,1))</f>
        <v>288.82868507674738</v>
      </c>
      <c r="DU30" s="59">
        <f t="shared" si="44"/>
        <v>283.48738729114024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4.458024407406886</v>
      </c>
      <c r="EC30" s="21">
        <f>EXP(-LN(2)/2)*EC29+(1-EXP(-LN(2)/2))/(LN(2)/2)*DW30*DZ30*VLOOKUP('Données projet'!$B$14,Paramètres!$A$1:$I$89,3,0)*0.475*44/12</f>
        <v>2.8990183550029713</v>
      </c>
      <c r="ED30" s="22">
        <f t="shared" si="18"/>
        <v>7.3570427624098578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3.3603333333333336</v>
      </c>
      <c r="EJ30" s="12">
        <f>IF('Données projet'!$A$192&gt;35,EJ29+EI30-ER29,IF(A30&lt;'Données projet'!$A$192,$EG$205^A30,IF(A30='Données projet'!$A$192,'Données projet'!$B$192,EJ29+EI30-ER29)))</f>
        <v>90.729000000000013</v>
      </c>
      <c r="EK30" s="17">
        <f>EJ30*VLOOKUP('Données projet'!$B$15,Paramètres!$A$1:$I$89,3,0)*VLOOKUP('Données projet'!$B$15,Paramètres!$A$1:$I$89,5,0)</f>
        <v>87.753088800000015</v>
      </c>
      <c r="EL30" s="13">
        <f t="shared" si="45"/>
        <v>24.022529321214137</v>
      </c>
      <c r="EM30" s="20">
        <f t="shared" si="19"/>
        <v>194.67586822778131</v>
      </c>
      <c r="EN30" s="59">
        <f t="shared" si="20"/>
        <v>484.34253489444802</v>
      </c>
      <c r="EO30" s="59">
        <f ca="1">AVERAGE(OFFSET($EN$3,0,0,'Données projet'!$E$15+1,1))-AVERAGE(OFFSET($H$3,0,0,'Données projet'!$E$15+1,1))</f>
        <v>510.71380643466227</v>
      </c>
      <c r="EP30" s="59">
        <f t="shared" si="46"/>
        <v>252.40654099948841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3.15468085106383</v>
      </c>
      <c r="N31" s="13">
        <f>IF('Données projet'!$A$36&gt;35,N30+M31-V30,IF(A31&lt;'Données projet'!$A$36,$K$205^A31,IF(A31='Données projet'!$A$36,'Données projet'!$B$36,N30+M31-V30)))</f>
        <v>88.33106382978724</v>
      </c>
      <c r="O31" s="13">
        <f>N31*VLOOKUP('Données projet'!$B$9,Paramètres!$A$1:$I$89,3,0)*VLOOKUP('Données projet'!$B$9,Paramètres!$A$1:$I$89,5,0)</f>
        <v>89.567698723404277</v>
      </c>
      <c r="P31" s="13">
        <f t="shared" si="33"/>
        <v>24.460935136985132</v>
      </c>
      <c r="Q31" s="20">
        <f t="shared" si="2"/>
        <v>198.59987064017821</v>
      </c>
      <c r="R31" s="59">
        <f t="shared" si="0"/>
        <v>489.48875952906707</v>
      </c>
      <c r="S31" s="59">
        <f ca="1">AVERAGE(OFFSET($R$3,0,0,'Données projet'!$E$9+1,1))-AVERAGE(OFFSET($H$3,0,0,'Données projet'!$E$9+1,1))</f>
        <v>543.67050511722618</v>
      </c>
      <c r="T31" s="59">
        <f t="shared" si="34"/>
        <v>249.0871389941106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4.0942857142857143</v>
      </c>
      <c r="AI31" s="13">
        <f>IF('Données projet'!$A$62&gt;35,AI30+AH31-AQ30,IF(A31&lt;'Données projet'!$A$62,$AF$205^A31,IF(A31='Données projet'!$A$62,'Données projet'!$B$62,AI30+AH31-AQ30)))</f>
        <v>114.64000000000007</v>
      </c>
      <c r="AJ31" s="13">
        <f>AI31*VLOOKUP('Données projet'!$B$10,Paramètres!$A$1:$I$89,3,0)*VLOOKUP('Données projet'!$B$10,Paramètres!$A$1:$I$89,5,0)</f>
        <v>103.72627200000005</v>
      </c>
      <c r="AK31" s="13">
        <f t="shared" si="35"/>
        <v>27.847831432539717</v>
      </c>
      <c r="AL31" s="20">
        <f t="shared" si="4"/>
        <v>229.15823014500677</v>
      </c>
      <c r="AM31" s="59">
        <f t="shared" si="5"/>
        <v>520.04711903389557</v>
      </c>
      <c r="AN31" s="59">
        <f ca="1">AVERAGE(OFFSET($AM$3,0,0,'Données projet'!$E$10+1,1))-AVERAGE(OFFSET($H$3,0,0,'Données projet'!$E$10+1,1))</f>
        <v>635.71275911100679</v>
      </c>
      <c r="AO31" s="59">
        <f t="shared" si="36"/>
        <v>281.7776857269169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5.1282051282051295</v>
      </c>
      <c r="BD31" s="12">
        <f>IF('Données projet'!$A$88&gt;35,BD30+BC31-BL30,IF(A31&lt;'Données projet'!$A$88,$BA$205^A31,IF(A31='Données projet'!$A$88,'Données projet'!$B$88,BD30+BC31-BL30)))</f>
        <v>66.025641025641036</v>
      </c>
      <c r="BE31" s="13">
        <f>BD31*VLOOKUP('Données projet'!$B$11,Paramètres!$A$1:$I$89,3,0)*VLOOKUP('Données projet'!$B$11,Paramètres!$A$1:$I$89,5,0)</f>
        <v>57.680000000000021</v>
      </c>
      <c r="BF31" s="13">
        <f t="shared" si="37"/>
        <v>16.580360816013417</v>
      </c>
      <c r="BG31" s="20">
        <f t="shared" si="7"/>
        <v>129.33679508789007</v>
      </c>
      <c r="BH31" s="59">
        <f t="shared" si="8"/>
        <v>420.2256839767789</v>
      </c>
      <c r="BI31" s="59">
        <f ca="1">AVERAGE(OFFSET($BH$3,0,0,'Données projet'!$E$11+1,1))-AVERAGE(OFFSET($H$3,0,0,'Données projet'!$E$11+1,1))</f>
        <v>204.11804238362862</v>
      </c>
      <c r="BJ31" s="59">
        <f t="shared" si="38"/>
        <v>185.53854651509408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5.3977196512273844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5.3977196512273844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3.15468085106383</v>
      </c>
      <c r="BY31" s="12">
        <f>IF('Données projet'!$A$114&gt;35,BY30+BX31-CG30,IF(A31&lt;'Données projet'!$A$114,$BV$205^A31,IF(A31='Données projet'!$A$114,'Données projet'!$B$114,BY30+BX31-CG30)))</f>
        <v>88.33106382978724</v>
      </c>
      <c r="BZ31" s="13">
        <f>BY31*VLOOKUP('Données projet'!$B$12,Paramètres!$A$1:$I$89,3,0)*VLOOKUP('Données projet'!$B$12,Paramètres!$A$1:$I$89,5,0)</f>
        <v>88.189734127659577</v>
      </c>
      <c r="CA31" s="13">
        <f t="shared" si="39"/>
        <v>24.128117497721437</v>
      </c>
      <c r="CB31" s="20">
        <f t="shared" si="10"/>
        <v>195.6202582475386</v>
      </c>
      <c r="CC31" s="59">
        <f t="shared" si="11"/>
        <v>486.50914713642749</v>
      </c>
      <c r="CD31" s="59">
        <f ca="1">AVERAGE(OFFSET($CC$3,0,0,'Données projet'!$E$12+1,1))-AVERAGE(OFFSET($H$3,0,0,'Données projet'!$E$12+1,1))</f>
        <v>535.99935263833549</v>
      </c>
      <c r="CE31" s="59">
        <f t="shared" si="40"/>
        <v>245.89966477332644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4.016578947368421</v>
      </c>
      <c r="CT31" s="12">
        <f>IF('Données projet'!$A$140&gt;35,CT30+CS31-DB30,IF(A31&lt;'Données projet'!$A$140,$CQ$205^A31,IF(A31='Données projet'!$A$140,'Données projet'!$B$140,CT30+CS31-DB30)))</f>
        <v>112.46421052631574</v>
      </c>
      <c r="CU31" s="17">
        <f>CT31*VLOOKUP('Données projet'!$B$13,Paramètres!$A$1:$I$89,3,0)*VLOOKUP('Données projet'!$B$13,Paramètres!$A$1:$I$89,5,0)</f>
        <v>107.02094273684206</v>
      </c>
      <c r="CV31" s="13">
        <f t="shared" si="41"/>
        <v>28.627977821267809</v>
      </c>
      <c r="CW31" s="20">
        <f t="shared" si="13"/>
        <v>236.25520330537464</v>
      </c>
      <c r="CX31" s="59">
        <f t="shared" si="14"/>
        <v>527.14409219426352</v>
      </c>
      <c r="CY31" s="59">
        <f ca="1">AVERAGE(OFFSET($CX$3,0,0,'Données projet'!$E$13+1,1))-AVERAGE(OFFSET($H$3,0,0,'Données projet'!$E$13+1,1))</f>
        <v>449.28947235329758</v>
      </c>
      <c r="CZ31" s="59">
        <f t="shared" si="42"/>
        <v>289.36994109443964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11.5</v>
      </c>
      <c r="DO31" s="12">
        <f>IF('Données projet'!$A$166&gt;35,DO30+DN31-DW30,IF(A31&lt;'Données projet'!$A$166,$DL$205^A31,IF(A31='Données projet'!$A$166,'Données projet'!$B$166,DO30+DN31-DW30)))</f>
        <v>120.49999999999996</v>
      </c>
      <c r="DP31" s="17">
        <f>DO31*VLOOKUP('Données projet'!$B$14,Paramètres!$A$1:$I$89,3,0)*VLOOKUP('Données projet'!$B$14,Paramètres!$A$1:$I$89,5,0)</f>
        <v>93.989999999999966</v>
      </c>
      <c r="DQ31" s="13">
        <f t="shared" si="43"/>
        <v>25.525074036970054</v>
      </c>
      <c r="DR31" s="20">
        <f t="shared" si="16"/>
        <v>208.15542061438944</v>
      </c>
      <c r="DS31" s="59">
        <f t="shared" si="17"/>
        <v>499.04430950327833</v>
      </c>
      <c r="DT31" s="59">
        <f ca="1">AVERAGE(OFFSET($DS$3,0,0,'Données projet'!$E$14+1,1))-AVERAGE(OFFSET($H$3,0,0,'Données projet'!$E$14+1,1))</f>
        <v>288.82868507674738</v>
      </c>
      <c r="DU31" s="59">
        <f t="shared" si="44"/>
        <v>283.48738729114024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4.3361194955490303</v>
      </c>
      <c r="EC31" s="21">
        <f>EXP(-LN(2)/2)*EC30+(1-EXP(-LN(2)/2))/(LN(2)/2)*DW31*DZ31*VLOOKUP('Données projet'!$B$14,Paramètres!$A$1:$I$89,3,0)*0.475*44/12</f>
        <v>2.049915537606871</v>
      </c>
      <c r="ED31" s="22">
        <f t="shared" si="18"/>
        <v>6.3860350331559008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3.3603333333333336</v>
      </c>
      <c r="EJ31" s="12">
        <f>IF('Données projet'!$A$192&gt;35,EJ30+EI31-ER30,IF(A31&lt;'Données projet'!$A$192,$EG$205^A31,IF(A31='Données projet'!$A$192,'Données projet'!$B$192,EJ30+EI31-ER30)))</f>
        <v>94.089333333333343</v>
      </c>
      <c r="EK31" s="17">
        <f>EJ31*VLOOKUP('Données projet'!$B$15,Paramètres!$A$1:$I$89,3,0)*VLOOKUP('Données projet'!$B$15,Paramètres!$A$1:$I$89,5,0)</f>
        <v>91.003203200000016</v>
      </c>
      <c r="EL31" s="13">
        <f t="shared" si="45"/>
        <v>24.807017134765282</v>
      </c>
      <c r="EM31" s="20">
        <f t="shared" si="19"/>
        <v>201.70280041638287</v>
      </c>
      <c r="EN31" s="59">
        <f t="shared" si="20"/>
        <v>492.59168930527176</v>
      </c>
      <c r="EO31" s="59">
        <f ca="1">AVERAGE(OFFSET($EN$3,0,0,'Données projet'!$E$15+1,1))-AVERAGE(OFFSET($H$3,0,0,'Données projet'!$E$15+1,1))</f>
        <v>510.71380643466227</v>
      </c>
      <c r="EP31" s="59">
        <f t="shared" si="46"/>
        <v>252.40654099948841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3.15468085106383</v>
      </c>
      <c r="N32" s="13">
        <f>IF('Données projet'!$A$36&gt;35,N31+M32-V31,IF(A32&lt;'Données projet'!$A$36,$K$205^A32,IF(A32='Données projet'!$A$36,'Données projet'!$B$36,N31+M32-V31)))</f>
        <v>91.48574468085107</v>
      </c>
      <c r="O32" s="13">
        <f>N32*VLOOKUP('Données projet'!$B$9,Paramètres!$A$1:$I$89,3,0)*VLOOKUP('Données projet'!$B$9,Paramètres!$A$1:$I$89,5,0)</f>
        <v>92.766545106382992</v>
      </c>
      <c r="P32" s="13">
        <f t="shared" si="33"/>
        <v>25.231268806606103</v>
      </c>
      <c r="Q32" s="20">
        <f t="shared" si="2"/>
        <v>205.51285923178935</v>
      </c>
      <c r="R32" s="59">
        <f t="shared" si="0"/>
        <v>497.62397034290052</v>
      </c>
      <c r="S32" s="59">
        <f ca="1">AVERAGE(OFFSET($R$3,0,0,'Données projet'!$E$9+1,1))-AVERAGE(OFFSET($H$3,0,0,'Données projet'!$E$9+1,1))</f>
        <v>543.67050511722618</v>
      </c>
      <c r="T32" s="59">
        <f t="shared" si="34"/>
        <v>249.0871389941106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4.0942857142857143</v>
      </c>
      <c r="AI32" s="13">
        <f>IF('Données projet'!$A$62&gt;35,AI31+AH32-AQ31,IF(A32&lt;'Données projet'!$A$62,$AF$205^A32,IF(A32='Données projet'!$A$62,'Données projet'!$B$62,AI31+AH32-AQ31)))</f>
        <v>118.73428571428579</v>
      </c>
      <c r="AJ32" s="13">
        <f>AI32*VLOOKUP('Données projet'!$B$10,Paramètres!$A$1:$I$89,3,0)*VLOOKUP('Données projet'!$B$10,Paramètres!$A$1:$I$89,5,0)</f>
        <v>107.43078171428577</v>
      </c>
      <c r="AK32" s="13">
        <f t="shared" si="35"/>
        <v>28.724826611108305</v>
      </c>
      <c r="AL32" s="20">
        <f t="shared" si="4"/>
        <v>237.13768450006134</v>
      </c>
      <c r="AM32" s="59">
        <f t="shared" si="5"/>
        <v>529.24879561117245</v>
      </c>
      <c r="AN32" s="59">
        <f ca="1">AVERAGE(OFFSET($AM$3,0,0,'Données projet'!$E$10+1,1))-AVERAGE(OFFSET($H$3,0,0,'Données projet'!$E$10+1,1))</f>
        <v>635.71275911100679</v>
      </c>
      <c r="AO32" s="59">
        <f t="shared" si="36"/>
        <v>281.7776857269169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5.1282051282051295</v>
      </c>
      <c r="BD32" s="12">
        <f>IF('Données projet'!$A$88&gt;35,BD31+BC32-BL31,IF(A32&lt;'Données projet'!$A$88,$BA$205^A32,IF(A32='Données projet'!$A$88,'Données projet'!$B$88,BD31+BC32-BL31)))</f>
        <v>71.15384615384616</v>
      </c>
      <c r="BE32" s="13">
        <f>BD32*VLOOKUP('Données projet'!$B$11,Paramètres!$A$1:$I$89,3,0)*VLOOKUP('Données projet'!$B$11,Paramètres!$A$1:$I$89,5,0)</f>
        <v>62.160000000000011</v>
      </c>
      <c r="BF32" s="13">
        <f t="shared" si="37"/>
        <v>17.713255604040903</v>
      </c>
      <c r="BG32" s="20">
        <f t="shared" si="7"/>
        <v>139.11258684370458</v>
      </c>
      <c r="BH32" s="59">
        <f t="shared" si="8"/>
        <v>431.22369795481575</v>
      </c>
      <c r="BI32" s="59">
        <f ca="1">AVERAGE(OFFSET($BH$3,0,0,'Données projet'!$E$11+1,1))-AVERAGE(OFFSET($H$3,0,0,'Données projet'!$E$11+1,1))</f>
        <v>204.11804238362862</v>
      </c>
      <c r="BJ32" s="59">
        <f t="shared" si="38"/>
        <v>185.53854651509408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5.2501187235108322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5.2501187235108322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3.15468085106383</v>
      </c>
      <c r="BY32" s="12">
        <f>IF('Données projet'!$A$114&gt;35,BY31+BX32-CG31,IF(A32&lt;'Données projet'!$A$114,$BV$205^A32,IF(A32='Données projet'!$A$114,'Données projet'!$B$114,BY31+BX32-CG31)))</f>
        <v>91.48574468085107</v>
      </c>
      <c r="BZ32" s="13">
        <f>BY32*VLOOKUP('Données projet'!$B$12,Paramètres!$A$1:$I$89,3,0)*VLOOKUP('Données projet'!$B$12,Paramètres!$A$1:$I$89,5,0)</f>
        <v>91.339367489361706</v>
      </c>
      <c r="CA32" s="13">
        <f t="shared" si="39"/>
        <v>24.887969939542554</v>
      </c>
      <c r="CB32" s="20">
        <f t="shared" si="10"/>
        <v>202.42927935534158</v>
      </c>
      <c r="CC32" s="59">
        <f t="shared" si="11"/>
        <v>494.54039046645272</v>
      </c>
      <c r="CD32" s="59">
        <f ca="1">AVERAGE(OFFSET($CC$3,0,0,'Données projet'!$E$12+1,1))-AVERAGE(OFFSET($H$3,0,0,'Données projet'!$E$12+1,1))</f>
        <v>535.99935263833549</v>
      </c>
      <c r="CE32" s="59">
        <f t="shared" si="40"/>
        <v>245.89966477332644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4.016578947368421</v>
      </c>
      <c r="CT32" s="12">
        <f>IF('Données projet'!$A$140&gt;35,CT31+CS32-DB31,IF(A32&lt;'Données projet'!$A$140,$CQ$205^A32,IF(A32='Données projet'!$A$140,'Données projet'!$B$140,CT31+CS32-DB31)))</f>
        <v>116.48078947368415</v>
      </c>
      <c r="CU32" s="17">
        <f>CT32*VLOOKUP('Données projet'!$B$13,Paramètres!$A$1:$I$89,3,0)*VLOOKUP('Données projet'!$B$13,Paramètres!$A$1:$I$89,5,0)</f>
        <v>110.84311926315785</v>
      </c>
      <c r="CV32" s="13">
        <f t="shared" si="41"/>
        <v>29.529541685665656</v>
      </c>
      <c r="CW32" s="20">
        <f t="shared" si="13"/>
        <v>244.48238448586758</v>
      </c>
      <c r="CX32" s="59">
        <f t="shared" si="14"/>
        <v>536.59349559697876</v>
      </c>
      <c r="CY32" s="59">
        <f ca="1">AVERAGE(OFFSET($CX$3,0,0,'Données projet'!$E$13+1,1))-AVERAGE(OFFSET($H$3,0,0,'Données projet'!$E$13+1,1))</f>
        <v>449.28947235329758</v>
      </c>
      <c r="CZ32" s="59">
        <f t="shared" si="42"/>
        <v>289.36994109443964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11.5</v>
      </c>
      <c r="DO32" s="12">
        <f>IF('Données projet'!$A$166&gt;35,DO31+DN32-DW31,IF(A32&lt;'Données projet'!$A$166,$DL$205^A32,IF(A32='Données projet'!$A$166,'Données projet'!$B$166,DO31+DN32-DW31)))</f>
        <v>131.99999999999994</v>
      </c>
      <c r="DP32" s="17">
        <f>DO32*VLOOKUP('Données projet'!$B$14,Paramètres!$A$1:$I$89,3,0)*VLOOKUP('Données projet'!$B$14,Paramètres!$A$1:$I$89,5,0)</f>
        <v>102.95999999999997</v>
      </c>
      <c r="DQ32" s="13">
        <f t="shared" si="43"/>
        <v>27.665975080374633</v>
      </c>
      <c r="DR32" s="20">
        <f t="shared" si="16"/>
        <v>227.50690659831903</v>
      </c>
      <c r="DS32" s="59">
        <f t="shared" si="17"/>
        <v>519.61801770943021</v>
      </c>
      <c r="DT32" s="59">
        <f ca="1">AVERAGE(OFFSET($DS$3,0,0,'Données projet'!$E$14+1,1))-AVERAGE(OFFSET($H$3,0,0,'Données projet'!$E$14+1,1))</f>
        <v>288.82868507674738</v>
      </c>
      <c r="DU32" s="59">
        <f t="shared" si="44"/>
        <v>283.48738729114024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4.2175480799166278</v>
      </c>
      <c r="EC32" s="21">
        <f>EXP(-LN(2)/2)*EC31+(1-EXP(-LN(2)/2))/(LN(2)/2)*DW32*DZ32*VLOOKUP('Données projet'!$B$14,Paramètres!$A$1:$I$89,3,0)*0.475*44/12</f>
        <v>1.4495091775014857</v>
      </c>
      <c r="ED32" s="22">
        <f t="shared" si="18"/>
        <v>5.6670572574181133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3.3603333333333336</v>
      </c>
      <c r="EJ32" s="12">
        <f>IF('Données projet'!$A$192&gt;35,EJ31+EI32-ER31,IF(A32&lt;'Données projet'!$A$192,$EG$205^A32,IF(A32='Données projet'!$A$192,'Données projet'!$B$192,EJ31+EI32-ER31)))</f>
        <v>97.449666666666673</v>
      </c>
      <c r="EK32" s="17">
        <f>EJ32*VLOOKUP('Données projet'!$B$15,Paramètres!$A$1:$I$89,3,0)*VLOOKUP('Données projet'!$B$15,Paramètres!$A$1:$I$89,5,0)</f>
        <v>94.253317600000003</v>
      </c>
      <c r="EL32" s="13">
        <f t="shared" si="45"/>
        <v>25.588249758733145</v>
      </c>
      <c r="EM32" s="20">
        <f t="shared" si="19"/>
        <v>208.72406314979355</v>
      </c>
      <c r="EN32" s="59">
        <f t="shared" si="20"/>
        <v>500.83517426090469</v>
      </c>
      <c r="EO32" s="59">
        <f ca="1">AVERAGE(OFFSET($EN$3,0,0,'Données projet'!$E$15+1,1))-AVERAGE(OFFSET($H$3,0,0,'Données projet'!$E$15+1,1))</f>
        <v>510.71380643466227</v>
      </c>
      <c r="EP32" s="59">
        <f t="shared" si="46"/>
        <v>252.40654099948841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3.15468085106383</v>
      </c>
      <c r="N33" s="13">
        <f>IF('Données projet'!$A$36&gt;35,N32+M33-V32,IF(A33&lt;'Données projet'!$A$36,$K$205^A33,IF(A33='Données projet'!$A$36,'Données projet'!$B$36,N32+M33-V32)))</f>
        <v>94.6404255319149</v>
      </c>
      <c r="O33" s="13">
        <f>N33*VLOOKUP('Données projet'!$B$9,Paramètres!$A$1:$I$89,3,0)*VLOOKUP('Données projet'!$B$9,Paramètres!$A$1:$I$89,5,0)</f>
        <v>95.965391489361707</v>
      </c>
      <c r="P33" s="13">
        <f t="shared" si="33"/>
        <v>25.998516067065484</v>
      </c>
      <c r="Q33" s="20">
        <f t="shared" si="2"/>
        <v>212.420472327444</v>
      </c>
      <c r="R33" s="59">
        <f t="shared" si="0"/>
        <v>505.75380566077729</v>
      </c>
      <c r="S33" s="59">
        <f ca="1">AVERAGE(OFFSET($R$3,0,0,'Données projet'!$E$9+1,1))-AVERAGE(OFFSET($H$3,0,0,'Données projet'!$E$9+1,1))</f>
        <v>543.67050511722618</v>
      </c>
      <c r="T33" s="59">
        <f t="shared" si="34"/>
        <v>249.0871389941106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4.0942857142857143</v>
      </c>
      <c r="AI33" s="13">
        <f>IF('Données projet'!$A$62&gt;35,AI32+AH33-AQ32,IF(A33&lt;'Données projet'!$A$62,$AF$205^A33,IF(A33='Données projet'!$A$62,'Données projet'!$B$62,AI32+AH33-AQ32)))</f>
        <v>122.82857142857151</v>
      </c>
      <c r="AJ33" s="13">
        <f>AI33*VLOOKUP('Données projet'!$B$10,Paramètres!$A$1:$I$89,3,0)*VLOOKUP('Données projet'!$B$10,Paramètres!$A$1:$I$89,5,0)</f>
        <v>111.13529142857149</v>
      </c>
      <c r="AK33" s="13">
        <f t="shared" si="35"/>
        <v>29.598308031859261</v>
      </c>
      <c r="AL33" s="20">
        <f t="shared" si="4"/>
        <v>245.11101906025024</v>
      </c>
      <c r="AM33" s="59">
        <f t="shared" si="5"/>
        <v>538.44435239358359</v>
      </c>
      <c r="AN33" s="59">
        <f ca="1">AVERAGE(OFFSET($AM$3,0,0,'Données projet'!$E$10+1,1))-AVERAGE(OFFSET($H$3,0,0,'Données projet'!$E$10+1,1))</f>
        <v>635.71275911100679</v>
      </c>
      <c r="AO33" s="59">
        <f t="shared" si="36"/>
        <v>281.7776857269169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76.282051282051285</v>
      </c>
      <c r="BB33" s="12">
        <f>VLOOKUP(A33,'Données projet'!$A$87:$I$107,9,0)</f>
        <v>5.1282051282051295</v>
      </c>
      <c r="BC33" s="12">
        <f t="array" ref="BC33">INDEX(BB:BB,MIN(IF(ISNUMBER(BB33:BB229),ROW(BB33:BB229),"")))</f>
        <v>5.1282051282051295</v>
      </c>
      <c r="BD33" s="12">
        <f>IF('Données projet'!$A$88&gt;35,BD32+BC33-BL32,IF(A33&lt;'Données projet'!$A$88,$BA$205^A33,IF(A33='Données projet'!$A$88,'Données projet'!$B$88,BD32+BC33-BL32)))</f>
        <v>76.282051282051285</v>
      </c>
      <c r="BE33" s="13">
        <f>BD33*VLOOKUP('Données projet'!$B$11,Paramètres!$A$1:$I$89,3,0)*VLOOKUP('Données projet'!$B$11,Paramètres!$A$1:$I$89,5,0)</f>
        <v>66.640000000000015</v>
      </c>
      <c r="BF33" s="13">
        <f t="shared" si="37"/>
        <v>18.836677424934397</v>
      </c>
      <c r="BG33" s="20">
        <f t="shared" si="7"/>
        <v>148.87187984842743</v>
      </c>
      <c r="BH33" s="59">
        <f t="shared" si="8"/>
        <v>442.20521318176077</v>
      </c>
      <c r="BI33" s="59">
        <f ca="1">AVERAGE(OFFSET($BH$3,0,0,'Données projet'!$E$11+1,1))-AVERAGE(OFFSET($H$3,0,0,'Données projet'!$E$11+1,1))</f>
        <v>204.11804238362862</v>
      </c>
      <c r="BJ33" s="59">
        <f t="shared" si="38"/>
        <v>185.53854651509408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12.820512820512819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0.215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7.7580454241317156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7.7580454241317156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3.15468085106383</v>
      </c>
      <c r="BY33" s="12">
        <f>IF('Données projet'!$A$114&gt;35,BY32+BX33-CG32,IF(A33&lt;'Données projet'!$A$114,$BV$205^A33,IF(A33='Données projet'!$A$114,'Données projet'!$B$114,BY32+BX33-CG32)))</f>
        <v>94.6404255319149</v>
      </c>
      <c r="BZ33" s="13">
        <f>BY33*VLOOKUP('Données projet'!$B$12,Paramètres!$A$1:$I$89,3,0)*VLOOKUP('Données projet'!$B$12,Paramètres!$A$1:$I$89,5,0)</f>
        <v>94.489000851063849</v>
      </c>
      <c r="CA33" s="13">
        <f t="shared" si="39"/>
        <v>25.644777966157115</v>
      </c>
      <c r="CB33" s="20">
        <f t="shared" si="10"/>
        <v>209.23299810665981</v>
      </c>
      <c r="CC33" s="59">
        <f t="shared" si="11"/>
        <v>502.56633143999312</v>
      </c>
      <c r="CD33" s="59">
        <f ca="1">AVERAGE(OFFSET($CC$3,0,0,'Données projet'!$E$12+1,1))-AVERAGE(OFFSET($H$3,0,0,'Données projet'!$E$12+1,1))</f>
        <v>535.99935263833549</v>
      </c>
      <c r="CE33" s="59">
        <f t="shared" si="40"/>
        <v>245.89966477332644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4.016578947368421</v>
      </c>
      <c r="CT33" s="12">
        <f>IF('Données projet'!$A$140&gt;35,CT32+CS33-DB32,IF(A33&lt;'Données projet'!$A$140,$CQ$205^A33,IF(A33='Données projet'!$A$140,'Données projet'!$B$140,CT32+CS33-DB32)))</f>
        <v>120.49736842105257</v>
      </c>
      <c r="CU33" s="17">
        <f>CT33*VLOOKUP('Données projet'!$B$13,Paramètres!$A$1:$I$89,3,0)*VLOOKUP('Données projet'!$B$13,Paramètres!$A$1:$I$89,5,0)</f>
        <v>114.66529578947363</v>
      </c>
      <c r="CV33" s="13">
        <f t="shared" si="41"/>
        <v>30.427493355659173</v>
      </c>
      <c r="CW33" s="20">
        <f t="shared" si="13"/>
        <v>252.70327442777295</v>
      </c>
      <c r="CX33" s="59">
        <f t="shared" si="14"/>
        <v>546.03660776110632</v>
      </c>
      <c r="CY33" s="59">
        <f ca="1">AVERAGE(OFFSET($CX$3,0,0,'Données projet'!$E$13+1,1))-AVERAGE(OFFSET($H$3,0,0,'Données projet'!$E$13+1,1))</f>
        <v>449.28947235329758</v>
      </c>
      <c r="CZ33" s="59">
        <f t="shared" si="42"/>
        <v>289.36994109443964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11.5</v>
      </c>
      <c r="DO33" s="12">
        <f>IF('Données projet'!$A$166&gt;35,DO32+DN33-DW32,IF(A33&lt;'Données projet'!$A$166,$DL$205^A33,IF(A33='Données projet'!$A$166,'Données projet'!$B$166,DO32+DN33-DW32)))</f>
        <v>143.49999999999994</v>
      </c>
      <c r="DP33" s="17">
        <f>DO33*VLOOKUP('Données projet'!$B$14,Paramètres!$A$1:$I$89,3,0)*VLOOKUP('Données projet'!$B$14,Paramètres!$A$1:$I$89,5,0)</f>
        <v>111.92999999999996</v>
      </c>
      <c r="DQ33" s="13">
        <f t="shared" si="43"/>
        <v>29.785246291563833</v>
      </c>
      <c r="DR33" s="20">
        <f t="shared" si="16"/>
        <v>246.82072062447358</v>
      </c>
      <c r="DS33" s="59">
        <f t="shared" si="17"/>
        <v>540.15405395780692</v>
      </c>
      <c r="DT33" s="59">
        <f ca="1">AVERAGE(OFFSET($DS$3,0,0,'Données projet'!$E$14+1,1))-AVERAGE(OFFSET($H$3,0,0,'Données projet'!$E$14+1,1))</f>
        <v>288.82868507674738</v>
      </c>
      <c r="DU33" s="59">
        <f t="shared" si="44"/>
        <v>283.48738729114024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4.1022190058800936</v>
      </c>
      <c r="EC33" s="21">
        <f>EXP(-LN(2)/2)*EC32+(1-EXP(-LN(2)/2))/(LN(2)/2)*DW33*DZ33*VLOOKUP('Données projet'!$B$14,Paramètres!$A$1:$I$89,3,0)*0.475*44/12</f>
        <v>1.0249577688034355</v>
      </c>
      <c r="ED33" s="22">
        <f t="shared" si="18"/>
        <v>5.1271767746835293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3.3603333333333336</v>
      </c>
      <c r="EJ33" s="12">
        <f>IF('Données projet'!$A$192&gt;35,EJ32+EI33-ER32,IF(A33&lt;'Données projet'!$A$192,$EG$205^A33,IF(A33='Données projet'!$A$192,'Données projet'!$B$192,EJ32+EI33-ER32)))</f>
        <v>100.81</v>
      </c>
      <c r="EK33" s="17">
        <f>EJ33*VLOOKUP('Données projet'!$B$15,Paramètres!$A$1:$I$89,3,0)*VLOOKUP('Données projet'!$B$15,Paramètres!$A$1:$I$89,5,0)</f>
        <v>97.503432000000004</v>
      </c>
      <c r="EL33" s="13">
        <f t="shared" si="45"/>
        <v>26.366352305926398</v>
      </c>
      <c r="EM33" s="20">
        <f t="shared" si="19"/>
        <v>215.73987433282181</v>
      </c>
      <c r="EN33" s="59">
        <f t="shared" si="20"/>
        <v>509.0732076661551</v>
      </c>
      <c r="EO33" s="59">
        <f ca="1">AVERAGE(OFFSET($EN$3,0,0,'Données projet'!$E$15+1,1))-AVERAGE(OFFSET($H$3,0,0,'Données projet'!$E$15+1,1))</f>
        <v>510.71380643466227</v>
      </c>
      <c r="EP33" s="59">
        <f t="shared" si="46"/>
        <v>252.40654099948841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3.15468085106383</v>
      </c>
      <c r="N34" s="13">
        <f>IF('Données projet'!$A$36&gt;35,N33+M34-V33,IF(A34&lt;'Données projet'!$A$36,$K$205^A34,IF(A34='Données projet'!$A$36,'Données projet'!$B$36,N33+M34-V33)))</f>
        <v>97.79510638297873</v>
      </c>
      <c r="O34" s="13">
        <f>N34*VLOOKUP('Données projet'!$B$9,Paramètres!$A$1:$I$89,3,0)*VLOOKUP('Données projet'!$B$9,Paramètres!$A$1:$I$89,5,0)</f>
        <v>99.164237872340436</v>
      </c>
      <c r="P34" s="13">
        <f t="shared" si="33"/>
        <v>26.762791594538605</v>
      </c>
      <c r="Q34" s="20">
        <f t="shared" si="2"/>
        <v>219.32290965481434</v>
      </c>
      <c r="R34" s="59">
        <f t="shared" si="0"/>
        <v>512.6562429881476</v>
      </c>
      <c r="S34" s="59">
        <f ca="1">AVERAGE(OFFSET($R$3,0,0,'Données projet'!$E$9+1,1))-AVERAGE(OFFSET($H$3,0,0,'Données projet'!$E$9+1,1))</f>
        <v>543.67050511722618</v>
      </c>
      <c r="T34" s="59">
        <f t="shared" si="34"/>
        <v>249.0871389941106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4.0942857142857143</v>
      </c>
      <c r="AI34" s="13">
        <f>IF('Données projet'!$A$62&gt;35,AI33+AH34-AQ33,IF(A34&lt;'Données projet'!$A$62,$AF$205^A34,IF(A34='Données projet'!$A$62,'Données projet'!$B$62,AI33+AH34-AQ33)))</f>
        <v>126.92285714285723</v>
      </c>
      <c r="AJ34" s="13">
        <f>AI34*VLOOKUP('Données projet'!$B$10,Paramètres!$A$1:$I$89,3,0)*VLOOKUP('Données projet'!$B$10,Paramètres!$A$1:$I$89,5,0)</f>
        <v>114.83980114285721</v>
      </c>
      <c r="AK34" s="13">
        <f t="shared" si="35"/>
        <v>30.468406249196239</v>
      </c>
      <c r="AL34" s="20">
        <f t="shared" si="4"/>
        <v>253.07846120782642</v>
      </c>
      <c r="AM34" s="59">
        <f t="shared" si="5"/>
        <v>546.41179454115968</v>
      </c>
      <c r="AN34" s="59">
        <f ca="1">AVERAGE(OFFSET($AM$3,0,0,'Données projet'!$E$10+1,1))-AVERAGE(OFFSET($H$3,0,0,'Données projet'!$E$10+1,1))</f>
        <v>635.71275911100679</v>
      </c>
      <c r="AO34" s="59">
        <f t="shared" si="36"/>
        <v>281.7776857269169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4.6153846153846132</v>
      </c>
      <c r="BD34" s="12">
        <f>IF('Données projet'!$A$88&gt;35,BD33+BC34-BL33,IF(A34&lt;'Données projet'!$A$88,$BA$205^A34,IF(A34='Données projet'!$A$88,'Données projet'!$B$88,BD33+BC34-BL33)))</f>
        <v>68.07692307692308</v>
      </c>
      <c r="BE34" s="13">
        <f>BD34*VLOOKUP('Données projet'!$B$11,Paramètres!$A$1:$I$89,3,0)*VLOOKUP('Données projet'!$B$11,Paramètres!$A$1:$I$89,5,0)</f>
        <v>59.472000000000016</v>
      </c>
      <c r="BF34" s="13">
        <f t="shared" si="37"/>
        <v>17.034705450773373</v>
      </c>
      <c r="BG34" s="20">
        <f t="shared" si="7"/>
        <v>133.24917866009699</v>
      </c>
      <c r="BH34" s="59">
        <f t="shared" si="8"/>
        <v>426.58251199343033</v>
      </c>
      <c r="BI34" s="59">
        <f ca="1">AVERAGE(OFFSET($BH$3,0,0,'Données projet'!$E$11+1,1))-AVERAGE(OFFSET($H$3,0,0,'Données projet'!$E$11+1,1))</f>
        <v>204.11804238362862</v>
      </c>
      <c r="BJ34" s="59">
        <f t="shared" si="38"/>
        <v>185.53854651509408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7.545901264030956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7.545901264030956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3.15468085106383</v>
      </c>
      <c r="BY34" s="12">
        <f>IF('Données projet'!$A$114&gt;35,BY33+BX34-CG33,IF(A34&lt;'Données projet'!$A$114,$BV$205^A34,IF(A34='Données projet'!$A$114,'Données projet'!$B$114,BY33+BX34-CG33)))</f>
        <v>97.79510638297873</v>
      </c>
      <c r="BZ34" s="13">
        <f>BY34*VLOOKUP('Données projet'!$B$12,Paramètres!$A$1:$I$89,3,0)*VLOOKUP('Données projet'!$B$12,Paramètres!$A$1:$I$89,5,0)</f>
        <v>97.638634212765979</v>
      </c>
      <c r="CA34" s="13">
        <f t="shared" si="39"/>
        <v>26.398654693446346</v>
      </c>
      <c r="CB34" s="20">
        <f t="shared" si="10"/>
        <v>216.03161151165315</v>
      </c>
      <c r="CC34" s="59">
        <f t="shared" si="11"/>
        <v>509.36494484498644</v>
      </c>
      <c r="CD34" s="59">
        <f ca="1">AVERAGE(OFFSET($CC$3,0,0,'Données projet'!$E$12+1,1))-AVERAGE(OFFSET($H$3,0,0,'Données projet'!$E$12+1,1))</f>
        <v>535.99935263833549</v>
      </c>
      <c r="CE34" s="59">
        <f t="shared" si="40"/>
        <v>245.89966477332644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4.016578947368421</v>
      </c>
      <c r="CT34" s="12">
        <f>IF('Données projet'!$A$140&gt;35,CT33+CS34-DB33,IF(A34&lt;'Données projet'!$A$140,$CQ$205^A34,IF(A34='Données projet'!$A$140,'Données projet'!$B$140,CT33+CS34-DB33)))</f>
        <v>124.51394736842099</v>
      </c>
      <c r="CU34" s="17">
        <f>CT34*VLOOKUP('Données projet'!$B$13,Paramètres!$A$1:$I$89,3,0)*VLOOKUP('Données projet'!$B$13,Paramètres!$A$1:$I$89,5,0)</f>
        <v>118.48747231578942</v>
      </c>
      <c r="CV34" s="13">
        <f t="shared" si="41"/>
        <v>31.321967043083987</v>
      </c>
      <c r="CW34" s="20">
        <f t="shared" si="13"/>
        <v>260.91810688337119</v>
      </c>
      <c r="CX34" s="59">
        <f t="shared" si="14"/>
        <v>554.25144021670451</v>
      </c>
      <c r="CY34" s="59">
        <f ca="1">AVERAGE(OFFSET($CX$3,0,0,'Données projet'!$E$13+1,1))-AVERAGE(OFFSET($H$3,0,0,'Données projet'!$E$13+1,1))</f>
        <v>449.28947235329758</v>
      </c>
      <c r="CZ34" s="59">
        <f t="shared" si="42"/>
        <v>289.36994109443964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>
        <f>VLOOKUP(A34,'Données projet'!$A$165:$I$185,2,0)</f>
        <v>155</v>
      </c>
      <c r="DM34" s="12">
        <f>VLOOKUP(A34,'Données projet'!$A$165:$I$185,9,0)</f>
        <v>11.5</v>
      </c>
      <c r="DN34" s="12">
        <f t="array" ref="DN34">INDEX(DM:DM,MIN(IF(ISNUMBER(DM34:DM230),ROW(DM34:DM230),"")))</f>
        <v>11.5</v>
      </c>
      <c r="DO34" s="12">
        <f>IF('Données projet'!$A$166&gt;35,DO33+DN34-DW33,IF(A34&lt;'Données projet'!$A$166,$DL$205^A34,IF(A34='Données projet'!$A$166,'Données projet'!$B$166,DO33+DN34-DW33)))</f>
        <v>154.99999999999994</v>
      </c>
      <c r="DP34" s="17">
        <f>DO34*VLOOKUP('Données projet'!$B$14,Paramètres!$A$1:$I$89,3,0)*VLOOKUP('Données projet'!$B$14,Paramètres!$A$1:$I$89,5,0)</f>
        <v>120.89999999999996</v>
      </c>
      <c r="DQ34" s="13">
        <f t="shared" si="43"/>
        <v>31.884818143351602</v>
      </c>
      <c r="DR34" s="20">
        <f t="shared" si="16"/>
        <v>266.10022493300397</v>
      </c>
      <c r="DS34" s="59">
        <f t="shared" si="17"/>
        <v>559.43355826633729</v>
      </c>
      <c r="DT34" s="59">
        <f ca="1">AVERAGE(OFFSET($DS$3,0,0,'Données projet'!$E$14+1,1))-AVERAGE(OFFSET($H$3,0,0,'Données projet'!$E$14+1,1))</f>
        <v>288.82868507674738</v>
      </c>
      <c r="DU34" s="59">
        <f t="shared" si="44"/>
        <v>283.48738729114024</v>
      </c>
      <c r="DV34" s="15">
        <f>IF(ISNA(VLOOKUP(A34,'Données projet'!$A$165:$I$185,3,0)),0,VLOOKUP(A34,'Données projet'!$A$165:$I$185,3,0))</f>
        <v>4</v>
      </c>
      <c r="DW34" s="15">
        <f>IF(ISNA(VLOOKUP(A34,'Données projet'!$A$165:$I$185,4,0)),0,VLOOKUP(A34,'Données projet'!$A$165:$I$185,4,0))</f>
        <v>36</v>
      </c>
      <c r="DX34" s="16">
        <f>IF(ISNA(VLOOKUP(A34,'Données projet'!$A$165:$I$185,5,0)),0%,VLOOKUP(A34,'Données projet'!$A$165:$I$185,5,0)*VLOOKUP('Données projet'!$B$14,Paramètres!$A$1:$I$89,7,0))</f>
        <v>0.1075</v>
      </c>
      <c r="DY34" s="16">
        <f>IF(ISNA(VLOOKUP(A34,'Données projet'!$A$165:$I$185,6,0)),0%,VLOOKUP(A34,'Données projet'!$A$165:$I$185,6,0)*VLOOKUP('Données projet'!$B$14,Paramètres!$A$1:$I$89,7,0))</f>
        <v>0.1075</v>
      </c>
      <c r="DZ34" s="16">
        <f>IF(ISNA(VLOOKUP(A34,'Données projet'!$A$165:$I$185,7,0)),0%,VLOOKUP(A34,'Données projet'!$A$165:$I$185,7,0))</f>
        <v>0.25</v>
      </c>
      <c r="EA34" s="21">
        <f>EXP(-LN(2)/35)*EA33+(1-EXP(-LN(2)/35))/(LN(2)/35)*DW34*DX34*VLOOKUP('Données projet'!$B$14,Paramètres!$A$1:$I$89,3,0)*0.475*44/12</f>
        <v>3.3369728876581632</v>
      </c>
      <c r="EB34" s="21">
        <f>EXP(-LN(2)/25)*EB33+(1-EXP(-LN(2)/25))/(LN(2)/25)*Calculateur!DW34*Calculateur!DY34*VLOOKUP('Données projet'!$B$14,Paramètres!$A$1:$I$89,3,0)*0.475*44/12</f>
        <v>7.3138775653510812</v>
      </c>
      <c r="EC34" s="21">
        <f>EXP(-LN(2)/2)*EC33+(1-EXP(-LN(2)/2))/(LN(2)/2)*DW34*DZ34*VLOOKUP('Données projet'!$B$14,Paramètres!$A$1:$I$89,3,0)*0.475*44/12</f>
        <v>7.3483135292805679</v>
      </c>
      <c r="ED34" s="22">
        <f t="shared" si="18"/>
        <v>17.999163982289812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3.3603333333333336</v>
      </c>
      <c r="EJ34" s="12">
        <f>IF('Données projet'!$A$192&gt;35,EJ33+EI34-ER33,IF(A34&lt;'Données projet'!$A$192,$EG$205^A34,IF(A34='Données projet'!$A$192,'Données projet'!$B$192,EJ33+EI34-ER33)))</f>
        <v>104.17033333333333</v>
      </c>
      <c r="EK34" s="17">
        <f>EJ34*VLOOKUP('Données projet'!$B$15,Paramètres!$A$1:$I$89,3,0)*VLOOKUP('Données projet'!$B$15,Paramètres!$A$1:$I$89,5,0)</f>
        <v>100.7535464</v>
      </c>
      <c r="EL34" s="13">
        <f t="shared" si="45"/>
        <v>27.141441074999669</v>
      </c>
      <c r="EM34" s="20">
        <f t="shared" si="19"/>
        <v>222.7504365189578</v>
      </c>
      <c r="EN34" s="59">
        <f t="shared" si="20"/>
        <v>516.08376985229108</v>
      </c>
      <c r="EO34" s="59">
        <f ca="1">AVERAGE(OFFSET($EN$3,0,0,'Données projet'!$E$15+1,1))-AVERAGE(OFFSET($H$3,0,0,'Données projet'!$E$15+1,1))</f>
        <v>510.71380643466227</v>
      </c>
      <c r="EP34" s="59">
        <f t="shared" si="46"/>
        <v>252.40654099948841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3.15468085106383</v>
      </c>
      <c r="N35" s="13">
        <f>IF('Données projet'!$A$36&gt;35,N34+M35-V34,IF(A35&lt;'Données projet'!$A$36,$K$205^A35,IF(A35='Données projet'!$A$36,'Données projet'!$B$36,N34+M35-V34)))</f>
        <v>100.94978723404256</v>
      </c>
      <c r="O35" s="13">
        <f>N35*VLOOKUP('Données projet'!$B$9,Paramètres!$A$1:$I$89,3,0)*VLOOKUP('Données projet'!$B$9,Paramètres!$A$1:$I$89,5,0)</f>
        <v>102.36308425531917</v>
      </c>
      <c r="P35" s="13">
        <f t="shared" si="33"/>
        <v>27.52420224670885</v>
      </c>
      <c r="Q35" s="20">
        <f t="shared" ref="Q35:Q66" si="53">(O35+P35)*0.475*44/12</f>
        <v>226.22035732436544</v>
      </c>
      <c r="R35" s="59">
        <f t="shared" si="0"/>
        <v>519.55369065769878</v>
      </c>
      <c r="S35" s="59">
        <f ca="1">AVERAGE(OFFSET($R$3,0,0,'Données projet'!$E$9+1,1))-AVERAGE(OFFSET($H$3,0,0,'Données projet'!$E$9+1,1))</f>
        <v>543.67050511722618</v>
      </c>
      <c r="T35" s="59">
        <f t="shared" si="34"/>
        <v>249.0871389941106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4.0942857142857143</v>
      </c>
      <c r="AI35" s="13">
        <f>IF('Données projet'!$A$62&gt;35,AI34+AH35-AQ34,IF(A35&lt;'Données projet'!$A$62,$AF$205^A35,IF(A35='Données projet'!$A$62,'Données projet'!$B$62,AI34+AH35-AQ34)))</f>
        <v>131.01714285714294</v>
      </c>
      <c r="AJ35" s="13">
        <f>AI35*VLOOKUP('Données projet'!$B$10,Paramètres!$A$1:$I$89,3,0)*VLOOKUP('Données projet'!$B$10,Paramètres!$A$1:$I$89,5,0)</f>
        <v>118.54431085714293</v>
      </c>
      <c r="AK35" s="13">
        <f t="shared" si="35"/>
        <v>31.335242916471387</v>
      </c>
      <c r="AL35" s="20">
        <f t="shared" si="4"/>
        <v>261.04022282237821</v>
      </c>
      <c r="AM35" s="59">
        <f t="shared" si="5"/>
        <v>554.37355615571153</v>
      </c>
      <c r="AN35" s="59">
        <f ca="1">AVERAGE(OFFSET($AM$3,0,0,'Données projet'!$E$10+1,1))-AVERAGE(OFFSET($H$3,0,0,'Données projet'!$E$10+1,1))</f>
        <v>635.71275911100679</v>
      </c>
      <c r="AO35" s="59">
        <f t="shared" si="36"/>
        <v>281.7776857269169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4.6153846153846132</v>
      </c>
      <c r="BD35" s="12">
        <f>IF('Données projet'!$A$88&gt;35,BD34+BC35-BL34,IF(A35&lt;'Données projet'!$A$88,$BA$205^A35,IF(A35='Données projet'!$A$88,'Données projet'!$B$88,BD34+BC35-BL34)))</f>
        <v>72.692307692307693</v>
      </c>
      <c r="BE35" s="13">
        <f>BD35*VLOOKUP('Données projet'!$B$11,Paramètres!$A$1:$I$89,3,0)*VLOOKUP('Données projet'!$B$11,Paramètres!$A$1:$I$89,5,0)</f>
        <v>63.504000000000012</v>
      </c>
      <c r="BF35" s="13">
        <f t="shared" si="37"/>
        <v>18.051242499399113</v>
      </c>
      <c r="BG35" s="20">
        <f t="shared" si="7"/>
        <v>142.04204735312013</v>
      </c>
      <c r="BH35" s="59">
        <f t="shared" si="8"/>
        <v>435.37538068645347</v>
      </c>
      <c r="BI35" s="59">
        <f ca="1">AVERAGE(OFFSET($BH$3,0,0,'Données projet'!$E$11+1,1))-AVERAGE(OFFSET($H$3,0,0,'Données projet'!$E$11+1,1))</f>
        <v>204.11804238362862</v>
      </c>
      <c r="BJ35" s="59">
        <f t="shared" si="38"/>
        <v>185.53854651509408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7.3395581971443287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7.3395581971443287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3.15468085106383</v>
      </c>
      <c r="BY35" s="12">
        <f>IF('Données projet'!$A$114&gt;35,BY34+BX35-CG34,IF(A35&lt;'Données projet'!$A$114,$BV$205^A35,IF(A35='Données projet'!$A$114,'Données projet'!$B$114,BY34+BX35-CG34)))</f>
        <v>100.94978723404256</v>
      </c>
      <c r="BZ35" s="13">
        <f>BY35*VLOOKUP('Données projet'!$B$12,Paramètres!$A$1:$I$89,3,0)*VLOOKUP('Données projet'!$B$12,Paramètres!$A$1:$I$89,5,0)</f>
        <v>100.78826757446809</v>
      </c>
      <c r="CA35" s="13">
        <f t="shared" si="39"/>
        <v>27.149705525178558</v>
      </c>
      <c r="CB35" s="20">
        <f t="shared" si="10"/>
        <v>222.82530314855126</v>
      </c>
      <c r="CC35" s="59">
        <f t="shared" si="11"/>
        <v>516.15863648188451</v>
      </c>
      <c r="CD35" s="59">
        <f ca="1">AVERAGE(OFFSET($CC$3,0,0,'Données projet'!$E$12+1,1))-AVERAGE(OFFSET($H$3,0,0,'Données projet'!$E$12+1,1))</f>
        <v>535.99935263833549</v>
      </c>
      <c r="CE35" s="59">
        <f t="shared" si="40"/>
        <v>245.89966477332644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4.016578947368421</v>
      </c>
      <c r="CT35" s="12">
        <f>IF('Données projet'!$A$140&gt;35,CT34+CS35-DB34,IF(A35&lt;'Données projet'!$A$140,$CQ$205^A35,IF(A35='Données projet'!$A$140,'Données projet'!$B$140,CT34+CS35-DB34)))</f>
        <v>128.53052631578942</v>
      </c>
      <c r="CU35" s="17">
        <f>CT35*VLOOKUP('Données projet'!$B$13,Paramètres!$A$1:$I$89,3,0)*VLOOKUP('Données projet'!$B$13,Paramètres!$A$1:$I$89,5,0)</f>
        <v>122.3096488421052</v>
      </c>
      <c r="CV35" s="13">
        <f t="shared" si="41"/>
        <v>32.213087809364474</v>
      </c>
      <c r="CW35" s="20">
        <f t="shared" si="13"/>
        <v>269.12709966797632</v>
      </c>
      <c r="CX35" s="59">
        <f t="shared" si="14"/>
        <v>562.46043300130964</v>
      </c>
      <c r="CY35" s="59">
        <f ca="1">AVERAGE(OFFSET($CX$3,0,0,'Données projet'!$E$13+1,1))-AVERAGE(OFFSET($H$3,0,0,'Données projet'!$E$13+1,1))</f>
        <v>449.28947235329758</v>
      </c>
      <c r="CZ35" s="59">
        <f t="shared" si="42"/>
        <v>289.36994109443964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11.5</v>
      </c>
      <c r="DO35" s="12">
        <f>IF('Données projet'!$A$166&gt;35,DO34+DN35-DW34,IF(A35&lt;'Données projet'!$A$166,$DL$205^A35,IF(A35='Données projet'!$A$166,'Données projet'!$B$166,DO34+DN35-DW34)))</f>
        <v>130.49999999999994</v>
      </c>
      <c r="DP35" s="17">
        <f>DO35*VLOOKUP('Données projet'!$B$14,Paramètres!$A$1:$I$89,3,0)*VLOOKUP('Données projet'!$B$14,Paramètres!$A$1:$I$89,5,0)</f>
        <v>101.78999999999996</v>
      </c>
      <c r="DQ35" s="13">
        <f t="shared" si="43"/>
        <v>27.38799903683508</v>
      </c>
      <c r="DR35" s="20">
        <f t="shared" si="16"/>
        <v>224.98501498915437</v>
      </c>
      <c r="DS35" s="59">
        <f t="shared" si="17"/>
        <v>518.31834832248774</v>
      </c>
      <c r="DT35" s="59">
        <f ca="1">AVERAGE(OFFSET($DS$3,0,0,'Données projet'!$E$14+1,1))-AVERAGE(OFFSET($H$3,0,0,'Données projet'!$E$14+1,1))</f>
        <v>288.82868507674738</v>
      </c>
      <c r="DU35" s="59">
        <f t="shared" si="44"/>
        <v>283.48738729114024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3.2715368846836737</v>
      </c>
      <c r="EB35" s="21">
        <f>EXP(-LN(2)/25)*EB34+(1-EXP(-LN(2)/25))/(LN(2)/25)*Calculateur!DW35*Calculateur!DY35*VLOOKUP('Données projet'!$B$14,Paramètres!$A$1:$I$89,3,0)*0.475*44/12</f>
        <v>7.1138791987064511</v>
      </c>
      <c r="EC35" s="21">
        <f>EXP(-LN(2)/2)*EC34+(1-EXP(-LN(2)/2))/(LN(2)/2)*DW35*DZ35*VLOOKUP('Données projet'!$B$14,Paramètres!$A$1:$I$89,3,0)*0.475*44/12</f>
        <v>5.1960423268391418</v>
      </c>
      <c r="ED35" s="22">
        <f t="shared" si="18"/>
        <v>15.581458410229267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3.3603333333333336</v>
      </c>
      <c r="EJ35" s="12">
        <f>IF('Données projet'!$A$192&gt;35,EJ34+EI35-ER34,IF(A35&lt;'Données projet'!$A$192,$EG$205^A35,IF(A35='Données projet'!$A$192,'Données projet'!$B$192,EJ34+EI35-ER34)))</f>
        <v>107.53066666666666</v>
      </c>
      <c r="EK35" s="17">
        <f>EJ35*VLOOKUP('Données projet'!$B$15,Paramètres!$A$1:$I$89,3,0)*VLOOKUP('Données projet'!$B$15,Paramètres!$A$1:$I$89,5,0)</f>
        <v>104.00366079999999</v>
      </c>
      <c r="EL35" s="13">
        <f t="shared" si="45"/>
        <v>27.913624435496846</v>
      </c>
      <c r="EM35" s="20">
        <f t="shared" si="19"/>
        <v>229.75593845182368</v>
      </c>
      <c r="EN35" s="59">
        <f t="shared" si="20"/>
        <v>523.08927178515705</v>
      </c>
      <c r="EO35" s="59">
        <f ca="1">AVERAGE(OFFSET($EN$3,0,0,'Données projet'!$E$15+1,1))-AVERAGE(OFFSET($H$3,0,0,'Données projet'!$E$15+1,1))</f>
        <v>510.71380643466227</v>
      </c>
      <c r="EP35" s="59">
        <f t="shared" si="46"/>
        <v>252.40654099948841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3.15468085106383</v>
      </c>
      <c r="N36" s="13">
        <f>IF('Données projet'!$A$36&gt;35,N35+M36-V35,IF(A36&lt;'Données projet'!$A$36,$K$205^A36,IF(A36='Données projet'!$A$36,'Données projet'!$B$36,N35+M36-V35)))</f>
        <v>104.10446808510639</v>
      </c>
      <c r="O36" s="13">
        <f>N36*VLOOKUP('Données projet'!$B$9,Paramètres!$A$1:$I$89,3,0)*VLOOKUP('Données projet'!$B$9,Paramètres!$A$1:$I$89,5,0)</f>
        <v>105.56193063829789</v>
      </c>
      <c r="P36" s="13">
        <f t="shared" si="33"/>
        <v>28.282847823312135</v>
      </c>
      <c r="Q36" s="20">
        <f t="shared" si="53"/>
        <v>233.11298915397074</v>
      </c>
      <c r="R36" s="59">
        <f t="shared" si="0"/>
        <v>526.44632248730409</v>
      </c>
      <c r="S36" s="59">
        <f ca="1">AVERAGE(OFFSET($R$3,0,0,'Données projet'!$E$9+1,1))-AVERAGE(OFFSET($H$3,0,0,'Données projet'!$E$9+1,1))</f>
        <v>543.67050511722618</v>
      </c>
      <c r="T36" s="59">
        <f t="shared" si="34"/>
        <v>249.0871389941106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4.0942857142857143</v>
      </c>
      <c r="AI36" s="13">
        <f>IF('Données projet'!$A$62&gt;35,AI35+AH36-AQ35,IF(A36&lt;'Données projet'!$A$62,$AF$205^A36,IF(A36='Données projet'!$A$62,'Données projet'!$B$62,AI35+AH36-AQ35)))</f>
        <v>135.11142857142866</v>
      </c>
      <c r="AJ36" s="13">
        <f>AI36*VLOOKUP('Données projet'!$B$10,Paramètres!$A$1:$I$89,3,0)*VLOOKUP('Données projet'!$B$10,Paramètres!$A$1:$I$89,5,0)</f>
        <v>122.24882057142865</v>
      </c>
      <c r="AK36" s="13">
        <f t="shared" si="35"/>
        <v>32.198931651835657</v>
      </c>
      <c r="AL36" s="20">
        <f t="shared" si="4"/>
        <v>268.99650178885196</v>
      </c>
      <c r="AM36" s="59">
        <f t="shared" si="5"/>
        <v>562.32983512218527</v>
      </c>
      <c r="AN36" s="59">
        <f ca="1">AVERAGE(OFFSET($AM$3,0,0,'Données projet'!$E$10+1,1))-AVERAGE(OFFSET($H$3,0,0,'Données projet'!$E$10+1,1))</f>
        <v>635.71275911100679</v>
      </c>
      <c r="AO36" s="59">
        <f t="shared" si="36"/>
        <v>281.7776857269169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4.6153846153846132</v>
      </c>
      <c r="BD36" s="12">
        <f>IF('Données projet'!$A$88&gt;35,BD35+BC36-BL35,IF(A36&lt;'Données projet'!$A$88,$BA$205^A36,IF(A36='Données projet'!$A$88,'Données projet'!$B$88,BD35+BC36-BL35)))</f>
        <v>77.307692307692307</v>
      </c>
      <c r="BE36" s="13">
        <f>BD36*VLOOKUP('Données projet'!$B$11,Paramètres!$A$1:$I$89,3,0)*VLOOKUP('Données projet'!$B$11,Paramètres!$A$1:$I$89,5,0)</f>
        <v>67.536000000000001</v>
      </c>
      <c r="BF36" s="13">
        <f t="shared" si="37"/>
        <v>19.060289237119235</v>
      </c>
      <c r="BG36" s="20">
        <f t="shared" si="7"/>
        <v>150.82187042131599</v>
      </c>
      <c r="BH36" s="59">
        <f t="shared" si="8"/>
        <v>444.15520375464928</v>
      </c>
      <c r="BI36" s="59">
        <f ca="1">AVERAGE(OFFSET($BH$3,0,0,'Données projet'!$E$11+1,1))-AVERAGE(OFFSET($H$3,0,0,'Données projet'!$E$11+1,1))</f>
        <v>204.11804238362862</v>
      </c>
      <c r="BJ36" s="59">
        <f t="shared" si="38"/>
        <v>185.53854651509408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7.1388575922728261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7.1388575922728261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3.15468085106383</v>
      </c>
      <c r="BY36" s="12">
        <f>IF('Données projet'!$A$114&gt;35,BY35+BX36-CG35,IF(A36&lt;'Données projet'!$A$114,$BV$205^A36,IF(A36='Données projet'!$A$114,'Données projet'!$B$114,BY35+BX36-CG35)))</f>
        <v>104.10446808510639</v>
      </c>
      <c r="BZ36" s="13">
        <f>BY36*VLOOKUP('Données projet'!$B$12,Paramètres!$A$1:$I$89,3,0)*VLOOKUP('Données projet'!$B$12,Paramètres!$A$1:$I$89,5,0)</f>
        <v>103.93790093617022</v>
      </c>
      <c r="CA36" s="13">
        <f t="shared" si="39"/>
        <v>27.898028903205667</v>
      </c>
      <c r="CB36" s="20">
        <f t="shared" si="10"/>
        <v>229.61424447024635</v>
      </c>
      <c r="CC36" s="59">
        <f t="shared" si="11"/>
        <v>522.94757780357963</v>
      </c>
      <c r="CD36" s="59">
        <f ca="1">AVERAGE(OFFSET($CC$3,0,0,'Données projet'!$E$12+1,1))-AVERAGE(OFFSET($H$3,0,0,'Données projet'!$E$12+1,1))</f>
        <v>535.99935263833549</v>
      </c>
      <c r="CE36" s="59">
        <f t="shared" si="40"/>
        <v>245.89966477332644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4.016578947368421</v>
      </c>
      <c r="CT36" s="12">
        <f>IF('Données projet'!$A$140&gt;35,CT35+CS36-DB35,IF(A36&lt;'Données projet'!$A$140,$CQ$205^A36,IF(A36='Données projet'!$A$140,'Données projet'!$B$140,CT35+CS36-DB35)))</f>
        <v>132.54710526315785</v>
      </c>
      <c r="CU36" s="17">
        <f>CT36*VLOOKUP('Données projet'!$B$13,Paramètres!$A$1:$I$89,3,0)*VLOOKUP('Données projet'!$B$13,Paramètres!$A$1:$I$89,5,0)</f>
        <v>126.131825368421</v>
      </c>
      <c r="CV36" s="13">
        <f t="shared" si="41"/>
        <v>33.100972455620806</v>
      </c>
      <c r="CW36" s="20">
        <f t="shared" si="13"/>
        <v>277.33045621020614</v>
      </c>
      <c r="CX36" s="59">
        <f t="shared" si="14"/>
        <v>570.66378954353945</v>
      </c>
      <c r="CY36" s="59">
        <f ca="1">AVERAGE(OFFSET($CX$3,0,0,'Données projet'!$E$13+1,1))-AVERAGE(OFFSET($H$3,0,0,'Données projet'!$E$13+1,1))</f>
        <v>449.28947235329758</v>
      </c>
      <c r="CZ36" s="59">
        <f t="shared" si="42"/>
        <v>289.36994109443964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11.5</v>
      </c>
      <c r="DO36" s="12">
        <f>IF('Données projet'!$A$166&gt;35,DO35+DN36-DW35,IF(A36&lt;'Données projet'!$A$166,$DL$205^A36,IF(A36='Données projet'!$A$166,'Données projet'!$B$166,DO35+DN36-DW35)))</f>
        <v>141.99999999999994</v>
      </c>
      <c r="DP36" s="17">
        <f>DO36*VLOOKUP('Données projet'!$B$14,Paramètres!$A$1:$I$89,3,0)*VLOOKUP('Données projet'!$B$14,Paramètres!$A$1:$I$89,5,0)</f>
        <v>110.75999999999996</v>
      </c>
      <c r="DQ36" s="13">
        <f t="shared" si="43"/>
        <v>29.509974682362923</v>
      </c>
      <c r="DR36" s="20">
        <f t="shared" si="16"/>
        <v>244.30353923844871</v>
      </c>
      <c r="DS36" s="59">
        <f t="shared" si="17"/>
        <v>537.63687257178208</v>
      </c>
      <c r="DT36" s="59">
        <f ca="1">AVERAGE(OFFSET($DS$3,0,0,'Données projet'!$E$14+1,1))-AVERAGE(OFFSET($H$3,0,0,'Données projet'!$E$14+1,1))</f>
        <v>288.82868507674738</v>
      </c>
      <c r="DU36" s="59">
        <f t="shared" si="44"/>
        <v>283.48738729114024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3.2073840418154931</v>
      </c>
      <c r="EB36" s="21">
        <f>EXP(-LN(2)/25)*EB35+(1-EXP(-LN(2)/25))/(LN(2)/25)*Calculateur!DW36*Calculateur!DY36*VLOOKUP('Données projet'!$B$14,Paramètres!$A$1:$I$89,3,0)*0.475*44/12</f>
        <v>6.9193497979151752</v>
      </c>
      <c r="EC36" s="21">
        <f>EXP(-LN(2)/2)*EC35+(1-EXP(-LN(2)/2))/(LN(2)/2)*DW36*DZ36*VLOOKUP('Données projet'!$B$14,Paramètres!$A$1:$I$89,3,0)*0.475*44/12</f>
        <v>3.6741567646402844</v>
      </c>
      <c r="ED36" s="22">
        <f t="shared" si="18"/>
        <v>13.800890604370952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3.3603333333333336</v>
      </c>
      <c r="EJ36" s="12">
        <f>IF('Données projet'!$A$192&gt;35,EJ35+EI36-ER35,IF(A36&lt;'Données projet'!$A$192,$EG$205^A36,IF(A36='Données projet'!$A$192,'Données projet'!$B$192,EJ35+EI36-ER35)))</f>
        <v>110.89099999999999</v>
      </c>
      <c r="EK36" s="17">
        <f>EJ36*VLOOKUP('Données projet'!$B$15,Paramètres!$A$1:$I$89,3,0)*VLOOKUP('Données projet'!$B$15,Paramètres!$A$1:$I$89,5,0)</f>
        <v>107.25377520000001</v>
      </c>
      <c r="EL36" s="13">
        <f t="shared" si="45"/>
        <v>28.683003599155882</v>
      </c>
      <c r="EM36" s="20">
        <f t="shared" si="19"/>
        <v>236.75655640852983</v>
      </c>
      <c r="EN36" s="59">
        <f t="shared" si="20"/>
        <v>530.08988974186309</v>
      </c>
      <c r="EO36" s="59">
        <f ca="1">AVERAGE(OFFSET($EN$3,0,0,'Données projet'!$E$15+1,1))-AVERAGE(OFFSET($H$3,0,0,'Données projet'!$E$15+1,1))</f>
        <v>510.71380643466227</v>
      </c>
      <c r="EP36" s="59">
        <f t="shared" si="46"/>
        <v>252.40654099948841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3.15468085106383</v>
      </c>
      <c r="N37" s="13">
        <f>IF('Données projet'!$A$36&gt;35,N36+M37-V36,IF(A37&lt;'Données projet'!$A$36,$K$205^A37,IF(A37='Données projet'!$A$36,'Données projet'!$B$36,N36+M37-V36)))</f>
        <v>107.25914893617022</v>
      </c>
      <c r="O37" s="13">
        <f>N37*VLOOKUP('Données projet'!$B$9,Paramètres!$A$1:$I$89,3,0)*VLOOKUP('Données projet'!$B$9,Paramètres!$A$1:$I$89,5,0)</f>
        <v>108.76077702127661</v>
      </c>
      <c r="P37" s="13">
        <f t="shared" si="33"/>
        <v>29.03882173190404</v>
      </c>
      <c r="Q37" s="20">
        <f t="shared" si="53"/>
        <v>240.00096782845628</v>
      </c>
      <c r="R37" s="59">
        <f t="shared" si="0"/>
        <v>533.33430116178965</v>
      </c>
      <c r="S37" s="59">
        <f ca="1">AVERAGE(OFFSET($R$3,0,0,'Données projet'!$E$9+1,1))-AVERAGE(OFFSET($H$3,0,0,'Données projet'!$E$9+1,1))</f>
        <v>543.67050511722618</v>
      </c>
      <c r="T37" s="59">
        <f t="shared" si="34"/>
        <v>249.0871389941106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4.0942857142857143</v>
      </c>
      <c r="AI37" s="13">
        <f>IF('Données projet'!$A$62&gt;35,AI36+AH37-AQ36,IF(A37&lt;'Données projet'!$A$62,$AF$205^A37,IF(A37='Données projet'!$A$62,'Données projet'!$B$62,AI36+AH37-AQ36)))</f>
        <v>139.20571428571438</v>
      </c>
      <c r="AJ37" s="13">
        <f>AI37*VLOOKUP('Données projet'!$B$10,Paramètres!$A$1:$I$89,3,0)*VLOOKUP('Données projet'!$B$10,Paramètres!$A$1:$I$89,5,0)</f>
        <v>125.95333028571436</v>
      </c>
      <c r="AK37" s="13">
        <f t="shared" si="35"/>
        <v>33.059578796189285</v>
      </c>
      <c r="AL37" s="20">
        <f t="shared" si="4"/>
        <v>276.94748331764885</v>
      </c>
      <c r="AM37" s="59">
        <f t="shared" si="5"/>
        <v>570.28081665098216</v>
      </c>
      <c r="AN37" s="59">
        <f ca="1">AVERAGE(OFFSET($AM$3,0,0,'Données projet'!$E$10+1,1))-AVERAGE(OFFSET($H$3,0,0,'Données projet'!$E$10+1,1))</f>
        <v>635.71275911100679</v>
      </c>
      <c r="AO37" s="59">
        <f t="shared" si="36"/>
        <v>281.7776857269169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4.6153846153846132</v>
      </c>
      <c r="BD37" s="12">
        <f>IF('Données projet'!$A$88&gt;35,BD36+BC37-BL36,IF(A37&lt;'Données projet'!$A$88,$BA$205^A37,IF(A37='Données projet'!$A$88,'Données projet'!$B$88,BD36+BC37-BL36)))</f>
        <v>81.92307692307692</v>
      </c>
      <c r="BE37" s="13">
        <f>BD37*VLOOKUP('Données projet'!$B$11,Paramètres!$A$1:$I$89,3,0)*VLOOKUP('Données projet'!$B$11,Paramètres!$A$1:$I$89,5,0)</f>
        <v>71.567999999999998</v>
      </c>
      <c r="BF37" s="13">
        <f t="shared" si="37"/>
        <v>20.062343777240766</v>
      </c>
      <c r="BG37" s="20">
        <f t="shared" si="7"/>
        <v>159.58951541202768</v>
      </c>
      <c r="BH37" s="59">
        <f t="shared" si="8"/>
        <v>452.92284874536097</v>
      </c>
      <c r="BI37" s="59">
        <f ca="1">AVERAGE(OFFSET($BH$3,0,0,'Données projet'!$E$11+1,1))-AVERAGE(OFFSET($H$3,0,0,'Données projet'!$E$11+1,1))</f>
        <v>204.11804238362862</v>
      </c>
      <c r="BJ37" s="59">
        <f t="shared" si="38"/>
        <v>185.53854651509408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6.9436451559959211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6.9436451559959211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3.15468085106383</v>
      </c>
      <c r="BY37" s="12">
        <f>IF('Données projet'!$A$114&gt;35,BY36+BX37-CG36,IF(A37&lt;'Données projet'!$A$114,$BV$205^A37,IF(A37='Données projet'!$A$114,'Données projet'!$B$114,BY36+BX37-CG36)))</f>
        <v>107.25914893617022</v>
      </c>
      <c r="BZ37" s="13">
        <f>BY37*VLOOKUP('Données projet'!$B$12,Paramètres!$A$1:$I$89,3,0)*VLOOKUP('Données projet'!$B$12,Paramètres!$A$1:$I$89,5,0)</f>
        <v>107.08753429787234</v>
      </c>
      <c r="CA37" s="13">
        <f t="shared" si="39"/>
        <v>28.643716964171844</v>
      </c>
      <c r="CB37" s="20">
        <f t="shared" si="10"/>
        <v>236.39859594806023</v>
      </c>
      <c r="CC37" s="59">
        <f t="shared" si="11"/>
        <v>529.7319292813936</v>
      </c>
      <c r="CD37" s="59">
        <f ca="1">AVERAGE(OFFSET($CC$3,0,0,'Données projet'!$E$12+1,1))-AVERAGE(OFFSET($H$3,0,0,'Données projet'!$E$12+1,1))</f>
        <v>535.99935263833549</v>
      </c>
      <c r="CE37" s="59">
        <f t="shared" si="40"/>
        <v>245.89966477332644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4.016578947368421</v>
      </c>
      <c r="CT37" s="12">
        <f>IF('Données projet'!$A$140&gt;35,CT36+CS37-DB36,IF(A37&lt;'Données projet'!$A$140,$CQ$205^A37,IF(A37='Données projet'!$A$140,'Données projet'!$B$140,CT36+CS37-DB36)))</f>
        <v>136.56368421052628</v>
      </c>
      <c r="CU37" s="17">
        <f>CT37*VLOOKUP('Données projet'!$B$13,Paramètres!$A$1:$I$89,3,0)*VLOOKUP('Données projet'!$B$13,Paramètres!$A$1:$I$89,5,0)</f>
        <v>129.95400189473682</v>
      </c>
      <c r="CV37" s="13">
        <f t="shared" si="41"/>
        <v>33.985730301853138</v>
      </c>
      <c r="CW37" s="20">
        <f t="shared" si="13"/>
        <v>285.52836690906082</v>
      </c>
      <c r="CX37" s="59">
        <f t="shared" si="14"/>
        <v>578.86170024239414</v>
      </c>
      <c r="CY37" s="59">
        <f ca="1">AVERAGE(OFFSET($CX$3,0,0,'Données projet'!$E$13+1,1))-AVERAGE(OFFSET($H$3,0,0,'Données projet'!$E$13+1,1))</f>
        <v>449.28947235329758</v>
      </c>
      <c r="CZ37" s="59">
        <f t="shared" si="42"/>
        <v>289.36994109443964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11.5</v>
      </c>
      <c r="DO37" s="12">
        <f>IF('Données projet'!$A$166&gt;35,DO36+DN37-DW36,IF(A37&lt;'Données projet'!$A$166,$DL$205^A37,IF(A37='Données projet'!$A$166,'Données projet'!$B$166,DO36+DN37-DW36)))</f>
        <v>153.49999999999994</v>
      </c>
      <c r="DP37" s="17">
        <f>DO37*VLOOKUP('Données projet'!$B$14,Paramètres!$A$1:$I$89,3,0)*VLOOKUP('Données projet'!$B$14,Paramètres!$A$1:$I$89,5,0)</f>
        <v>119.72999999999996</v>
      </c>
      <c r="DQ37" s="13">
        <f t="shared" si="43"/>
        <v>31.612017974790529</v>
      </c>
      <c r="DR37" s="20">
        <f t="shared" si="16"/>
        <v>263.58734797276003</v>
      </c>
      <c r="DS37" s="59">
        <f t="shared" si="17"/>
        <v>556.92068130609334</v>
      </c>
      <c r="DT37" s="59">
        <f ca="1">AVERAGE(OFFSET($DS$3,0,0,'Données projet'!$E$14+1,1))-AVERAGE(OFFSET($H$3,0,0,'Données projet'!$E$14+1,1))</f>
        <v>288.82868507674738</v>
      </c>
      <c r="DU37" s="59">
        <f t="shared" si="44"/>
        <v>283.48738729114024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3.1444891970665871</v>
      </c>
      <c r="EB37" s="21">
        <f>EXP(-LN(2)/25)*EB36+(1-EXP(-LN(2)/25))/(LN(2)/25)*Calculateur!DW37*Calculateur!DY37*VLOOKUP('Données projet'!$B$14,Paramètres!$A$1:$I$89,3,0)*0.475*44/12</f>
        <v>6.7301398138183934</v>
      </c>
      <c r="EC37" s="21">
        <f>EXP(-LN(2)/2)*EC36+(1-EXP(-LN(2)/2))/(LN(2)/2)*DW37*DZ37*VLOOKUP('Données projet'!$B$14,Paramètres!$A$1:$I$89,3,0)*0.475*44/12</f>
        <v>2.5980211634195713</v>
      </c>
      <c r="ED37" s="22">
        <f t="shared" si="18"/>
        <v>12.472650174304551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3.3603333333333336</v>
      </c>
      <c r="EJ37" s="12">
        <f>IF('Données projet'!$A$192&gt;35,EJ36+EI37-ER36,IF(A37&lt;'Données projet'!$A$192,$EG$205^A37,IF(A37='Données projet'!$A$192,'Données projet'!$B$192,EJ36+EI37-ER36)))</f>
        <v>114.25133333333332</v>
      </c>
      <c r="EK37" s="17">
        <f>EJ37*VLOOKUP('Données projet'!$B$15,Paramètres!$A$1:$I$89,3,0)*VLOOKUP('Données projet'!$B$15,Paramètres!$A$1:$I$89,5,0)</f>
        <v>110.50388959999999</v>
      </c>
      <c r="EL37" s="13">
        <f t="shared" si="45"/>
        <v>29.449673295095682</v>
      </c>
      <c r="EM37" s="20">
        <f t="shared" si="19"/>
        <v>243.75245537562498</v>
      </c>
      <c r="EN37" s="59">
        <f t="shared" si="20"/>
        <v>537.08578870895826</v>
      </c>
      <c r="EO37" s="59">
        <f ca="1">AVERAGE(OFFSET($EN$3,0,0,'Données projet'!$E$15+1,1))-AVERAGE(OFFSET($H$3,0,0,'Données projet'!$E$15+1,1))</f>
        <v>510.71380643466227</v>
      </c>
      <c r="EP37" s="59">
        <f t="shared" si="46"/>
        <v>252.40654099948841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3.15468085106383</v>
      </c>
      <c r="N38" s="13">
        <f>IF('Données projet'!$A$36&gt;35,N37+M38-V37,IF(A38&lt;'Données projet'!$A$36,$K$205^A38,IF(A38='Données projet'!$A$36,'Données projet'!$B$36,N37+M38-V37)))</f>
        <v>110.41382978723405</v>
      </c>
      <c r="O38" s="13">
        <f>N38*VLOOKUP('Données projet'!$B$9,Paramètres!$A$1:$I$89,3,0)*VLOOKUP('Données projet'!$B$9,Paramètres!$A$1:$I$89,5,0)</f>
        <v>111.95962340425534</v>
      </c>
      <c r="P38" s="13">
        <f t="shared" si="33"/>
        <v>29.792211573100687</v>
      </c>
      <c r="Q38" s="20">
        <f t="shared" si="53"/>
        <v>246.88444591889507</v>
      </c>
      <c r="R38" s="59">
        <f t="shared" si="0"/>
        <v>540.21777925222841</v>
      </c>
      <c r="S38" s="59">
        <f ca="1">AVERAGE(OFFSET($R$3,0,0,'Données projet'!$E$9+1,1))-AVERAGE(OFFSET($H$3,0,0,'Données projet'!$E$9+1,1))</f>
        <v>543.67050511722618</v>
      </c>
      <c r="T38" s="59">
        <f t="shared" si="34"/>
        <v>249.0871389941106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4.0942857142857143</v>
      </c>
      <c r="AI38" s="13">
        <f>IF('Données projet'!$A$62&gt;35,AI37+AH38-AQ37,IF(A38&lt;'Données projet'!$A$62,$AF$205^A38,IF(A38='Données projet'!$A$62,'Données projet'!$B$62,AI37+AH38-AQ37)))</f>
        <v>143.3000000000001</v>
      </c>
      <c r="AJ38" s="13">
        <f>AI38*VLOOKUP('Données projet'!$B$10,Paramètres!$A$1:$I$89,3,0)*VLOOKUP('Données projet'!$B$10,Paramètres!$A$1:$I$89,5,0)</f>
        <v>129.65784000000008</v>
      </c>
      <c r="AK38" s="13">
        <f t="shared" si="35"/>
        <v>33.917284079455818</v>
      </c>
      <c r="AL38" s="20">
        <f t="shared" si="4"/>
        <v>284.89334110505234</v>
      </c>
      <c r="AM38" s="59">
        <f t="shared" si="5"/>
        <v>578.22667443838566</v>
      </c>
      <c r="AN38" s="59">
        <f ca="1">AVERAGE(OFFSET($AM$3,0,0,'Données projet'!$E$10+1,1))-AVERAGE(OFFSET($H$3,0,0,'Données projet'!$E$10+1,1))</f>
        <v>635.71275911100679</v>
      </c>
      <c r="AO38" s="59">
        <f t="shared" si="36"/>
        <v>281.7776857269169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86.538461538461533</v>
      </c>
      <c r="BB38" s="12">
        <f>VLOOKUP(A38,'Données projet'!$A$87:$I$107,9,0)</f>
        <v>4.6153846153846132</v>
      </c>
      <c r="BC38" s="12">
        <f t="array" ref="BC38">INDEX(BB:BB,MIN(IF(ISNUMBER(BB38:BB234),ROW(BB38:BB234),"")))</f>
        <v>4.6153846153846132</v>
      </c>
      <c r="BD38" s="12">
        <f>IF('Données projet'!$A$88&gt;35,BD37+BC38-BL37,IF(A38&lt;'Données projet'!$A$88,$BA$205^A38,IF(A38='Données projet'!$A$88,'Données projet'!$B$88,BD37+BC38-BL37)))</f>
        <v>86.538461538461533</v>
      </c>
      <c r="BE38" s="13">
        <f>BD38*VLOOKUP('Données projet'!$B$11,Paramètres!$A$1:$I$89,3,0)*VLOOKUP('Données projet'!$B$11,Paramètres!$A$1:$I$89,5,0)</f>
        <v>75.599999999999994</v>
      </c>
      <c r="BF38" s="13">
        <f t="shared" si="37"/>
        <v>21.057844937632133</v>
      </c>
      <c r="BG38" s="20">
        <f t="shared" si="7"/>
        <v>168.34574659970926</v>
      </c>
      <c r="BH38" s="59">
        <f t="shared" si="8"/>
        <v>461.67907993304254</v>
      </c>
      <c r="BI38" s="59">
        <f ca="1">AVERAGE(OFFSET($BH$3,0,0,'Données projet'!$E$11+1,1))-AVERAGE(OFFSET($H$3,0,0,'Données projet'!$E$11+1,1))</f>
        <v>204.11804238362862</v>
      </c>
      <c r="BJ38" s="59">
        <f t="shared" si="38"/>
        <v>185.53854651509408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12.820512820512819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0.215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9.4052622872618148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9.4052622872618148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3.15468085106383</v>
      </c>
      <c r="BY38" s="12">
        <f>IF('Données projet'!$A$114&gt;35,BY37+BX38-CG37,IF(A38&lt;'Données projet'!$A$114,$BV$205^A38,IF(A38='Données projet'!$A$114,'Données projet'!$B$114,BY37+BX38-CG37)))</f>
        <v>110.41382978723405</v>
      </c>
      <c r="BZ38" s="13">
        <f>BY38*VLOOKUP('Données projet'!$B$12,Paramètres!$A$1:$I$89,3,0)*VLOOKUP('Données projet'!$B$12,Paramètres!$A$1:$I$89,5,0)</f>
        <v>110.2371676595745</v>
      </c>
      <c r="CA38" s="13">
        <f t="shared" si="39"/>
        <v>29.386856116791428</v>
      </c>
      <c r="CB38" s="20">
        <f t="shared" si="10"/>
        <v>243.17850807717068</v>
      </c>
      <c r="CC38" s="59">
        <f t="shared" si="11"/>
        <v>536.51184141050396</v>
      </c>
      <c r="CD38" s="59">
        <f ca="1">AVERAGE(OFFSET($CC$3,0,0,'Données projet'!$E$12+1,1))-AVERAGE(OFFSET($H$3,0,0,'Données projet'!$E$12+1,1))</f>
        <v>535.99935263833549</v>
      </c>
      <c r="CE38" s="59">
        <f t="shared" si="40"/>
        <v>245.89966477332644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4.016578947368421</v>
      </c>
      <c r="CT38" s="12">
        <f>IF('Données projet'!$A$140&gt;35,CT37+CS38-DB37,IF(A38&lt;'Données projet'!$A$140,$CQ$205^A38,IF(A38='Données projet'!$A$140,'Données projet'!$B$140,CT37+CS38-DB37)))</f>
        <v>140.58026315789471</v>
      </c>
      <c r="CU38" s="17">
        <f>CT38*VLOOKUP('Données projet'!$B$13,Paramètres!$A$1:$I$89,3,0)*VLOOKUP('Données projet'!$B$13,Paramètres!$A$1:$I$89,5,0)</f>
        <v>133.77617842105261</v>
      </c>
      <c r="CV38" s="13">
        <f t="shared" si="41"/>
        <v>34.867463871880652</v>
      </c>
      <c r="CW38" s="20">
        <f t="shared" si="13"/>
        <v>293.72101032685873</v>
      </c>
      <c r="CX38" s="59">
        <f t="shared" si="14"/>
        <v>587.05434366019199</v>
      </c>
      <c r="CY38" s="59">
        <f ca="1">AVERAGE(OFFSET($CX$3,0,0,'Données projet'!$E$13+1,1))-AVERAGE(OFFSET($H$3,0,0,'Données projet'!$E$13+1,1))</f>
        <v>449.28947235329758</v>
      </c>
      <c r="CZ38" s="59">
        <f t="shared" si="42"/>
        <v>289.36994109443964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11.5</v>
      </c>
      <c r="DO38" s="12">
        <f>IF('Données projet'!$A$166&gt;35,DO37+DN38-DW37,IF(A38&lt;'Données projet'!$A$166,$DL$205^A38,IF(A38='Données projet'!$A$166,'Données projet'!$B$166,DO37+DN38-DW37)))</f>
        <v>164.99999999999994</v>
      </c>
      <c r="DP38" s="17">
        <f>DO38*VLOOKUP('Données projet'!$B$14,Paramètres!$A$1:$I$89,3,0)*VLOOKUP('Données projet'!$B$14,Paramètres!$A$1:$I$89,5,0)</f>
        <v>128.69999999999996</v>
      </c>
      <c r="DQ38" s="13">
        <f t="shared" si="43"/>
        <v>33.695792019186115</v>
      </c>
      <c r="DR38" s="20">
        <f t="shared" si="16"/>
        <v>282.83933776674911</v>
      </c>
      <c r="DS38" s="59">
        <f t="shared" si="17"/>
        <v>576.17267110008243</v>
      </c>
      <c r="DT38" s="59">
        <f ca="1">AVERAGE(OFFSET($DS$3,0,0,'Données projet'!$E$14+1,1))-AVERAGE(OFFSET($H$3,0,0,'Données projet'!$E$14+1,1))</f>
        <v>288.82868507674738</v>
      </c>
      <c r="DU38" s="59">
        <f t="shared" si="44"/>
        <v>283.48738729114024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3.08282768186114</v>
      </c>
      <c r="EB38" s="21">
        <f>EXP(-LN(2)/25)*EB37+(1-EXP(-LN(2)/25))/(LN(2)/25)*Calculateur!DW38*Calculateur!DY38*VLOOKUP('Données projet'!$B$14,Paramètres!$A$1:$I$89,3,0)*0.475*44/12</f>
        <v>6.5461037866868583</v>
      </c>
      <c r="EC38" s="21">
        <f>EXP(-LN(2)/2)*EC37+(1-EXP(-LN(2)/2))/(LN(2)/2)*DW38*DZ38*VLOOKUP('Données projet'!$B$14,Paramètres!$A$1:$I$89,3,0)*0.475*44/12</f>
        <v>1.8370783823201426</v>
      </c>
      <c r="ED38" s="22">
        <f t="shared" si="18"/>
        <v>11.46600985086814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3.3603333333333336</v>
      </c>
      <c r="EJ38" s="12">
        <f>IF('Données projet'!$A$192&gt;35,EJ37+EI38-ER37,IF(A38&lt;'Données projet'!$A$192,$EG$205^A38,IF(A38='Données projet'!$A$192,'Données projet'!$B$192,EJ37+EI38-ER37)))</f>
        <v>117.61166666666665</v>
      </c>
      <c r="EK38" s="17">
        <f>EJ38*VLOOKUP('Données projet'!$B$15,Paramètres!$A$1:$I$89,3,0)*VLOOKUP('Données projet'!$B$15,Paramètres!$A$1:$I$89,5,0)</f>
        <v>113.75400399999999</v>
      </c>
      <c r="EL38" s="13">
        <f t="shared" si="45"/>
        <v>30.213722363336938</v>
      </c>
      <c r="EM38" s="20">
        <f t="shared" si="19"/>
        <v>250.74379008281184</v>
      </c>
      <c r="EN38" s="59">
        <f t="shared" si="20"/>
        <v>544.07712341614513</v>
      </c>
      <c r="EO38" s="59">
        <f ca="1">AVERAGE(OFFSET($EN$3,0,0,'Données projet'!$E$15+1,1))-AVERAGE(OFFSET($H$3,0,0,'Données projet'!$E$15+1,1))</f>
        <v>510.71380643466227</v>
      </c>
      <c r="EP38" s="59">
        <f t="shared" si="46"/>
        <v>252.40654099948841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3.15468085106383</v>
      </c>
      <c r="N39" s="13">
        <f>IF('Données projet'!$A$36&gt;35,N38+M39-V38,IF(A39&lt;'Données projet'!$A$36,$K$205^A39,IF(A39='Données projet'!$A$36,'Données projet'!$B$36,N38+M39-V38)))</f>
        <v>113.56851063829788</v>
      </c>
      <c r="O39" s="13">
        <f>N39*VLOOKUP('Données projet'!$B$9,Paramètres!$A$1:$I$89,3,0)*VLOOKUP('Données projet'!$B$9,Paramètres!$A$1:$I$89,5,0)</f>
        <v>115.15846978723407</v>
      </c>
      <c r="P39" s="13">
        <f t="shared" si="33"/>
        <v>30.543099657054604</v>
      </c>
      <c r="Q39" s="20">
        <f t="shared" si="53"/>
        <v>253.76356678213608</v>
      </c>
      <c r="R39" s="59">
        <f t="shared" si="0"/>
        <v>547.09690011546945</v>
      </c>
      <c r="S39" s="59">
        <f ca="1">AVERAGE(OFFSET($R$3,0,0,'Données projet'!$E$9+1,1))-AVERAGE(OFFSET($H$3,0,0,'Données projet'!$E$9+1,1))</f>
        <v>543.67050511722618</v>
      </c>
      <c r="T39" s="59">
        <f t="shared" si="34"/>
        <v>249.0871389941106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4.0942857142857143</v>
      </c>
      <c r="AI39" s="13">
        <f>IF('Données projet'!$A$62&gt;35,AI38+AH39-AQ38,IF(A39&lt;'Données projet'!$A$62,$AF$205^A39,IF(A39='Données projet'!$A$62,'Données projet'!$B$62,AI38+AH39-AQ38)))</f>
        <v>147.39428571428581</v>
      </c>
      <c r="AJ39" s="13">
        <f>AI39*VLOOKUP('Données projet'!$B$10,Paramètres!$A$1:$I$89,3,0)*VLOOKUP('Données projet'!$B$10,Paramètres!$A$1:$I$89,5,0)</f>
        <v>133.36234971428578</v>
      </c>
      <c r="AK39" s="13">
        <f t="shared" si="35"/>
        <v>34.772141208569977</v>
      </c>
      <c r="AL39" s="20">
        <f t="shared" si="4"/>
        <v>292.83423835730713</v>
      </c>
      <c r="AM39" s="59">
        <f t="shared" si="5"/>
        <v>586.16757169064044</v>
      </c>
      <c r="AN39" s="59">
        <f ca="1">AVERAGE(OFFSET($AM$3,0,0,'Données projet'!$E$10+1,1))-AVERAGE(OFFSET($H$3,0,0,'Données projet'!$E$10+1,1))</f>
        <v>635.71275911100679</v>
      </c>
      <c r="AO39" s="59">
        <f t="shared" si="36"/>
        <v>281.7776857269169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4.4871794871794863</v>
      </c>
      <c r="BD39" s="12">
        <f>IF('Données projet'!$A$88&gt;35,BD38+BC39-BL38,IF(A39&lt;'Données projet'!$A$88,$BA$205^A39,IF(A39='Données projet'!$A$88,'Données projet'!$B$88,BD38+BC39-BL38)))</f>
        <v>78.205128205128204</v>
      </c>
      <c r="BE39" s="13">
        <f>BD39*VLOOKUP('Données projet'!$B$11,Paramètres!$A$1:$I$89,3,0)*VLOOKUP('Données projet'!$B$11,Paramètres!$A$1:$I$89,5,0)</f>
        <v>68.320000000000007</v>
      </c>
      <c r="BF39" s="13">
        <f t="shared" si="37"/>
        <v>19.255666339544923</v>
      </c>
      <c r="BG39" s="20">
        <f t="shared" si="7"/>
        <v>152.52761887470743</v>
      </c>
      <c r="BH39" s="59">
        <f t="shared" si="8"/>
        <v>445.86095220804077</v>
      </c>
      <c r="BI39" s="59">
        <f ca="1">AVERAGE(OFFSET($BH$3,0,0,'Données projet'!$E$11+1,1))-AVERAGE(OFFSET($H$3,0,0,'Données projet'!$E$11+1,1))</f>
        <v>204.11804238362862</v>
      </c>
      <c r="BJ39" s="59">
        <f t="shared" si="38"/>
        <v>185.53854651509408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9.1480748954153928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9.1480748954153928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3.15468085106383</v>
      </c>
      <c r="BY39" s="12">
        <f>IF('Données projet'!$A$114&gt;35,BY38+BX39-CG38,IF(A39&lt;'Données projet'!$A$114,$BV$205^A39,IF(A39='Données projet'!$A$114,'Données projet'!$B$114,BY38+BX39-CG38)))</f>
        <v>113.56851063829788</v>
      </c>
      <c r="BZ39" s="13">
        <f>BY39*VLOOKUP('Données projet'!$B$12,Paramètres!$A$1:$I$89,3,0)*VLOOKUP('Données projet'!$B$12,Paramètres!$A$1:$I$89,5,0)</f>
        <v>113.38680102127663</v>
      </c>
      <c r="CA39" s="13">
        <f t="shared" si="39"/>
        <v>30.127527551297838</v>
      </c>
      <c r="CB39" s="20">
        <f t="shared" si="10"/>
        <v>249.95412226390053</v>
      </c>
      <c r="CC39" s="59">
        <f t="shared" si="11"/>
        <v>543.28745559723382</v>
      </c>
      <c r="CD39" s="59">
        <f ca="1">AVERAGE(OFFSET($CC$3,0,0,'Données projet'!$E$12+1,1))-AVERAGE(OFFSET($H$3,0,0,'Données projet'!$E$12+1,1))</f>
        <v>535.99935263833549</v>
      </c>
      <c r="CE39" s="59">
        <f t="shared" si="40"/>
        <v>245.89966477332644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4.016578947368421</v>
      </c>
      <c r="CT39" s="12">
        <f>IF('Données projet'!$A$140&gt;35,CT38+CS39-DB38,IF(A39&lt;'Données projet'!$A$140,$CQ$205^A39,IF(A39='Données projet'!$A$140,'Données projet'!$B$140,CT38+CS39-DB38)))</f>
        <v>144.59684210526314</v>
      </c>
      <c r="CU39" s="17">
        <f>CT39*VLOOKUP('Données projet'!$B$13,Paramètres!$A$1:$I$89,3,0)*VLOOKUP('Données projet'!$B$13,Paramètres!$A$1:$I$89,5,0)</f>
        <v>137.59835494736839</v>
      </c>
      <c r="CV39" s="13">
        <f t="shared" si="41"/>
        <v>35.746269497802267</v>
      </c>
      <c r="CW39" s="20">
        <f t="shared" si="13"/>
        <v>301.90855424200555</v>
      </c>
      <c r="CX39" s="59">
        <f t="shared" si="14"/>
        <v>595.24188757533886</v>
      </c>
      <c r="CY39" s="59">
        <f ca="1">AVERAGE(OFFSET($CX$3,0,0,'Données projet'!$E$13+1,1))-AVERAGE(OFFSET($H$3,0,0,'Données projet'!$E$13+1,1))</f>
        <v>449.28947235329758</v>
      </c>
      <c r="CZ39" s="59">
        <f t="shared" si="42"/>
        <v>289.36994109443964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11.5</v>
      </c>
      <c r="DO39" s="12">
        <f>IF('Données projet'!$A$166&gt;35,DO38+DN39-DW38,IF(A39&lt;'Données projet'!$A$166,$DL$205^A39,IF(A39='Données projet'!$A$166,'Données projet'!$B$166,DO38+DN39-DW38)))</f>
        <v>176.49999999999994</v>
      </c>
      <c r="DP39" s="17">
        <f>DO39*VLOOKUP('Données projet'!$B$14,Paramètres!$A$1:$I$89,3,0)*VLOOKUP('Données projet'!$B$14,Paramètres!$A$1:$I$89,5,0)</f>
        <v>137.66999999999996</v>
      </c>
      <c r="DQ39" s="13">
        <f t="shared" si="43"/>
        <v>35.762714965854656</v>
      </c>
      <c r="DR39" s="20">
        <f t="shared" si="16"/>
        <v>302.06197856553007</v>
      </c>
      <c r="DS39" s="59">
        <f t="shared" si="17"/>
        <v>595.39531189886338</v>
      </c>
      <c r="DT39" s="59">
        <f ca="1">AVERAGE(OFFSET($DS$3,0,0,'Données projet'!$E$14+1,1))-AVERAGE(OFFSET($H$3,0,0,'Données projet'!$E$14+1,1))</f>
        <v>288.82868507674738</v>
      </c>
      <c r="DU39" s="59">
        <f t="shared" si="44"/>
        <v>283.48738729114024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3.022375311359061</v>
      </c>
      <c r="EB39" s="21">
        <f>EXP(-LN(2)/25)*EB38+(1-EXP(-LN(2)/25))/(LN(2)/25)*Calculateur!DW39*Calculateur!DY39*VLOOKUP('Données projet'!$B$14,Paramètres!$A$1:$I$89,3,0)*0.475*44/12</f>
        <v>6.3671002343952692</v>
      </c>
      <c r="EC39" s="21">
        <f>EXP(-LN(2)/2)*EC38+(1-EXP(-LN(2)/2))/(LN(2)/2)*DW39*DZ39*VLOOKUP('Données projet'!$B$14,Paramètres!$A$1:$I$89,3,0)*0.475*44/12</f>
        <v>1.2990105817097859</v>
      </c>
      <c r="ED39" s="22">
        <f t="shared" si="18"/>
        <v>10.688486127464115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3.3603333333333336</v>
      </c>
      <c r="EJ39" s="12">
        <f>IF('Données projet'!$A$192&gt;35,EJ38+EI39-ER38,IF(A39&lt;'Données projet'!$A$192,$EG$205^A39,IF(A39='Données projet'!$A$192,'Données projet'!$B$192,EJ38+EI39-ER38)))</f>
        <v>120.97199999999998</v>
      </c>
      <c r="EK39" s="17">
        <f>EJ39*VLOOKUP('Données projet'!$B$15,Paramètres!$A$1:$I$89,3,0)*VLOOKUP('Données projet'!$B$15,Paramètres!$A$1:$I$89,5,0)</f>
        <v>117.00411839999998</v>
      </c>
      <c r="EL39" s="13">
        <f t="shared" si="45"/>
        <v>30.975234278585425</v>
      </c>
      <c r="EM39" s="20">
        <f t="shared" si="19"/>
        <v>257.73070591520286</v>
      </c>
      <c r="EN39" s="59">
        <f t="shared" si="20"/>
        <v>551.06403924853612</v>
      </c>
      <c r="EO39" s="59">
        <f ca="1">AVERAGE(OFFSET($EN$3,0,0,'Données projet'!$E$15+1,1))-AVERAGE(OFFSET($H$3,0,0,'Données projet'!$E$15+1,1))</f>
        <v>510.71380643466227</v>
      </c>
      <c r="EP39" s="59">
        <f t="shared" si="46"/>
        <v>252.40654099948841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3.15468085106383</v>
      </c>
      <c r="N40" s="13">
        <f>IF('Données projet'!$A$36&gt;35,N39+M40-V39,IF(A40&lt;'Données projet'!$A$36,$K$205^A40,IF(A40='Données projet'!$A$36,'Données projet'!$B$36,N39+M40-V39)))</f>
        <v>116.72319148936171</v>
      </c>
      <c r="O40" s="13">
        <f>N40*VLOOKUP('Données projet'!$B$9,Paramètres!$A$1:$I$89,3,0)*VLOOKUP('Données projet'!$B$9,Paramètres!$A$1:$I$89,5,0)</f>
        <v>118.35731617021277</v>
      </c>
      <c r="P40" s="13">
        <f t="shared" si="33"/>
        <v>31.291563460931304</v>
      </c>
      <c r="Q40" s="20">
        <f t="shared" si="53"/>
        <v>260.63846535757597</v>
      </c>
      <c r="R40" s="59">
        <f t="shared" si="0"/>
        <v>553.97179869090928</v>
      </c>
      <c r="S40" s="59">
        <f ca="1">AVERAGE(OFFSET($R$3,0,0,'Données projet'!$E$9+1,1))-AVERAGE(OFFSET($H$3,0,0,'Données projet'!$E$9+1,1))</f>
        <v>543.67050511722618</v>
      </c>
      <c r="T40" s="59">
        <f t="shared" si="34"/>
        <v>249.0871389941106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4.0942857142857143</v>
      </c>
      <c r="AI40" s="13">
        <f>IF('Données projet'!$A$62&gt;35,AI39+AH40-AQ39,IF(A40&lt;'Données projet'!$A$62,$AF$205^A40,IF(A40='Données projet'!$A$62,'Données projet'!$B$62,AI39+AH40-AQ39)))</f>
        <v>151.48857142857153</v>
      </c>
      <c r="AJ40" s="13">
        <f>AI40*VLOOKUP('Données projet'!$B$10,Paramètres!$A$1:$I$89,3,0)*VLOOKUP('Données projet'!$B$10,Paramètres!$A$1:$I$89,5,0)</f>
        <v>137.06685942857152</v>
      </c>
      <c r="AK40" s="13">
        <f t="shared" si="35"/>
        <v>35.624238388297236</v>
      </c>
      <c r="AL40" s="20">
        <f t="shared" si="4"/>
        <v>300.77032869771307</v>
      </c>
      <c r="AM40" s="59">
        <f t="shared" si="5"/>
        <v>594.10366203104638</v>
      </c>
      <c r="AN40" s="59">
        <f ca="1">AVERAGE(OFFSET($AM$3,0,0,'Données projet'!$E$10+1,1))-AVERAGE(OFFSET($H$3,0,0,'Données projet'!$E$10+1,1))</f>
        <v>635.71275911100679</v>
      </c>
      <c r="AO40" s="59">
        <f t="shared" si="36"/>
        <v>281.7776857269169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4.4871794871794863</v>
      </c>
      <c r="BD40" s="12">
        <f>IF('Données projet'!$A$88&gt;35,BD39+BC40-BL39,IF(A40&lt;'Données projet'!$A$88,$BA$205^A40,IF(A40='Données projet'!$A$88,'Données projet'!$B$88,BD39+BC40-BL39)))</f>
        <v>82.692307692307693</v>
      </c>
      <c r="BE40" s="13">
        <f>BD40*VLOOKUP('Données projet'!$B$11,Paramètres!$A$1:$I$89,3,0)*VLOOKUP('Données projet'!$B$11,Paramètres!$A$1:$I$89,5,0)</f>
        <v>72.240000000000009</v>
      </c>
      <c r="BF40" s="13">
        <f t="shared" si="37"/>
        <v>20.228704652038434</v>
      </c>
      <c r="BG40" s="20">
        <f t="shared" si="7"/>
        <v>161.04966060230029</v>
      </c>
      <c r="BH40" s="59">
        <f t="shared" si="8"/>
        <v>454.38299393563364</v>
      </c>
      <c r="BI40" s="59">
        <f ca="1">AVERAGE(OFFSET($BH$3,0,0,'Données projet'!$E$11+1,1))-AVERAGE(OFFSET($H$3,0,0,'Données projet'!$E$11+1,1))</f>
        <v>204.11804238362862</v>
      </c>
      <c r="BJ40" s="59">
        <f t="shared" si="38"/>
        <v>185.53854651509408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8.8979203063239076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8.8979203063239076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3.15468085106383</v>
      </c>
      <c r="BY40" s="12">
        <f>IF('Données projet'!$A$114&gt;35,BY39+BX40-CG39,IF(A40&lt;'Données projet'!$A$114,$BV$205^A40,IF(A40='Données projet'!$A$114,'Données projet'!$B$114,BY39+BX40-CG39)))</f>
        <v>116.72319148936171</v>
      </c>
      <c r="BZ40" s="13">
        <f>BY40*VLOOKUP('Données projet'!$B$12,Paramètres!$A$1:$I$89,3,0)*VLOOKUP('Données projet'!$B$12,Paramètres!$A$1:$I$89,5,0)</f>
        <v>116.53643438297874</v>
      </c>
      <c r="CA40" s="13">
        <f t="shared" si="39"/>
        <v>30.865807690695444</v>
      </c>
      <c r="CB40" s="20">
        <f t="shared" si="10"/>
        <v>256.72557161164923</v>
      </c>
      <c r="CC40" s="59">
        <f t="shared" si="11"/>
        <v>550.05890494498249</v>
      </c>
      <c r="CD40" s="59">
        <f ca="1">AVERAGE(OFFSET($CC$3,0,0,'Données projet'!$E$12+1,1))-AVERAGE(OFFSET($H$3,0,0,'Données projet'!$E$12+1,1))</f>
        <v>535.99935263833549</v>
      </c>
      <c r="CE40" s="59">
        <f t="shared" si="40"/>
        <v>245.89966477332644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4.016578947368421</v>
      </c>
      <c r="CT40" s="12">
        <f>IF('Données projet'!$A$140&gt;35,CT39+CS40-DB39,IF(A40&lt;'Données projet'!$A$140,$CQ$205^A40,IF(A40='Données projet'!$A$140,'Données projet'!$B$140,CT39+CS40-DB39)))</f>
        <v>148.61342105263157</v>
      </c>
      <c r="CU40" s="17">
        <f>CT40*VLOOKUP('Données projet'!$B$13,Paramètres!$A$1:$I$89,3,0)*VLOOKUP('Données projet'!$B$13,Paramètres!$A$1:$I$89,5,0)</f>
        <v>141.42053147368418</v>
      </c>
      <c r="CV40" s="13">
        <f t="shared" si="41"/>
        <v>36.62223785540634</v>
      </c>
      <c r="CW40" s="20">
        <f t="shared" si="13"/>
        <v>310.09115658149926</v>
      </c>
      <c r="CX40" s="59">
        <f t="shared" si="14"/>
        <v>603.42448991483252</v>
      </c>
      <c r="CY40" s="59">
        <f ca="1">AVERAGE(OFFSET($CX$3,0,0,'Données projet'!$E$13+1,1))-AVERAGE(OFFSET($H$3,0,0,'Données projet'!$E$13+1,1))</f>
        <v>449.28947235329758</v>
      </c>
      <c r="CZ40" s="59">
        <f t="shared" si="42"/>
        <v>289.36994109443964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>
        <f>VLOOKUP(A40,'Données projet'!$A$165:$I$185,2,0)</f>
        <v>188</v>
      </c>
      <c r="DM40" s="12">
        <f>VLOOKUP(A40,'Données projet'!$A$165:$I$185,9,0)</f>
        <v>11.5</v>
      </c>
      <c r="DN40" s="12">
        <f t="array" ref="DN40">INDEX(DM:DM,MIN(IF(ISNUMBER(DM40:DM236),ROW(DM40:DM236),"")))</f>
        <v>11.5</v>
      </c>
      <c r="DO40" s="12">
        <f>IF('Données projet'!$A$166&gt;35,DO39+DN40-DW39,IF(A40&lt;'Données projet'!$A$166,$DL$205^A40,IF(A40='Données projet'!$A$166,'Données projet'!$B$166,DO39+DN40-DW39)))</f>
        <v>187.99999999999994</v>
      </c>
      <c r="DP40" s="17">
        <f>DO40*VLOOKUP('Données projet'!$B$14,Paramètres!$A$1:$I$89,3,0)*VLOOKUP('Données projet'!$B$14,Paramètres!$A$1:$I$89,5,0)</f>
        <v>146.63999999999996</v>
      </c>
      <c r="DQ40" s="13">
        <f t="shared" si="43"/>
        <v>37.814009712703026</v>
      </c>
      <c r="DR40" s="20">
        <f t="shared" si="16"/>
        <v>321.25740024962437</v>
      </c>
      <c r="DS40" s="59">
        <f t="shared" si="17"/>
        <v>614.59073358295768</v>
      </c>
      <c r="DT40" s="59">
        <f ca="1">AVERAGE(OFFSET($DS$3,0,0,'Données projet'!$E$14+1,1))-AVERAGE(OFFSET($H$3,0,0,'Données projet'!$E$14+1,1))</f>
        <v>288.82868507674738</v>
      </c>
      <c r="DU40" s="59">
        <f t="shared" si="44"/>
        <v>283.48738729114024</v>
      </c>
      <c r="DV40" s="15">
        <f>IF(ISNA(VLOOKUP(A40,'Données projet'!$A$165:$I$185,3,0)),0,VLOOKUP(A40,'Données projet'!$A$165:$I$185,3,0))</f>
        <v>5</v>
      </c>
      <c r="DW40" s="15">
        <f>IF(ISNA(VLOOKUP(A40,'Données projet'!$A$165:$I$185,4,0)),0,VLOOKUP(A40,'Données projet'!$A$165:$I$185,4,0))</f>
        <v>36</v>
      </c>
      <c r="DX40" s="16">
        <f>IF(ISNA(VLOOKUP(A40,'Données projet'!$A$165:$I$185,5,0)),0%,VLOOKUP(A40,'Données projet'!$A$165:$I$185,5,0)*VLOOKUP('Données projet'!$B$14,Paramètres!$A$1:$I$89,7,0))</f>
        <v>0.1075</v>
      </c>
      <c r="DY40" s="16">
        <f>IF(ISNA(VLOOKUP(A40,'Données projet'!$A$165:$I$185,6,0)),0%,VLOOKUP(A40,'Données projet'!$A$165:$I$185,6,0)*VLOOKUP('Données projet'!$B$14,Paramètres!$A$1:$I$89,7,0))</f>
        <v>0.1075</v>
      </c>
      <c r="DZ40" s="16">
        <f>IF(ISNA(VLOOKUP(A40,'Données projet'!$A$165:$I$185,7,0)),0%,VLOOKUP(A40,'Données projet'!$A$165:$I$185,7,0))</f>
        <v>0.25</v>
      </c>
      <c r="EA40" s="21">
        <f>EXP(-LN(2)/35)*EA39+(1-EXP(-LN(2)/35))/(LN(2)/35)*DW40*DX40*VLOOKUP('Données projet'!$B$14,Paramètres!$A$1:$I$89,3,0)*0.475*44/12</f>
        <v>6.3000812626283853</v>
      </c>
      <c r="EB40" s="21">
        <f>EXP(-LN(2)/25)*EB39+(1-EXP(-LN(2)/25))/(LN(2)/25)*Calculateur!DW40*Calculateur!DY40*VLOOKUP('Données projet'!$B$14,Paramètres!$A$1:$I$89,3,0)*0.475*44/12</f>
        <v>9.5168254975675808</v>
      </c>
      <c r="EC40" s="21">
        <f>EXP(-LN(2)/2)*EC39+(1-EXP(-LN(2)/2))/(LN(2)/2)*DW40*DZ40*VLOOKUP('Données projet'!$B$14,Paramètres!$A$1:$I$89,3,0)*0.475*44/12</f>
        <v>7.5420981316898965</v>
      </c>
      <c r="ED40" s="22">
        <f t="shared" si="18"/>
        <v>23.359004891885863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3.3603333333333336</v>
      </c>
      <c r="EJ40" s="12">
        <f>IF('Données projet'!$A$192&gt;35,EJ39+EI40-ER39,IF(A40&lt;'Données projet'!$A$192,$EG$205^A40,IF(A40='Données projet'!$A$192,'Données projet'!$B$192,EJ39+EI40-ER39)))</f>
        <v>124.33233333333331</v>
      </c>
      <c r="EK40" s="17">
        <f>EJ40*VLOOKUP('Données projet'!$B$15,Paramètres!$A$1:$I$89,3,0)*VLOOKUP('Données projet'!$B$15,Paramètres!$A$1:$I$89,5,0)</f>
        <v>120.25423279999997</v>
      </c>
      <c r="EL40" s="13">
        <f t="shared" si="45"/>
        <v>31.734287614181273</v>
      </c>
      <c r="EM40" s="20">
        <f t="shared" si="19"/>
        <v>264.71333972136563</v>
      </c>
      <c r="EN40" s="59">
        <f t="shared" si="20"/>
        <v>558.04667305469889</v>
      </c>
      <c r="EO40" s="59">
        <f ca="1">AVERAGE(OFFSET($EN$3,0,0,'Données projet'!$E$15+1,1))-AVERAGE(OFFSET($H$3,0,0,'Données projet'!$E$15+1,1))</f>
        <v>510.71380643466227</v>
      </c>
      <c r="EP40" s="59">
        <f t="shared" si="46"/>
        <v>252.40654099948841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3.15468085106383</v>
      </c>
      <c r="N41" s="13">
        <f>IF('Données projet'!$A$36&gt;35,N40+M41-V40,IF(A41&lt;'Données projet'!$A$36,$K$205^A41,IF(A41='Données projet'!$A$36,'Données projet'!$B$36,N40+M41-V40)))</f>
        <v>119.87787234042554</v>
      </c>
      <c r="O41" s="13">
        <f>N41*VLOOKUP('Données projet'!$B$9,Paramètres!$A$1:$I$89,3,0)*VLOOKUP('Données projet'!$B$9,Paramètres!$A$1:$I$89,5,0)</f>
        <v>121.5561625531915</v>
      </c>
      <c r="P41" s="13">
        <f t="shared" si="33"/>
        <v>32.037676035538333</v>
      </c>
      <c r="Q41" s="20">
        <f t="shared" si="53"/>
        <v>267.50926887537111</v>
      </c>
      <c r="R41" s="59">
        <f t="shared" si="0"/>
        <v>560.84260220870442</v>
      </c>
      <c r="S41" s="59">
        <f ca="1">AVERAGE(OFFSET($R$3,0,0,'Données projet'!$E$9+1,1))-AVERAGE(OFFSET($H$3,0,0,'Données projet'!$E$9+1,1))</f>
        <v>543.67050511722618</v>
      </c>
      <c r="T41" s="59">
        <f t="shared" si="34"/>
        <v>249.0871389941106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4.0942857142857143</v>
      </c>
      <c r="AI41" s="13">
        <f>IF('Données projet'!$A$62&gt;35,AI40+AH41-AQ40,IF(A41&lt;'Données projet'!$A$62,$AF$205^A41,IF(A41='Données projet'!$A$62,'Données projet'!$B$62,AI40+AH41-AQ40)))</f>
        <v>155.58285714285725</v>
      </c>
      <c r="AJ41" s="13">
        <f>AI41*VLOOKUP('Données projet'!$B$10,Paramètres!$A$1:$I$89,3,0)*VLOOKUP('Données projet'!$B$10,Paramètres!$A$1:$I$89,5,0)</f>
        <v>140.77136914285722</v>
      </c>
      <c r="AK41" s="13">
        <f t="shared" si="35"/>
        <v>36.473658784165018</v>
      </c>
      <c r="AL41" s="20">
        <f t="shared" si="4"/>
        <v>308.70175697289704</v>
      </c>
      <c r="AM41" s="59">
        <f t="shared" si="5"/>
        <v>602.03509030623036</v>
      </c>
      <c r="AN41" s="59">
        <f ca="1">AVERAGE(OFFSET($AM$3,0,0,'Données projet'!$E$10+1,1))-AVERAGE(OFFSET($H$3,0,0,'Données projet'!$E$10+1,1))</f>
        <v>635.71275911100679</v>
      </c>
      <c r="AO41" s="59">
        <f t="shared" si="36"/>
        <v>281.7776857269169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4.4871794871794863</v>
      </c>
      <c r="BD41" s="12">
        <f>IF('Données projet'!$A$88&gt;35,BD40+BC41-BL40,IF(A41&lt;'Données projet'!$A$88,$BA$205^A41,IF(A41='Données projet'!$A$88,'Données projet'!$B$88,BD40+BC41-BL40)))</f>
        <v>87.179487179487182</v>
      </c>
      <c r="BE41" s="13">
        <f>BD41*VLOOKUP('Données projet'!$B$11,Paramètres!$A$1:$I$89,3,0)*VLOOKUP('Données projet'!$B$11,Paramètres!$A$1:$I$89,5,0)</f>
        <v>76.160000000000011</v>
      </c>
      <c r="BF41" s="13">
        <f t="shared" si="37"/>
        <v>21.195613176537421</v>
      </c>
      <c r="BG41" s="20">
        <f t="shared" si="7"/>
        <v>169.56102628246936</v>
      </c>
      <c r="BH41" s="59">
        <f t="shared" si="8"/>
        <v>462.89435961580267</v>
      </c>
      <c r="BI41" s="59">
        <f ca="1">AVERAGE(OFFSET($BH$3,0,0,'Données projet'!$E$11+1,1))-AVERAGE(OFFSET($H$3,0,0,'Données projet'!$E$11+1,1))</f>
        <v>204.11804238362862</v>
      </c>
      <c r="BJ41" s="59">
        <f t="shared" si="38"/>
        <v>185.53854651509408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8.6546062076261876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8.6546062076261876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3.15468085106383</v>
      </c>
      <c r="BY41" s="12">
        <f>IF('Données projet'!$A$114&gt;35,BY40+BX41-CG40,IF(A41&lt;'Données projet'!$A$114,$BV$205^A41,IF(A41='Données projet'!$A$114,'Données projet'!$B$114,BY40+BX41-CG40)))</f>
        <v>119.87787234042554</v>
      </c>
      <c r="BZ41" s="13">
        <f>BY41*VLOOKUP('Données projet'!$B$12,Paramètres!$A$1:$I$89,3,0)*VLOOKUP('Données projet'!$B$12,Paramètres!$A$1:$I$89,5,0)</f>
        <v>119.68606774468087</v>
      </c>
      <c r="CA41" s="13">
        <f t="shared" si="39"/>
        <v>31.60176859185599</v>
      </c>
      <c r="CB41" s="20">
        <f t="shared" si="10"/>
        <v>263.49298161946837</v>
      </c>
      <c r="CC41" s="59">
        <f t="shared" si="11"/>
        <v>556.82631495280168</v>
      </c>
      <c r="CD41" s="59">
        <f ca="1">AVERAGE(OFFSET($CC$3,0,0,'Données projet'!$E$12+1,1))-AVERAGE(OFFSET($H$3,0,0,'Données projet'!$E$12+1,1))</f>
        <v>535.99935263833549</v>
      </c>
      <c r="CE41" s="59">
        <f t="shared" si="40"/>
        <v>245.89966477332644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>
        <f>VLOOKUP(A41,'Données projet'!$A$139:$I$159,2,0)</f>
        <v>152.63</v>
      </c>
      <c r="CR41" s="12">
        <f>VLOOKUP(A41,'Données projet'!$A$139:$I$159,9,0)</f>
        <v>4.016578947368421</v>
      </c>
      <c r="CS41" s="12">
        <f t="array" ref="CS41">INDEX(CR:CR,MIN(IF(ISNUMBER(CR41:CR237),ROW(CR41:CR237),"")))</f>
        <v>4.016578947368421</v>
      </c>
      <c r="CT41" s="12">
        <f>IF('Données projet'!$A$140&gt;35,CT40+CS41-DB40,IF(A41&lt;'Données projet'!$A$140,$CQ$205^A41,IF(A41='Données projet'!$A$140,'Données projet'!$B$140,CT40+CS41-DB40)))</f>
        <v>152.63</v>
      </c>
      <c r="CU41" s="17">
        <f>CT41*VLOOKUP('Données projet'!$B$13,Paramètres!$A$1:$I$89,3,0)*VLOOKUP('Données projet'!$B$13,Paramètres!$A$1:$I$89,5,0)</f>
        <v>145.24270799999999</v>
      </c>
      <c r="CV41" s="13">
        <f t="shared" si="41"/>
        <v>37.495454440070851</v>
      </c>
      <c r="CW41" s="20">
        <f t="shared" si="13"/>
        <v>318.26896624979003</v>
      </c>
      <c r="CX41" s="59">
        <f t="shared" si="14"/>
        <v>611.60229958312334</v>
      </c>
      <c r="CY41" s="59">
        <f ca="1">AVERAGE(OFFSET($CX$3,0,0,'Données projet'!$E$13+1,1))-AVERAGE(OFFSET($H$3,0,0,'Données projet'!$E$13+1,1))</f>
        <v>449.28947235329758</v>
      </c>
      <c r="CZ41" s="59">
        <f t="shared" si="42"/>
        <v>289.36994109443964</v>
      </c>
      <c r="DA41" s="15">
        <f>IF(ISNA(VLOOKUP(A41,'Données projet'!$A$139:$I$159,3,0)),0,VLOOKUP(A41,'Données projet'!$A$139:$I$159,3,0))</f>
        <v>1</v>
      </c>
      <c r="DB41" s="15">
        <f>IF(ISNA(VLOOKUP(A41,'Données projet'!$A$139:$I$159,4,0)),0,VLOOKUP(A41,'Données projet'!$A$139:$I$159,4,0))</f>
        <v>71.569999999999993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0.1075</v>
      </c>
      <c r="DE41" s="16">
        <f>IF(ISNA(VLOOKUP(A41,'Données projet'!$A$139:$I$159,7,0)),0%,VLOOKUP(A41,'Données projet'!$A$139:$I$159,7,0))</f>
        <v>0.25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8.0617192005417753</v>
      </c>
      <c r="DH41" s="21">
        <f>EXP(-LN(2)/2)*DH40+(1-EXP(-LN(2)/2))/(LN(2)/2)*DB41*DE41*VLOOKUP('Données projet'!$B$13,Paramètres!$A$1:$I$89,3,0)*0.475*44/12</f>
        <v>16.064963842109382</v>
      </c>
      <c r="DI41" s="22">
        <f t="shared" si="15"/>
        <v>24.126683042651159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11.142857142857142</v>
      </c>
      <c r="DO41" s="12">
        <f>IF('Données projet'!$A$166&gt;35,DO40+DN41-DW40,IF(A41&lt;'Données projet'!$A$166,$DL$205^A41,IF(A41='Données projet'!$A$166,'Données projet'!$B$166,DO40+DN41-DW40)))</f>
        <v>163.14285714285708</v>
      </c>
      <c r="DP41" s="17">
        <f>DO41*VLOOKUP('Données projet'!$B$14,Paramètres!$A$1:$I$89,3,0)*VLOOKUP('Données projet'!$B$14,Paramètres!$A$1:$I$89,5,0)</f>
        <v>127.25142857142853</v>
      </c>
      <c r="DQ41" s="13">
        <f t="shared" si="43"/>
        <v>33.360457439554281</v>
      </c>
      <c r="DR41" s="20">
        <f t="shared" si="16"/>
        <v>279.73236813579501</v>
      </c>
      <c r="DS41" s="59">
        <f t="shared" si="17"/>
        <v>573.06570146912827</v>
      </c>
      <c r="DT41" s="59">
        <f ca="1">AVERAGE(OFFSET($DS$3,0,0,'Données projet'!$E$14+1,1))-AVERAGE(OFFSET($H$3,0,0,'Données projet'!$E$14+1,1))</f>
        <v>288.82868507674738</v>
      </c>
      <c r="DU41" s="59">
        <f t="shared" si="44"/>
        <v>283.48738729114024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6.1765405117383807</v>
      </c>
      <c r="EB41" s="21">
        <f>EXP(-LN(2)/25)*EB40+(1-EXP(-LN(2)/25))/(LN(2)/25)*Calculateur!DW41*Calculateur!DY41*VLOOKUP('Données projet'!$B$14,Paramètres!$A$1:$I$89,3,0)*0.475*44/12</f>
        <v>9.2565874038684939</v>
      </c>
      <c r="EC41" s="21">
        <f>EXP(-LN(2)/2)*EC40+(1-EXP(-LN(2)/2))/(LN(2)/2)*DW41*DZ41*VLOOKUP('Données projet'!$B$14,Paramètres!$A$1:$I$89,3,0)*0.475*44/12</f>
        <v>5.3330687332923166</v>
      </c>
      <c r="ED41" s="22">
        <f t="shared" si="18"/>
        <v>20.766196648899189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3.3603333333333336</v>
      </c>
      <c r="EJ41" s="12">
        <f>IF('Données projet'!$A$192&gt;35,EJ40+EI41-ER40,IF(A41&lt;'Données projet'!$A$192,$EG$205^A41,IF(A41='Données projet'!$A$192,'Données projet'!$B$192,EJ40+EI41-ER40)))</f>
        <v>127.69266666666664</v>
      </c>
      <c r="EK41" s="17">
        <f>EJ41*VLOOKUP('Données projet'!$B$15,Paramètres!$A$1:$I$89,3,0)*VLOOKUP('Données projet'!$B$15,Paramètres!$A$1:$I$89,5,0)</f>
        <v>123.50434719999998</v>
      </c>
      <c r="EL41" s="13">
        <f t="shared" si="45"/>
        <v>32.490956454480575</v>
      </c>
      <c r="EM41" s="20">
        <f t="shared" si="19"/>
        <v>271.69182053155362</v>
      </c>
      <c r="EN41" s="59">
        <f t="shared" si="20"/>
        <v>565.02515386488699</v>
      </c>
      <c r="EO41" s="59">
        <f ca="1">AVERAGE(OFFSET($EN$3,0,0,'Données projet'!$E$15+1,1))-AVERAGE(OFFSET($H$3,0,0,'Données projet'!$E$15+1,1))</f>
        <v>510.71380643466227</v>
      </c>
      <c r="EP41" s="59">
        <f t="shared" si="46"/>
        <v>252.40654099948841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3.15468085106383</v>
      </c>
      <c r="N42" s="13">
        <f>IF('Données projet'!$A$36&gt;35,N41+M42-V41,IF(A42&lt;'Données projet'!$A$36,$K$205^A42,IF(A42='Données projet'!$A$36,'Données projet'!$B$36,N41+M42-V41)))</f>
        <v>123.03255319148937</v>
      </c>
      <c r="O42" s="13">
        <f>N42*VLOOKUP('Données projet'!$B$9,Paramètres!$A$1:$I$89,3,0)*VLOOKUP('Données projet'!$B$9,Paramètres!$A$1:$I$89,5,0)</f>
        <v>124.75500893617023</v>
      </c>
      <c r="P42" s="13">
        <f t="shared" si="33"/>
        <v>32.781506367946541</v>
      </c>
      <c r="Q42" s="20">
        <f t="shared" si="53"/>
        <v>274.37609748800338</v>
      </c>
      <c r="R42" s="59">
        <f t="shared" si="0"/>
        <v>567.7094308213367</v>
      </c>
      <c r="S42" s="59">
        <f ca="1">AVERAGE(OFFSET($R$3,0,0,'Données projet'!$E$9+1,1))-AVERAGE(OFFSET($H$3,0,0,'Données projet'!$E$9+1,1))</f>
        <v>543.67050511722618</v>
      </c>
      <c r="T42" s="59">
        <f t="shared" si="34"/>
        <v>249.0871389941106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4.0942857142857143</v>
      </c>
      <c r="AI42" s="13">
        <f>IF('Données projet'!$A$62&gt;35,AI41+AH42-AQ41,IF(A42&lt;'Données projet'!$A$62,$AF$205^A42,IF(A42='Données projet'!$A$62,'Données projet'!$B$62,AI41+AH42-AQ41)))</f>
        <v>159.67714285714297</v>
      </c>
      <c r="AJ42" s="13">
        <f>AI42*VLOOKUP('Données projet'!$B$10,Paramètres!$A$1:$I$89,3,0)*VLOOKUP('Données projet'!$B$10,Paramètres!$A$1:$I$89,5,0)</f>
        <v>144.47587885714296</v>
      </c>
      <c r="AK42" s="13">
        <f t="shared" si="35"/>
        <v>37.320480935293446</v>
      </c>
      <c r="AL42" s="20">
        <f t="shared" si="4"/>
        <v>316.62865997182678</v>
      </c>
      <c r="AM42" s="59">
        <f t="shared" si="5"/>
        <v>609.96199330516015</v>
      </c>
      <c r="AN42" s="59">
        <f ca="1">AVERAGE(OFFSET($AM$3,0,0,'Données projet'!$E$10+1,1))-AVERAGE(OFFSET($H$3,0,0,'Données projet'!$E$10+1,1))</f>
        <v>635.71275911100679</v>
      </c>
      <c r="AO42" s="59">
        <f t="shared" si="36"/>
        <v>281.7776857269169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4.4871794871794863</v>
      </c>
      <c r="BD42" s="12">
        <f>IF('Données projet'!$A$88&gt;35,BD41+BC42-BL41,IF(A42&lt;'Données projet'!$A$88,$BA$205^A42,IF(A42='Données projet'!$A$88,'Données projet'!$B$88,BD41+BC42-BL41)))</f>
        <v>91.666666666666671</v>
      </c>
      <c r="BE42" s="13">
        <f>BD42*VLOOKUP('Données projet'!$B$11,Paramètres!$A$1:$I$89,3,0)*VLOOKUP('Données projet'!$B$11,Paramètres!$A$1:$I$89,5,0)</f>
        <v>80.080000000000013</v>
      </c>
      <c r="BF42" s="13">
        <f t="shared" si="37"/>
        <v>22.156743406564654</v>
      </c>
      <c r="BG42" s="20">
        <f t="shared" si="7"/>
        <v>178.06232809976677</v>
      </c>
      <c r="BH42" s="59">
        <f t="shared" si="8"/>
        <v>471.39566143310009</v>
      </c>
      <c r="BI42" s="59">
        <f ca="1">AVERAGE(OFFSET($BH$3,0,0,'Données projet'!$E$11+1,1))-AVERAGE(OFFSET($H$3,0,0,'Données projet'!$E$11+1,1))</f>
        <v>204.11804238362862</v>
      </c>
      <c r="BJ42" s="59">
        <f t="shared" si="38"/>
        <v>185.53854651509408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8.4179455457526888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8.4179455457526888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3.15468085106383</v>
      </c>
      <c r="BY42" s="12">
        <f>IF('Données projet'!$A$114&gt;35,BY41+BX42-CG41,IF(A42&lt;'Données projet'!$A$114,$BV$205^A42,IF(A42='Données projet'!$A$114,'Données projet'!$B$114,BY41+BX42-CG41)))</f>
        <v>123.03255319148937</v>
      </c>
      <c r="BZ42" s="13">
        <f>BY42*VLOOKUP('Données projet'!$B$12,Paramètres!$A$1:$I$89,3,0)*VLOOKUP('Données projet'!$B$12,Paramètres!$A$1:$I$89,5,0)</f>
        <v>122.835701106383</v>
      </c>
      <c r="CA42" s="13">
        <f t="shared" si="39"/>
        <v>32.335478303206237</v>
      </c>
      <c r="CB42" s="20">
        <f t="shared" si="10"/>
        <v>270.25647080503455</v>
      </c>
      <c r="CC42" s="59">
        <f t="shared" si="11"/>
        <v>563.58980413836787</v>
      </c>
      <c r="CD42" s="59">
        <f ca="1">AVERAGE(OFFSET($CC$3,0,0,'Données projet'!$E$12+1,1))-AVERAGE(OFFSET($H$3,0,0,'Données projet'!$E$12+1,1))</f>
        <v>535.99935263833549</v>
      </c>
      <c r="CE42" s="59">
        <f t="shared" si="40"/>
        <v>245.89966477332644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9.8128571428571423</v>
      </c>
      <c r="CT42" s="12">
        <f>IF('Données projet'!$A$140&gt;35,CT41+CS42-DB41,IF(A42&lt;'Données projet'!$A$140,$CQ$205^A42,IF(A42='Données projet'!$A$140,'Données projet'!$B$140,CT41+CS42-DB41)))</f>
        <v>90.872857142857157</v>
      </c>
      <c r="CU42" s="17">
        <f>CT42*VLOOKUP('Données projet'!$B$13,Paramètres!$A$1:$I$89,3,0)*VLOOKUP('Données projet'!$B$13,Paramètres!$A$1:$I$89,5,0)</f>
        <v>86.474610857142878</v>
      </c>
      <c r="CV42" s="13">
        <f t="shared" si="41"/>
        <v>23.713018835104659</v>
      </c>
      <c r="CW42" s="20">
        <f t="shared" si="13"/>
        <v>191.9101217139978</v>
      </c>
      <c r="CX42" s="59">
        <f t="shared" si="14"/>
        <v>485.24345504733111</v>
      </c>
      <c r="CY42" s="59">
        <f ca="1">AVERAGE(OFFSET($CX$3,0,0,'Données projet'!$E$13+1,1))-AVERAGE(OFFSET($H$3,0,0,'Données projet'!$E$13+1,1))</f>
        <v>449.28947235329758</v>
      </c>
      <c r="CZ42" s="59">
        <f t="shared" si="42"/>
        <v>289.36994109443964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7.8412710650555733</v>
      </c>
      <c r="DH42" s="21">
        <f>EXP(-LN(2)/2)*DH41+(1-EXP(-LN(2)/2))/(LN(2)/2)*DB42*DE42*VLOOKUP('Données projet'!$B$13,Paramètres!$A$1:$I$89,3,0)*0.475*44/12</f>
        <v>11.359644872272238</v>
      </c>
      <c r="DI42" s="22">
        <f t="shared" si="15"/>
        <v>19.20091593732781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11.142857142857142</v>
      </c>
      <c r="DO42" s="12">
        <f>IF('Données projet'!$A$166&gt;35,DO41+DN42-DW41,IF(A42&lt;'Données projet'!$A$166,$DL$205^A42,IF(A42='Données projet'!$A$166,'Données projet'!$B$166,DO41+DN42-DW41)))</f>
        <v>174.28571428571422</v>
      </c>
      <c r="DP42" s="17">
        <f>DO42*VLOOKUP('Données projet'!$B$14,Paramètres!$A$1:$I$89,3,0)*VLOOKUP('Données projet'!$B$14,Paramètres!$A$1:$I$89,5,0)</f>
        <v>135.94285714285709</v>
      </c>
      <c r="DQ42" s="13">
        <f t="shared" si="43"/>
        <v>35.365986273808367</v>
      </c>
      <c r="DR42" s="20">
        <f t="shared" si="16"/>
        <v>298.36290228402567</v>
      </c>
      <c r="DS42" s="59">
        <f t="shared" si="17"/>
        <v>591.69623561735898</v>
      </c>
      <c r="DT42" s="59">
        <f ca="1">AVERAGE(OFFSET($DS$3,0,0,'Données projet'!$E$14+1,1))-AVERAGE(OFFSET($H$3,0,0,'Données projet'!$E$14+1,1))</f>
        <v>288.82868507674738</v>
      </c>
      <c r="DU42" s="59">
        <f t="shared" si="44"/>
        <v>283.48738729114024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6.0554223196209112</v>
      </c>
      <c r="EB42" s="21">
        <f>EXP(-LN(2)/25)*EB41+(1-EXP(-LN(2)/25))/(LN(2)/25)*Calculateur!DW42*Calculateur!DY42*VLOOKUP('Données projet'!$B$14,Paramètres!$A$1:$I$89,3,0)*0.475*44/12</f>
        <v>9.003465534526935</v>
      </c>
      <c r="EC42" s="21">
        <f>EXP(-LN(2)/2)*EC41+(1-EXP(-LN(2)/2))/(LN(2)/2)*DW42*DZ42*VLOOKUP('Données projet'!$B$14,Paramètres!$A$1:$I$89,3,0)*0.475*44/12</f>
        <v>3.7710490658449487</v>
      </c>
      <c r="ED42" s="22">
        <f t="shared" si="18"/>
        <v>18.829936919992797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3.3603333333333336</v>
      </c>
      <c r="EJ42" s="12">
        <f>IF('Données projet'!$A$192&gt;35,EJ41+EI42-ER41,IF(A42&lt;'Données projet'!$A$192,$EG$205^A42,IF(A42='Données projet'!$A$192,'Données projet'!$B$192,EJ41+EI42-ER41)))</f>
        <v>131.05299999999997</v>
      </c>
      <c r="EK42" s="17">
        <f>EJ42*VLOOKUP('Données projet'!$B$15,Paramètres!$A$1:$I$89,3,0)*VLOOKUP('Données projet'!$B$15,Paramètres!$A$1:$I$89,5,0)</f>
        <v>126.75446159999998</v>
      </c>
      <c r="EL42" s="13">
        <f t="shared" si="45"/>
        <v>33.245310762607936</v>
      </c>
      <c r="EM42" s="20">
        <f t="shared" si="19"/>
        <v>278.66627019820879</v>
      </c>
      <c r="EN42" s="59">
        <f t="shared" si="20"/>
        <v>571.99960353154211</v>
      </c>
      <c r="EO42" s="59">
        <f ca="1">AVERAGE(OFFSET($EN$3,0,0,'Données projet'!$E$15+1,1))-AVERAGE(OFFSET($H$3,0,0,'Données projet'!$E$15+1,1))</f>
        <v>510.71380643466227</v>
      </c>
      <c r="EP42" s="59">
        <f t="shared" si="46"/>
        <v>252.40654099948841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3.15468085106383</v>
      </c>
      <c r="N43" s="13">
        <f>IF('Données projet'!$A$36&gt;35,N42+M43-V42,IF(A43&lt;'Données projet'!$A$36,$K$205^A43,IF(A43='Données projet'!$A$36,'Données projet'!$B$36,N42+M43-V42)))</f>
        <v>126.1872340425532</v>
      </c>
      <c r="O43" s="13">
        <f>N43*VLOOKUP('Données projet'!$B$9,Paramètres!$A$1:$I$89,3,0)*VLOOKUP('Données projet'!$B$9,Paramètres!$A$1:$I$89,5,0)</f>
        <v>127.95385531914894</v>
      </c>
      <c r="P43" s="13">
        <f t="shared" si="33"/>
        <v>33.523119705873661</v>
      </c>
      <c r="Q43" s="20">
        <f t="shared" si="53"/>
        <v>281.23906483524769</v>
      </c>
      <c r="R43" s="59">
        <f t="shared" si="0"/>
        <v>574.572398168581</v>
      </c>
      <c r="S43" s="59">
        <f ca="1">AVERAGE(OFFSET($R$3,0,0,'Données projet'!$E$9+1,1))-AVERAGE(OFFSET($H$3,0,0,'Données projet'!$E$9+1,1))</f>
        <v>543.67050511722618</v>
      </c>
      <c r="T43" s="59">
        <f t="shared" si="34"/>
        <v>249.0871389941106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4.0942857142857143</v>
      </c>
      <c r="AI43" s="13">
        <f>IF('Données projet'!$A$62&gt;35,AI42+AH43-AQ42,IF(A43&lt;'Données projet'!$A$62,$AF$205^A43,IF(A43='Données projet'!$A$62,'Données projet'!$B$62,AI42+AH43-AQ42)))</f>
        <v>163.77142857142869</v>
      </c>
      <c r="AJ43" s="13">
        <f>AI43*VLOOKUP('Données projet'!$B$10,Paramètres!$A$1:$I$89,3,0)*VLOOKUP('Données projet'!$B$10,Paramètres!$A$1:$I$89,5,0)</f>
        <v>148.18038857142867</v>
      </c>
      <c r="AK43" s="13">
        <f t="shared" si="35"/>
        <v>38.16477912369308</v>
      </c>
      <c r="AL43" s="20">
        <f t="shared" si="4"/>
        <v>324.55116706900372</v>
      </c>
      <c r="AM43" s="59">
        <f t="shared" si="5"/>
        <v>617.88450040233704</v>
      </c>
      <c r="AN43" s="59">
        <f ca="1">AVERAGE(OFFSET($AM$3,0,0,'Données projet'!$E$10+1,1))-AVERAGE(OFFSET($H$3,0,0,'Données projet'!$E$10+1,1))</f>
        <v>635.71275911100679</v>
      </c>
      <c r="AO43" s="59">
        <f t="shared" si="36"/>
        <v>281.7776857269169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96.153846153846146</v>
      </c>
      <c r="BB43" s="12">
        <f>VLOOKUP(A43,'Données projet'!$A$87:$I$107,9,0)</f>
        <v>4.4871794871794863</v>
      </c>
      <c r="BC43" s="12">
        <f t="array" ref="BC43">INDEX(BB:BB,MIN(IF(ISNUMBER(BB43:BB239),ROW(BB43:BB239),"")))</f>
        <v>4.4871794871794863</v>
      </c>
      <c r="BD43" s="12">
        <f>IF('Données projet'!$A$88&gt;35,BD42+BC43-BL42,IF(A43&lt;'Données projet'!$A$88,$BA$205^A43,IF(A43='Données projet'!$A$88,'Données projet'!$B$88,BD42+BC43-BL42)))</f>
        <v>96.15384615384616</v>
      </c>
      <c r="BE43" s="13">
        <f>BD43*VLOOKUP('Données projet'!$B$11,Paramètres!$A$1:$I$89,3,0)*VLOOKUP('Données projet'!$B$11,Paramètres!$A$1:$I$89,5,0)</f>
        <v>84.000000000000014</v>
      </c>
      <c r="BF43" s="13">
        <f t="shared" si="37"/>
        <v>23.112410479560449</v>
      </c>
      <c r="BG43" s="20">
        <f t="shared" si="7"/>
        <v>186.55411491856782</v>
      </c>
      <c r="BH43" s="59">
        <f t="shared" si="8"/>
        <v>479.88744825190111</v>
      </c>
      <c r="BI43" s="59">
        <f ca="1">AVERAGE(OFFSET($BH$3,0,0,'Données projet'!$E$11+1,1))-AVERAGE(OFFSET($H$3,0,0,'Données projet'!$E$11+1,1))</f>
        <v>204.11804238362862</v>
      </c>
      <c r="BJ43" s="59">
        <f t="shared" si="38"/>
        <v>185.53854651509408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12.820512820512819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0.215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10.839247855330596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10.839247855330596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3.15468085106383</v>
      </c>
      <c r="BY43" s="12">
        <f>IF('Données projet'!$A$114&gt;35,BY42+BX43-CG42,IF(A43&lt;'Données projet'!$A$114,$BV$205^A43,IF(A43='Données projet'!$A$114,'Données projet'!$B$114,BY42+BX43-CG42)))</f>
        <v>126.1872340425532</v>
      </c>
      <c r="BZ43" s="13">
        <f>BY43*VLOOKUP('Données projet'!$B$12,Paramètres!$A$1:$I$89,3,0)*VLOOKUP('Données projet'!$B$12,Paramètres!$A$1:$I$89,5,0)</f>
        <v>125.98533446808513</v>
      </c>
      <c r="CA43" s="13">
        <f t="shared" si="39"/>
        <v>33.067001184697695</v>
      </c>
      <c r="CB43" s="20">
        <f t="shared" si="10"/>
        <v>277.01615126193008</v>
      </c>
      <c r="CC43" s="59">
        <f t="shared" si="11"/>
        <v>570.34948459526345</v>
      </c>
      <c r="CD43" s="59">
        <f ca="1">AVERAGE(OFFSET($CC$3,0,0,'Données projet'!$E$12+1,1))-AVERAGE(OFFSET($H$3,0,0,'Données projet'!$E$12+1,1))</f>
        <v>535.99935263833549</v>
      </c>
      <c r="CE43" s="59">
        <f t="shared" si="40"/>
        <v>245.89966477332644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9.8128571428571423</v>
      </c>
      <c r="CT43" s="12">
        <f>IF('Données projet'!$A$140&gt;35,CT42+CS43-DB42,IF(A43&lt;'Données projet'!$A$140,$CQ$205^A43,IF(A43='Données projet'!$A$140,'Données projet'!$B$140,CT42+CS43-DB42)))</f>
        <v>100.6857142857143</v>
      </c>
      <c r="CU43" s="17">
        <f>CT43*VLOOKUP('Données projet'!$B$13,Paramètres!$A$1:$I$89,3,0)*VLOOKUP('Données projet'!$B$13,Paramètres!$A$1:$I$89,5,0)</f>
        <v>95.812525714285727</v>
      </c>
      <c r="CV43" s="13">
        <f t="shared" si="41"/>
        <v>25.961919514574856</v>
      </c>
      <c r="CW43" s="20">
        <f t="shared" si="13"/>
        <v>212.09049210693217</v>
      </c>
      <c r="CX43" s="59">
        <f t="shared" si="14"/>
        <v>505.42382544026549</v>
      </c>
      <c r="CY43" s="59">
        <f ca="1">AVERAGE(OFFSET($CX$3,0,0,'Données projet'!$E$13+1,1))-AVERAGE(OFFSET($H$3,0,0,'Données projet'!$E$13+1,1))</f>
        <v>449.28947235329758</v>
      </c>
      <c r="CZ43" s="59">
        <f t="shared" si="42"/>
        <v>289.36994109443964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7.6268510954271047</v>
      </c>
      <c r="DH43" s="21">
        <f>EXP(-LN(2)/2)*DH42+(1-EXP(-LN(2)/2))/(LN(2)/2)*DB43*DE43*VLOOKUP('Données projet'!$B$13,Paramètres!$A$1:$I$89,3,0)*0.475*44/12</f>
        <v>8.0324819210546927</v>
      </c>
      <c r="DI43" s="22">
        <f t="shared" si="15"/>
        <v>15.659333016481797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11.142857142857142</v>
      </c>
      <c r="DO43" s="12">
        <f>IF('Données projet'!$A$166&gt;35,DO42+DN43-DW42,IF(A43&lt;'Données projet'!$A$166,$DL$205^A43,IF(A43='Données projet'!$A$166,'Données projet'!$B$166,DO42+DN43-DW42)))</f>
        <v>185.42857142857136</v>
      </c>
      <c r="DP43" s="17">
        <f>DO43*VLOOKUP('Données projet'!$B$14,Paramètres!$A$1:$I$89,3,0)*VLOOKUP('Données projet'!$B$14,Paramètres!$A$1:$I$89,5,0)</f>
        <v>144.63428571428565</v>
      </c>
      <c r="DQ43" s="13">
        <f t="shared" si="43"/>
        <v>37.356634728420524</v>
      </c>
      <c r="DR43" s="20">
        <f t="shared" si="16"/>
        <v>316.96751977104657</v>
      </c>
      <c r="DS43" s="59">
        <f t="shared" si="17"/>
        <v>610.30085310437994</v>
      </c>
      <c r="DT43" s="59">
        <f ca="1">AVERAGE(OFFSET($DS$3,0,0,'Données projet'!$E$14+1,1))-AVERAGE(OFFSET($H$3,0,0,'Données projet'!$E$14+1,1))</f>
        <v>288.82868507674738</v>
      </c>
      <c r="DU43" s="59">
        <f t="shared" si="44"/>
        <v>283.48738729114024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5.9366791813760624</v>
      </c>
      <c r="EB43" s="21">
        <f>EXP(-LN(2)/25)*EB42+(1-EXP(-LN(2)/25))/(LN(2)/25)*Calculateur!DW43*Calculateur!DY43*VLOOKUP('Données projet'!$B$14,Paramètres!$A$1:$I$89,3,0)*0.475*44/12</f>
        <v>8.757265296013621</v>
      </c>
      <c r="EC43" s="21">
        <f>EXP(-LN(2)/2)*EC42+(1-EXP(-LN(2)/2))/(LN(2)/2)*DW43*DZ43*VLOOKUP('Données projet'!$B$14,Paramètres!$A$1:$I$89,3,0)*0.475*44/12</f>
        <v>2.6665343666461587</v>
      </c>
      <c r="ED43" s="22">
        <f t="shared" si="18"/>
        <v>17.360478844035843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3.3603333333333336</v>
      </c>
      <c r="EJ43" s="12">
        <f>IF('Données projet'!$A$192&gt;35,EJ42+EI43-ER42,IF(A43&lt;'Données projet'!$A$192,$EG$205^A43,IF(A43='Données projet'!$A$192,'Données projet'!$B$192,EJ42+EI43-ER42)))</f>
        <v>134.4133333333333</v>
      </c>
      <c r="EK43" s="17">
        <f>EJ43*VLOOKUP('Données projet'!$B$15,Paramètres!$A$1:$I$89,3,0)*VLOOKUP('Données projet'!$B$15,Paramètres!$A$1:$I$89,5,0)</f>
        <v>130.00457599999996</v>
      </c>
      <c r="EL43" s="13">
        <f t="shared" si="45"/>
        <v>33.997416709428933</v>
      </c>
      <c r="EM43" s="20">
        <f t="shared" si="19"/>
        <v>285.63680396892198</v>
      </c>
      <c r="EN43" s="59">
        <f t="shared" si="20"/>
        <v>578.97013730225535</v>
      </c>
      <c r="EO43" s="59">
        <f ca="1">AVERAGE(OFFSET($EN$3,0,0,'Données projet'!$E$15+1,1))-AVERAGE(OFFSET($H$3,0,0,'Données projet'!$E$15+1,1))</f>
        <v>510.71380643466227</v>
      </c>
      <c r="EP43" s="59">
        <f t="shared" si="46"/>
        <v>252.40654099948841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3.15468085106383</v>
      </c>
      <c r="N44" s="13">
        <f>IF('Données projet'!$A$36&gt;35,N43+M44-V43,IF(A44&lt;'Données projet'!$A$36,$K$205^A44,IF(A44='Données projet'!$A$36,'Données projet'!$B$36,N43+M44-V43)))</f>
        <v>129.34191489361703</v>
      </c>
      <c r="O44" s="13">
        <f>N44*VLOOKUP('Données projet'!$B$9,Paramètres!$A$1:$I$89,3,0)*VLOOKUP('Données projet'!$B$9,Paramètres!$A$1:$I$89,5,0)</f>
        <v>131.15270170212767</v>
      </c>
      <c r="P44" s="13">
        <f t="shared" si="33"/>
        <v>34.262577848715921</v>
      </c>
      <c r="Q44" s="20">
        <f t="shared" si="53"/>
        <v>288.0982785510526</v>
      </c>
      <c r="R44" s="59">
        <f t="shared" si="0"/>
        <v>581.43161188438592</v>
      </c>
      <c r="S44" s="59">
        <f ca="1">AVERAGE(OFFSET($R$3,0,0,'Données projet'!$E$9+1,1))-AVERAGE(OFFSET($H$3,0,0,'Données projet'!$E$9+1,1))</f>
        <v>543.67050511722618</v>
      </c>
      <c r="T44" s="59">
        <f t="shared" si="34"/>
        <v>249.0871389941106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4.0942857142857143</v>
      </c>
      <c r="AI44" s="13">
        <f>IF('Données projet'!$A$62&gt;35,AI43+AH44-AQ43,IF(A44&lt;'Données projet'!$A$62,$AF$205^A44,IF(A44='Données projet'!$A$62,'Données projet'!$B$62,AI43+AH44-AQ43)))</f>
        <v>167.8657142857144</v>
      </c>
      <c r="AJ44" s="13">
        <f>AI44*VLOOKUP('Données projet'!$B$10,Paramètres!$A$1:$I$89,3,0)*VLOOKUP('Données projet'!$B$10,Paramètres!$A$1:$I$89,5,0)</f>
        <v>151.88489828571437</v>
      </c>
      <c r="AK44" s="13">
        <f t="shared" si="35"/>
        <v>39.006623705593562</v>
      </c>
      <c r="AL44" s="20">
        <f t="shared" si="4"/>
        <v>332.46940080152797</v>
      </c>
      <c r="AM44" s="59">
        <f t="shared" si="5"/>
        <v>625.80273413486134</v>
      </c>
      <c r="AN44" s="59">
        <f ca="1">AVERAGE(OFFSET($AM$3,0,0,'Données projet'!$E$10+1,1))-AVERAGE(OFFSET($H$3,0,0,'Données projet'!$E$10+1,1))</f>
        <v>635.71275911100679</v>
      </c>
      <c r="AO44" s="59">
        <f t="shared" si="36"/>
        <v>281.7776857269169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4.1025641025641022</v>
      </c>
      <c r="BD44" s="12">
        <f>IF('Données projet'!$A$88&gt;35,BD43+BC44-BL43,IF(A44&lt;'Données projet'!$A$88,$BA$205^A44,IF(A44='Données projet'!$A$88,'Données projet'!$B$88,BD43+BC44-BL43)))</f>
        <v>87.435897435897445</v>
      </c>
      <c r="BE44" s="13">
        <f>BD44*VLOOKUP('Données projet'!$B$11,Paramètres!$A$1:$I$89,3,0)*VLOOKUP('Données projet'!$B$11,Paramètres!$A$1:$I$89,5,0)</f>
        <v>76.384000000000015</v>
      </c>
      <c r="BF44" s="13">
        <f t="shared" si="37"/>
        <v>21.250687416058835</v>
      </c>
      <c r="BG44" s="20">
        <f t="shared" si="7"/>
        <v>170.04708058296916</v>
      </c>
      <c r="BH44" s="59">
        <f t="shared" si="8"/>
        <v>463.38041391630247</v>
      </c>
      <c r="BI44" s="59">
        <f ca="1">AVERAGE(OFFSET($BH$3,0,0,'Données projet'!$E$11+1,1))-AVERAGE(OFFSET($H$3,0,0,'Données projet'!$E$11+1,1))</f>
        <v>204.11804238362862</v>
      </c>
      <c r="BJ44" s="59">
        <f t="shared" si="38"/>
        <v>185.53854651509408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10.542848052715309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10.542848052715309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3.15468085106383</v>
      </c>
      <c r="BY44" s="12">
        <f>IF('Données projet'!$A$114&gt;35,BY43+BX44-CG43,IF(A44&lt;'Données projet'!$A$114,$BV$205^A44,IF(A44='Données projet'!$A$114,'Données projet'!$B$114,BY43+BX44-CG43)))</f>
        <v>129.34191489361703</v>
      </c>
      <c r="BZ44" s="13">
        <f>BY44*VLOOKUP('Données projet'!$B$12,Paramètres!$A$1:$I$89,3,0)*VLOOKUP('Données projet'!$B$12,Paramètres!$A$1:$I$89,5,0)</f>
        <v>129.13496782978726</v>
      </c>
      <c r="CA44" s="13">
        <f t="shared" si="39"/>
        <v>33.796398194878613</v>
      </c>
      <c r="CB44" s="20">
        <f t="shared" si="10"/>
        <v>283.77212915962639</v>
      </c>
      <c r="CC44" s="59">
        <f t="shared" si="11"/>
        <v>577.10546249295976</v>
      </c>
      <c r="CD44" s="59">
        <f ca="1">AVERAGE(OFFSET($CC$3,0,0,'Données projet'!$E$12+1,1))-AVERAGE(OFFSET($H$3,0,0,'Données projet'!$E$12+1,1))</f>
        <v>535.99935263833549</v>
      </c>
      <c r="CE44" s="59">
        <f t="shared" si="40"/>
        <v>245.89966477332644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9.8128571428571423</v>
      </c>
      <c r="CT44" s="12">
        <f>IF('Données projet'!$A$140&gt;35,CT43+CS44-DB43,IF(A44&lt;'Données projet'!$A$140,$CQ$205^A44,IF(A44='Données projet'!$A$140,'Données projet'!$B$140,CT43+CS44-DB43)))</f>
        <v>110.49857142857144</v>
      </c>
      <c r="CU44" s="17">
        <f>CT44*VLOOKUP('Données projet'!$B$13,Paramètres!$A$1:$I$89,3,0)*VLOOKUP('Données projet'!$B$13,Paramètres!$A$1:$I$89,5,0)</f>
        <v>105.15044057142858</v>
      </c>
      <c r="CV44" s="13">
        <f t="shared" si="41"/>
        <v>28.185409559827399</v>
      </c>
      <c r="CW44" s="20">
        <f t="shared" si="13"/>
        <v>232.22660564527078</v>
      </c>
      <c r="CX44" s="59">
        <f t="shared" si="14"/>
        <v>525.55993897860412</v>
      </c>
      <c r="CY44" s="59">
        <f ca="1">AVERAGE(OFFSET($CX$3,0,0,'Données projet'!$E$13+1,1))-AVERAGE(OFFSET($H$3,0,0,'Données projet'!$E$13+1,1))</f>
        <v>449.28947235329758</v>
      </c>
      <c r="CZ44" s="59">
        <f t="shared" si="42"/>
        <v>289.36994109443964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7.418294451143983</v>
      </c>
      <c r="DH44" s="21">
        <f>EXP(-LN(2)/2)*DH43+(1-EXP(-LN(2)/2))/(LN(2)/2)*DB44*DE44*VLOOKUP('Données projet'!$B$13,Paramètres!$A$1:$I$89,3,0)*0.475*44/12</f>
        <v>5.6798224361361198</v>
      </c>
      <c r="DI44" s="22">
        <f t="shared" si="15"/>
        <v>13.098116887280103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11.142857142857142</v>
      </c>
      <c r="DO44" s="12">
        <f>IF('Données projet'!$A$166&gt;35,DO43+DN44-DW43,IF(A44&lt;'Données projet'!$A$166,$DL$205^A44,IF(A44='Données projet'!$A$166,'Données projet'!$B$166,DO43+DN44-DW43)))</f>
        <v>196.5714285714285</v>
      </c>
      <c r="DP44" s="17">
        <f>DO44*VLOOKUP('Données projet'!$B$14,Paramètres!$A$1:$I$89,3,0)*VLOOKUP('Données projet'!$B$14,Paramètres!$A$1:$I$89,5,0)</f>
        <v>153.32571428571424</v>
      </c>
      <c r="DQ44" s="13">
        <f t="shared" si="43"/>
        <v>39.333398837614155</v>
      </c>
      <c r="DR44" s="20">
        <f t="shared" si="16"/>
        <v>335.5479553564636</v>
      </c>
      <c r="DS44" s="59">
        <f t="shared" si="17"/>
        <v>628.88128868979697</v>
      </c>
      <c r="DT44" s="59">
        <f ca="1">AVERAGE(OFFSET($DS$3,0,0,'Données projet'!$E$14+1,1))-AVERAGE(OFFSET($H$3,0,0,'Données projet'!$E$14+1,1))</f>
        <v>288.82868507674738</v>
      </c>
      <c r="DU44" s="59">
        <f t="shared" si="44"/>
        <v>283.48738729114024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5.8202645236460331</v>
      </c>
      <c r="EB44" s="21">
        <f>EXP(-LN(2)/25)*EB43+(1-EXP(-LN(2)/25))/(LN(2)/25)*Calculateur!DW44*Calculateur!DY44*VLOOKUP('Données projet'!$B$14,Paramètres!$A$1:$I$89,3,0)*0.475*44/12</f>
        <v>8.5177974159695609</v>
      </c>
      <c r="EC44" s="21">
        <f>EXP(-LN(2)/2)*EC43+(1-EXP(-LN(2)/2))/(LN(2)/2)*DW44*DZ44*VLOOKUP('Données projet'!$B$14,Paramètres!$A$1:$I$89,3,0)*0.475*44/12</f>
        <v>1.8855245329224746</v>
      </c>
      <c r="ED44" s="22">
        <f t="shared" si="18"/>
        <v>16.22358647253807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3.3603333333333336</v>
      </c>
      <c r="EJ44" s="12">
        <f>IF('Données projet'!$A$192&gt;35,EJ43+EI44-ER43,IF(A44&lt;'Données projet'!$A$192,$EG$205^A44,IF(A44='Données projet'!$A$192,'Données projet'!$B$192,EJ43+EI44-ER43)))</f>
        <v>137.77366666666663</v>
      </c>
      <c r="EK44" s="17">
        <f>EJ44*VLOOKUP('Données projet'!$B$15,Paramètres!$A$1:$I$89,3,0)*VLOOKUP('Données projet'!$B$15,Paramètres!$A$1:$I$89,5,0)</f>
        <v>133.25469039999996</v>
      </c>
      <c r="EL44" s="13">
        <f t="shared" si="45"/>
        <v>34.747336968699585</v>
      </c>
      <c r="EM44" s="20">
        <f t="shared" si="19"/>
        <v>292.60353100048502</v>
      </c>
      <c r="EN44" s="59">
        <f t="shared" si="20"/>
        <v>585.93686433381833</v>
      </c>
      <c r="EO44" s="59">
        <f ca="1">AVERAGE(OFFSET($EN$3,0,0,'Données projet'!$E$15+1,1))-AVERAGE(OFFSET($H$3,0,0,'Données projet'!$E$15+1,1))</f>
        <v>510.71380643466227</v>
      </c>
      <c r="EP44" s="59">
        <f t="shared" si="46"/>
        <v>252.40654099948841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3.15468085106383</v>
      </c>
      <c r="N45" s="13">
        <f>IF('Données projet'!$A$36&gt;35,N44+M45-V44,IF(A45&lt;'Données projet'!$A$36,$K$205^A45,IF(A45='Données projet'!$A$36,'Données projet'!$B$36,N44+M45-V44)))</f>
        <v>132.49659574468086</v>
      </c>
      <c r="O45" s="13">
        <f>N45*VLOOKUP('Données projet'!$B$9,Paramètres!$A$1:$I$89,3,0)*VLOOKUP('Données projet'!$B$9,Paramètres!$A$1:$I$89,5,0)</f>
        <v>134.3515480851064</v>
      </c>
      <c r="P45" s="13">
        <f t="shared" si="33"/>
        <v>34.999939409387139</v>
      </c>
      <c r="Q45" s="20">
        <f t="shared" si="53"/>
        <v>294.95384071957625</v>
      </c>
      <c r="R45" s="59">
        <f t="shared" si="0"/>
        <v>588.28717405290956</v>
      </c>
      <c r="S45" s="59">
        <f ca="1">AVERAGE(OFFSET($R$3,0,0,'Données projet'!$E$9+1,1))-AVERAGE(OFFSET($H$3,0,0,'Données projet'!$E$9+1,1))</f>
        <v>543.67050511722618</v>
      </c>
      <c r="T45" s="59">
        <f t="shared" si="34"/>
        <v>249.0871389941106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4.0942857142857143</v>
      </c>
      <c r="AH45" s="12">
        <f t="array" ref="AH45">INDEX(AG:AG,MIN(IF(ISNUMBER(AG45:AG241),ROW(AG45:AG241),"")))</f>
        <v>4.0942857142857143</v>
      </c>
      <c r="AI45" s="13">
        <f>IF('Données projet'!$A$62&gt;35,AI44+AH45-AQ44,IF(A45&lt;'Données projet'!$A$62,$AF$205^A45,IF(A45='Données projet'!$A$62,'Données projet'!$B$62,AI44+AH45-AQ44)))</f>
        <v>171.96000000000012</v>
      </c>
      <c r="AJ45" s="13">
        <f>AI45*VLOOKUP('Données projet'!$B$10,Paramètres!$A$1:$I$89,3,0)*VLOOKUP('Données projet'!$B$10,Paramètres!$A$1:$I$89,5,0)</f>
        <v>155.58940800000011</v>
      </c>
      <c r="AK45" s="13">
        <f t="shared" si="35"/>
        <v>39.846081409537142</v>
      </c>
      <c r="AL45" s="20">
        <f t="shared" si="4"/>
        <v>340.3834773882773</v>
      </c>
      <c r="AM45" s="59">
        <f t="shared" si="5"/>
        <v>633.71681072161061</v>
      </c>
      <c r="AN45" s="59">
        <f ca="1">AVERAGE(OFFSET($AM$3,0,0,'Données projet'!$E$10+1,1))-AVERAGE(OFFSET($H$3,0,0,'Données projet'!$E$10+1,1))</f>
        <v>635.71275911100679</v>
      </c>
      <c r="AO45" s="59">
        <f t="shared" si="36"/>
        <v>281.7776857269169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44.510000000000005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0.34400000000000003</v>
      </c>
      <c r="AT45" s="16">
        <f>IF(ISNA(VLOOKUP(A45,'Données projet'!$A$61:$I$81,7,0)),0%,VLOOKUP(A45,'Données projet'!$A$61:$I$81,7,0))</f>
        <v>0.2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15.254654682209745</v>
      </c>
      <c r="AW45" s="21">
        <f>EXP(-LN(2)/2)*AW44+(1-EXP(-LN(2)/2))/(LN(2)/2)*AQ45*AT45*VLOOKUP('Données projet'!$B$10,Paramètres!$A$1:$I$89,3,0)*0.475*44/12</f>
        <v>7.599665462085774</v>
      </c>
      <c r="AX45" s="21">
        <f t="shared" si="6"/>
        <v>22.854320144295521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4.1025641025641022</v>
      </c>
      <c r="BD45" s="12">
        <f>IF('Données projet'!$A$88&gt;35,BD44+BC45-BL44,IF(A45&lt;'Données projet'!$A$88,$BA$205^A45,IF(A45='Données projet'!$A$88,'Données projet'!$B$88,BD44+BC45-BL44)))</f>
        <v>91.538461538461547</v>
      </c>
      <c r="BE45" s="13">
        <f>BD45*VLOOKUP('Données projet'!$B$11,Paramètres!$A$1:$I$89,3,0)*VLOOKUP('Données projet'!$B$11,Paramètres!$A$1:$I$89,5,0)</f>
        <v>79.968000000000018</v>
      </c>
      <c r="BF45" s="13">
        <f t="shared" si="37"/>
        <v>22.12935978012921</v>
      </c>
      <c r="BG45" s="20">
        <f t="shared" si="7"/>
        <v>177.81956828372506</v>
      </c>
      <c r="BH45" s="59">
        <f t="shared" si="8"/>
        <v>471.15290161705838</v>
      </c>
      <c r="BI45" s="59">
        <f ca="1">AVERAGE(OFFSET($BH$3,0,0,'Données projet'!$E$11+1,1))-AVERAGE(OFFSET($H$3,0,0,'Données projet'!$E$11+1,1))</f>
        <v>204.11804238362862</v>
      </c>
      <c r="BJ45" s="59">
        <f t="shared" si="38"/>
        <v>185.53854651509408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10.254553318289526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10.254553318289526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3.15468085106383</v>
      </c>
      <c r="BY45" s="12">
        <f>IF('Données projet'!$A$114&gt;35,BY44+BX45-CG44,IF(A45&lt;'Données projet'!$A$114,$BV$205^A45,IF(A45='Données projet'!$A$114,'Données projet'!$B$114,BY44+BX45-CG44)))</f>
        <v>132.49659574468086</v>
      </c>
      <c r="BZ45" s="13">
        <f>BY45*VLOOKUP('Données projet'!$B$12,Paramètres!$A$1:$I$89,3,0)*VLOOKUP('Données projet'!$B$12,Paramètres!$A$1:$I$89,5,0)</f>
        <v>132.28460119148937</v>
      </c>
      <c r="CA45" s="13">
        <f t="shared" si="39"/>
        <v>34.523727149170163</v>
      </c>
      <c r="CB45" s="20">
        <f t="shared" si="10"/>
        <v>290.52450519331529</v>
      </c>
      <c r="CC45" s="59">
        <f t="shared" si="11"/>
        <v>583.85783852664861</v>
      </c>
      <c r="CD45" s="59">
        <f ca="1">AVERAGE(OFFSET($CC$3,0,0,'Données projet'!$E$12+1,1))-AVERAGE(OFFSET($H$3,0,0,'Données projet'!$E$12+1,1))</f>
        <v>535.99935263833549</v>
      </c>
      <c r="CE45" s="59">
        <f t="shared" si="40"/>
        <v>245.89966477332644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9.8128571428571423</v>
      </c>
      <c r="CT45" s="12">
        <f>IF('Données projet'!$A$140&gt;35,CT44+CS45-DB44,IF(A45&lt;'Données projet'!$A$140,$CQ$205^A45,IF(A45='Données projet'!$A$140,'Données projet'!$B$140,CT44+CS45-DB44)))</f>
        <v>120.31142857142858</v>
      </c>
      <c r="CU45" s="17">
        <f>CT45*VLOOKUP('Données projet'!$B$13,Paramètres!$A$1:$I$89,3,0)*VLOOKUP('Données projet'!$B$13,Paramètres!$A$1:$I$89,5,0)</f>
        <v>114.48835542857144</v>
      </c>
      <c r="CV45" s="13">
        <f t="shared" si="41"/>
        <v>30.386002172379861</v>
      </c>
      <c r="CW45" s="20">
        <f t="shared" si="13"/>
        <v>252.32283948832352</v>
      </c>
      <c r="CX45" s="59">
        <f t="shared" si="14"/>
        <v>545.65617282165681</v>
      </c>
      <c r="CY45" s="59">
        <f ca="1">AVERAGE(OFFSET($CX$3,0,0,'Données projet'!$E$13+1,1))-AVERAGE(OFFSET($H$3,0,0,'Données projet'!$E$13+1,1))</f>
        <v>449.28947235329758</v>
      </c>
      <c r="CZ45" s="59">
        <f t="shared" si="42"/>
        <v>289.36994109443964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7.2154407992663003</v>
      </c>
      <c r="DH45" s="21">
        <f>EXP(-LN(2)/2)*DH44+(1-EXP(-LN(2)/2))/(LN(2)/2)*DB45*DE45*VLOOKUP('Données projet'!$B$13,Paramètres!$A$1:$I$89,3,0)*0.475*44/12</f>
        <v>4.0162409605273472</v>
      </c>
      <c r="DI45" s="22">
        <f t="shared" si="15"/>
        <v>11.231681759793648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11.142857142857142</v>
      </c>
      <c r="DO45" s="12">
        <f>IF('Données projet'!$A$166&gt;35,DO44+DN45-DW44,IF(A45&lt;'Données projet'!$A$166,$DL$205^A45,IF(A45='Données projet'!$A$166,'Données projet'!$B$166,DO44+DN45-DW44)))</f>
        <v>207.71428571428564</v>
      </c>
      <c r="DP45" s="17">
        <f>DO45*VLOOKUP('Données projet'!$B$14,Paramètres!$A$1:$I$89,3,0)*VLOOKUP('Données projet'!$B$14,Paramètres!$A$1:$I$89,5,0)</f>
        <v>162.0171428571428</v>
      </c>
      <c r="DQ45" s="13">
        <f t="shared" si="43"/>
        <v>41.29715533509664</v>
      </c>
      <c r="DR45" s="20">
        <f t="shared" si="16"/>
        <v>354.10573601815037</v>
      </c>
      <c r="DS45" s="59">
        <f t="shared" si="17"/>
        <v>647.43906935148368</v>
      </c>
      <c r="DT45" s="59">
        <f ca="1">AVERAGE(OFFSET($DS$3,0,0,'Données projet'!$E$14+1,1))-AVERAGE(OFFSET($H$3,0,0,'Données projet'!$E$14+1,1))</f>
        <v>288.82868507674738</v>
      </c>
      <c r="DU45" s="59">
        <f t="shared" si="44"/>
        <v>283.48738729114024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5.706132686348159</v>
      </c>
      <c r="EB45" s="21">
        <f>EXP(-LN(2)/25)*EB44+(1-EXP(-LN(2)/25))/(LN(2)/25)*Calculateur!DW45*Calculateur!DY45*VLOOKUP('Données projet'!$B$14,Paramètres!$A$1:$I$89,3,0)*0.475*44/12</f>
        <v>8.2848777976983747</v>
      </c>
      <c r="EC45" s="21">
        <f>EXP(-LN(2)/2)*EC44+(1-EXP(-LN(2)/2))/(LN(2)/2)*DW45*DZ45*VLOOKUP('Données projet'!$B$14,Paramètres!$A$1:$I$89,3,0)*0.475*44/12</f>
        <v>1.3332671833230796</v>
      </c>
      <c r="ED45" s="22">
        <f t="shared" si="18"/>
        <v>15.324277667369614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3.3603333333333336</v>
      </c>
      <c r="EJ45" s="12">
        <f>IF('Données projet'!$A$192&gt;35,EJ44+EI45-ER44,IF(A45&lt;'Données projet'!$A$192,$EG$205^A45,IF(A45='Données projet'!$A$192,'Données projet'!$B$192,EJ44+EI45-ER44)))</f>
        <v>141.13399999999996</v>
      </c>
      <c r="EK45" s="17">
        <f>EJ45*VLOOKUP('Données projet'!$B$15,Paramètres!$A$1:$I$89,3,0)*VLOOKUP('Données projet'!$B$15,Paramètres!$A$1:$I$89,5,0)</f>
        <v>136.50480479999996</v>
      </c>
      <c r="EL45" s="13">
        <f t="shared" si="45"/>
        <v>35.49513098260995</v>
      </c>
      <c r="EM45" s="20">
        <f t="shared" si="19"/>
        <v>299.56655482137893</v>
      </c>
      <c r="EN45" s="59">
        <f t="shared" si="20"/>
        <v>592.89988815471224</v>
      </c>
      <c r="EO45" s="59">
        <f ca="1">AVERAGE(OFFSET($EN$3,0,0,'Données projet'!$E$15+1,1))-AVERAGE(OFFSET($H$3,0,0,'Données projet'!$E$15+1,1))</f>
        <v>510.71380643466227</v>
      </c>
      <c r="EP45" s="59">
        <f t="shared" si="46"/>
        <v>252.40654099948841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3.15468085106383</v>
      </c>
      <c r="N46" s="13">
        <f>IF('Données projet'!$A$36&gt;35,N45+M46-V45,IF(A46&lt;'Données projet'!$A$36,$K$205^A46,IF(A46='Données projet'!$A$36,'Données projet'!$B$36,N45+M46-V45)))</f>
        <v>135.65127659574469</v>
      </c>
      <c r="O46" s="13">
        <f>N46*VLOOKUP('Données projet'!$B$9,Paramètres!$A$1:$I$89,3,0)*VLOOKUP('Données projet'!$B$9,Paramètres!$A$1:$I$89,5,0)</f>
        <v>137.55039446808513</v>
      </c>
      <c r="P46" s="13">
        <f t="shared" si="33"/>
        <v>35.735260050518001</v>
      </c>
      <c r="Q46" s="20">
        <f t="shared" si="53"/>
        <v>301.80584828656708</v>
      </c>
      <c r="R46" s="59">
        <f t="shared" si="0"/>
        <v>595.13918161990046</v>
      </c>
      <c r="S46" s="59">
        <f ca="1">AVERAGE(OFFSET($R$3,0,0,'Données projet'!$E$9+1,1))-AVERAGE(OFFSET($H$3,0,0,'Données projet'!$E$9+1,1))</f>
        <v>543.67050511722618</v>
      </c>
      <c r="T46" s="59">
        <f t="shared" si="34"/>
        <v>249.0871389941106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10.110000000000001</v>
      </c>
      <c r="AI46" s="13">
        <f>IF('Données projet'!$A$62&gt;35,AI45+AH46-AQ45,IF(A46&lt;'Données projet'!$A$62,$AF$205^A46,IF(A46='Données projet'!$A$62,'Données projet'!$B$62,AI45+AH46-AQ45)))</f>
        <v>137.56000000000012</v>
      </c>
      <c r="AJ46" s="13">
        <f>AI46*VLOOKUP('Données projet'!$B$10,Paramètres!$A$1:$I$89,3,0)*VLOOKUP('Données projet'!$B$10,Paramètres!$A$1:$I$89,5,0)</f>
        <v>124.4642880000001</v>
      </c>
      <c r="AK46" s="13">
        <f t="shared" si="35"/>
        <v>32.713997336243899</v>
      </c>
      <c r="AL46" s="20">
        <f t="shared" si="4"/>
        <v>273.75218029395825</v>
      </c>
      <c r="AM46" s="59">
        <f t="shared" si="5"/>
        <v>567.08551362729156</v>
      </c>
      <c r="AN46" s="59">
        <f ca="1">AVERAGE(OFFSET($AM$3,0,0,'Données projet'!$E$10+1,1))-AVERAGE(OFFSET($H$3,0,0,'Données projet'!$E$10+1,1))</f>
        <v>635.71275911100679</v>
      </c>
      <c r="AO46" s="59">
        <f t="shared" si="36"/>
        <v>281.7776857269169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14.837515347717295</v>
      </c>
      <c r="AW46" s="21">
        <f>EXP(-LN(2)/2)*AW45+(1-EXP(-LN(2)/2))/(LN(2)/2)*AQ46*AT46*VLOOKUP('Données projet'!$B$10,Paramètres!$A$1:$I$89,3,0)*0.475*44/12</f>
        <v>5.3737749829900485</v>
      </c>
      <c r="AX46" s="21">
        <f t="shared" si="6"/>
        <v>20.211290330707342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4.1025641025641022</v>
      </c>
      <c r="BD46" s="12">
        <f>IF('Données projet'!$A$88&gt;35,BD45+BC46-BL45,IF(A46&lt;'Données projet'!$A$88,$BA$205^A46,IF(A46='Données projet'!$A$88,'Données projet'!$B$88,BD45+BC46-BL45)))</f>
        <v>95.641025641025649</v>
      </c>
      <c r="BE46" s="13">
        <f>BD46*VLOOKUP('Données projet'!$B$11,Paramètres!$A$1:$I$89,3,0)*VLOOKUP('Données projet'!$B$11,Paramètres!$A$1:$I$89,5,0)</f>
        <v>83.552000000000021</v>
      </c>
      <c r="BF46" s="13">
        <f t="shared" si="37"/>
        <v>23.003458599323775</v>
      </c>
      <c r="BG46" s="20">
        <f t="shared" si="7"/>
        <v>185.58409039382227</v>
      </c>
      <c r="BH46" s="59">
        <f t="shared" si="8"/>
        <v>478.91742372715555</v>
      </c>
      <c r="BI46" s="59">
        <f ca="1">AVERAGE(OFFSET($BH$3,0,0,'Données projet'!$E$11+1,1))-AVERAGE(OFFSET($H$3,0,0,'Données projet'!$E$11+1,1))</f>
        <v>204.11804238362862</v>
      </c>
      <c r="BJ46" s="59">
        <f t="shared" si="38"/>
        <v>185.53854651509408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9.9741420185373766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9.9741420185373766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3.15468085106383</v>
      </c>
      <c r="BY46" s="12">
        <f>IF('Données projet'!$A$114&gt;35,BY45+BX46-CG45,IF(A46&lt;'Données projet'!$A$114,$BV$205^A46,IF(A46='Données projet'!$A$114,'Données projet'!$B$114,BY45+BX46-CG45)))</f>
        <v>135.65127659574469</v>
      </c>
      <c r="BZ46" s="13">
        <f>BY46*VLOOKUP('Données projet'!$B$12,Paramètres!$A$1:$I$89,3,0)*VLOOKUP('Données projet'!$B$12,Paramètres!$A$1:$I$89,5,0)</f>
        <v>135.43423455319152</v>
      </c>
      <c r="CA46" s="13">
        <f t="shared" si="39"/>
        <v>35.249042952852562</v>
      </c>
      <c r="CB46" s="20">
        <f t="shared" si="10"/>
        <v>297.27337498969342</v>
      </c>
      <c r="CC46" s="59">
        <f t="shared" si="11"/>
        <v>590.60670832302674</v>
      </c>
      <c r="CD46" s="59">
        <f ca="1">AVERAGE(OFFSET($CC$3,0,0,'Données projet'!$E$12+1,1))-AVERAGE(OFFSET($H$3,0,0,'Données projet'!$E$12+1,1))</f>
        <v>535.99935263833549</v>
      </c>
      <c r="CE46" s="59">
        <f t="shared" si="40"/>
        <v>245.89966477332644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9.8128571428571423</v>
      </c>
      <c r="CT46" s="12">
        <f>IF('Données projet'!$A$140&gt;35,CT45+CS46-DB45,IF(A46&lt;'Données projet'!$A$140,$CQ$205^A46,IF(A46='Données projet'!$A$140,'Données projet'!$B$140,CT45+CS46-DB45)))</f>
        <v>130.12428571428572</v>
      </c>
      <c r="CU46" s="17">
        <f>CT46*VLOOKUP('Données projet'!$B$13,Paramètres!$A$1:$I$89,3,0)*VLOOKUP('Données projet'!$B$13,Paramètres!$A$1:$I$89,5,0)</f>
        <v>123.82627028571429</v>
      </c>
      <c r="CV46" s="13">
        <f t="shared" si="41"/>
        <v>32.565777238714922</v>
      </c>
      <c r="CW46" s="20">
        <f t="shared" si="13"/>
        <v>272.38281610504754</v>
      </c>
      <c r="CX46" s="59">
        <f t="shared" si="14"/>
        <v>565.71614943838085</v>
      </c>
      <c r="CY46" s="59">
        <f ca="1">AVERAGE(OFFSET($CX$3,0,0,'Données projet'!$E$13+1,1))-AVERAGE(OFFSET($H$3,0,0,'Données projet'!$E$13+1,1))</f>
        <v>449.28947235329758</v>
      </c>
      <c r="CZ46" s="59">
        <f t="shared" si="42"/>
        <v>289.36994109443964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7.0181341911668227</v>
      </c>
      <c r="DH46" s="21">
        <f>EXP(-LN(2)/2)*DH45+(1-EXP(-LN(2)/2))/(LN(2)/2)*DB46*DE46*VLOOKUP('Données projet'!$B$13,Paramètres!$A$1:$I$89,3,0)*0.475*44/12</f>
        <v>2.8399112180680608</v>
      </c>
      <c r="DI46" s="22">
        <f t="shared" si="15"/>
        <v>9.858045409234883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11.142857142857142</v>
      </c>
      <c r="DO46" s="12">
        <f>IF('Données projet'!$A$166&gt;35,DO45+DN46-DW45,IF(A46&lt;'Données projet'!$A$166,$DL$205^A46,IF(A46='Données projet'!$A$166,'Données projet'!$B$166,DO45+DN46-DW45)))</f>
        <v>218.85714285714278</v>
      </c>
      <c r="DP46" s="17">
        <f>DO46*VLOOKUP('Données projet'!$B$14,Paramètres!$A$1:$I$89,3,0)*VLOOKUP('Données projet'!$B$14,Paramètres!$A$1:$I$89,5,0)</f>
        <v>170.70857142857136</v>
      </c>
      <c r="DQ46" s="13">
        <f t="shared" si="43"/>
        <v>43.248681576985376</v>
      </c>
      <c r="DR46" s="20">
        <f t="shared" si="16"/>
        <v>372.64221565134466</v>
      </c>
      <c r="DS46" s="59">
        <f t="shared" si="17"/>
        <v>665.97554898467797</v>
      </c>
      <c r="DT46" s="59">
        <f ca="1">AVERAGE(OFFSET($DS$3,0,0,'Données projet'!$E$14+1,1))-AVERAGE(OFFSET($H$3,0,0,'Données projet'!$E$14+1,1))</f>
        <v>288.82868507674738</v>
      </c>
      <c r="DU46" s="59">
        <f t="shared" si="44"/>
        <v>283.48738729114024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5.5942389047661498</v>
      </c>
      <c r="EB46" s="21">
        <f>EXP(-LN(2)/25)*EB45+(1-EXP(-LN(2)/25))/(LN(2)/25)*Calculateur!DW46*Calculateur!DY46*VLOOKUP('Données projet'!$B$14,Paramètres!$A$1:$I$89,3,0)*0.475*44/12</f>
        <v>8.0583273786375251</v>
      </c>
      <c r="EC46" s="21">
        <f>EXP(-LN(2)/2)*EC45+(1-EXP(-LN(2)/2))/(LN(2)/2)*DW46*DZ46*VLOOKUP('Données projet'!$B$14,Paramètres!$A$1:$I$89,3,0)*0.475*44/12</f>
        <v>0.9427622664612374</v>
      </c>
      <c r="ED46" s="22">
        <f t="shared" si="18"/>
        <v>14.595328549864913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3.3603333333333336</v>
      </c>
      <c r="EJ46" s="12">
        <f>IF('Données projet'!$A$192&gt;35,EJ45+EI46-ER45,IF(A46&lt;'Données projet'!$A$192,$EG$205^A46,IF(A46='Données projet'!$A$192,'Données projet'!$B$192,EJ45+EI46-ER45)))</f>
        <v>144.49433333333329</v>
      </c>
      <c r="EK46" s="17">
        <f>EJ46*VLOOKUP('Données projet'!$B$15,Paramètres!$A$1:$I$89,3,0)*VLOOKUP('Données projet'!$B$15,Paramètres!$A$1:$I$89,5,0)</f>
        <v>139.75491919999996</v>
      </c>
      <c r="EL46" s="13">
        <f t="shared" si="45"/>
        <v>36.240855201325502</v>
      </c>
      <c r="EM46" s="20">
        <f t="shared" si="19"/>
        <v>306.52597374897516</v>
      </c>
      <c r="EN46" s="59">
        <f t="shared" si="20"/>
        <v>599.85930708230853</v>
      </c>
      <c r="EO46" s="59">
        <f ca="1">AVERAGE(OFFSET($EN$3,0,0,'Données projet'!$E$15+1,1))-AVERAGE(OFFSET($H$3,0,0,'Données projet'!$E$15+1,1))</f>
        <v>510.71380643466227</v>
      </c>
      <c r="EP46" s="59">
        <f t="shared" si="46"/>
        <v>252.40654099948841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3.15468085106383</v>
      </c>
      <c r="N47" s="13">
        <f>IF('Données projet'!$A$36&gt;35,N46+M47-V46,IF(A47&lt;'Données projet'!$A$36,$K$205^A47,IF(A47='Données projet'!$A$36,'Données projet'!$B$36,N46+M47-V46)))</f>
        <v>138.80595744680852</v>
      </c>
      <c r="O47" s="13">
        <f>N47*VLOOKUP('Données projet'!$B$9,Paramètres!$A$1:$I$89,3,0)*VLOOKUP('Données projet'!$B$9,Paramètres!$A$1:$I$89,5,0)</f>
        <v>140.74924085106386</v>
      </c>
      <c r="P47" s="13">
        <f t="shared" si="33"/>
        <v>36.468592698064661</v>
      </c>
      <c r="Q47" s="20">
        <f t="shared" si="53"/>
        <v>308.65439343139883</v>
      </c>
      <c r="R47" s="59">
        <f t="shared" si="0"/>
        <v>601.98772676473209</v>
      </c>
      <c r="S47" s="59">
        <f ca="1">AVERAGE(OFFSET($R$3,0,0,'Données projet'!$E$9+1,1))-AVERAGE(OFFSET($H$3,0,0,'Données projet'!$E$9+1,1))</f>
        <v>543.67050511722618</v>
      </c>
      <c r="T47" s="59">
        <f t="shared" si="34"/>
        <v>249.0871389941106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10.110000000000001</v>
      </c>
      <c r="AI47" s="13">
        <f>IF('Données projet'!$A$62&gt;35,AI46+AH47-AQ46,IF(A47&lt;'Données projet'!$A$62,$AF$205^A47,IF(A47='Données projet'!$A$62,'Données projet'!$B$62,AI46+AH47-AQ46)))</f>
        <v>147.67000000000013</v>
      </c>
      <c r="AJ47" s="13">
        <f>AI47*VLOOKUP('Données projet'!$B$10,Paramètres!$A$1:$I$89,3,0)*VLOOKUP('Données projet'!$B$10,Paramètres!$A$1:$I$89,5,0)</f>
        <v>133.61181600000012</v>
      </c>
      <c r="AK47" s="13">
        <f t="shared" si="35"/>
        <v>34.829608206917271</v>
      </c>
      <c r="AL47" s="20">
        <f t="shared" si="4"/>
        <v>293.36881382704775</v>
      </c>
      <c r="AM47" s="59">
        <f t="shared" si="5"/>
        <v>586.70214716038106</v>
      </c>
      <c r="AN47" s="59">
        <f ca="1">AVERAGE(OFFSET($AM$3,0,0,'Données projet'!$E$10+1,1))-AVERAGE(OFFSET($H$3,0,0,'Données projet'!$E$10+1,1))</f>
        <v>635.71275911100679</v>
      </c>
      <c r="AO47" s="59">
        <f t="shared" si="36"/>
        <v>281.7776857269169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14.431782710262945</v>
      </c>
      <c r="AW47" s="21">
        <f>EXP(-LN(2)/2)*AW46+(1-EXP(-LN(2)/2))/(LN(2)/2)*AQ47*AT47*VLOOKUP('Données projet'!$B$10,Paramètres!$A$1:$I$89,3,0)*0.475*44/12</f>
        <v>3.7998327310428874</v>
      </c>
      <c r="AX47" s="21">
        <f t="shared" si="6"/>
        <v>18.231615441305834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4.1025641025641022</v>
      </c>
      <c r="BD47" s="12">
        <f>IF('Données projet'!$A$88&gt;35,BD46+BC47-BL46,IF(A47&lt;'Données projet'!$A$88,$BA$205^A47,IF(A47='Données projet'!$A$88,'Données projet'!$B$88,BD46+BC47-BL46)))</f>
        <v>99.743589743589752</v>
      </c>
      <c r="BE47" s="13">
        <f>BD47*VLOOKUP('Données projet'!$B$11,Paramètres!$A$1:$I$89,3,0)*VLOOKUP('Données projet'!$B$11,Paramètres!$A$1:$I$89,5,0)</f>
        <v>87.13600000000001</v>
      </c>
      <c r="BF47" s="13">
        <f t="shared" si="37"/>
        <v>23.873202484658083</v>
      </c>
      <c r="BG47" s="20">
        <f t="shared" si="7"/>
        <v>193.34102766077947</v>
      </c>
      <c r="BH47" s="59">
        <f t="shared" si="8"/>
        <v>486.67436099411282</v>
      </c>
      <c r="BI47" s="59">
        <f ca="1">AVERAGE(OFFSET($BH$3,0,0,'Données projet'!$E$11+1,1))-AVERAGE(OFFSET($H$3,0,0,'Données projet'!$E$11+1,1))</f>
        <v>204.11804238362862</v>
      </c>
      <c r="BJ47" s="59">
        <f t="shared" si="38"/>
        <v>185.53854651509408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9.70139858052314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9.70139858052314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3.15468085106383</v>
      </c>
      <c r="BY47" s="12">
        <f>IF('Données projet'!$A$114&gt;35,BY46+BX47-CG46,IF(A47&lt;'Données projet'!$A$114,$BV$205^A47,IF(A47='Données projet'!$A$114,'Données projet'!$B$114,BY46+BX47-CG46)))</f>
        <v>138.80595744680852</v>
      </c>
      <c r="BZ47" s="13">
        <f>BY47*VLOOKUP('Données projet'!$B$12,Paramètres!$A$1:$I$89,3,0)*VLOOKUP('Données projet'!$B$12,Paramètres!$A$1:$I$89,5,0)</f>
        <v>138.58386791489363</v>
      </c>
      <c r="CA47" s="13">
        <f t="shared" si="39"/>
        <v>35.972397811766669</v>
      </c>
      <c r="CB47" s="20">
        <f t="shared" si="10"/>
        <v>304.01882947393329</v>
      </c>
      <c r="CC47" s="59">
        <f t="shared" si="11"/>
        <v>597.35216280726661</v>
      </c>
      <c r="CD47" s="59">
        <f ca="1">AVERAGE(OFFSET($CC$3,0,0,'Données projet'!$E$12+1,1))-AVERAGE(OFFSET($H$3,0,0,'Données projet'!$E$12+1,1))</f>
        <v>535.99935263833549</v>
      </c>
      <c r="CE47" s="59">
        <f t="shared" si="40"/>
        <v>245.89966477332644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9.8128571428571423</v>
      </c>
      <c r="CT47" s="12">
        <f>IF('Données projet'!$A$140&gt;35,CT46+CS47-DB46,IF(A47&lt;'Données projet'!$A$140,$CQ$205^A47,IF(A47='Données projet'!$A$140,'Données projet'!$B$140,CT46+CS47-DB46)))</f>
        <v>139.93714285714287</v>
      </c>
      <c r="CU47" s="17">
        <f>CT47*VLOOKUP('Données projet'!$B$13,Paramètres!$A$1:$I$89,3,0)*VLOOKUP('Données projet'!$B$13,Paramètres!$A$1:$I$89,5,0)</f>
        <v>133.16418514285718</v>
      </c>
      <c r="CV47" s="13">
        <f t="shared" si="41"/>
        <v>34.726483144583192</v>
      </c>
      <c r="CW47" s="20">
        <f t="shared" si="13"/>
        <v>292.4095806006253</v>
      </c>
      <c r="CX47" s="59">
        <f t="shared" si="14"/>
        <v>585.74291393395856</v>
      </c>
      <c r="CY47" s="59">
        <f ca="1">AVERAGE(OFFSET($CX$3,0,0,'Données projet'!$E$13+1,1))-AVERAGE(OFFSET($H$3,0,0,'Données projet'!$E$13+1,1))</f>
        <v>449.28947235329758</v>
      </c>
      <c r="CZ47" s="59">
        <f t="shared" si="42"/>
        <v>289.36994109443964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6.8262229426417287</v>
      </c>
      <c r="DH47" s="21">
        <f>EXP(-LN(2)/2)*DH46+(1-EXP(-LN(2)/2))/(LN(2)/2)*DB47*DE47*VLOOKUP('Données projet'!$B$13,Paramètres!$A$1:$I$89,3,0)*0.475*44/12</f>
        <v>2.0081204802636741</v>
      </c>
      <c r="DI47" s="22">
        <f t="shared" si="15"/>
        <v>8.8343434229054019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>
        <f>VLOOKUP(A47,'Données projet'!$A$165:$I$185,2,0)</f>
        <v>230</v>
      </c>
      <c r="DM47" s="12">
        <f>VLOOKUP(A47,'Données projet'!$A$165:$I$185,9,0)</f>
        <v>11.142857142857142</v>
      </c>
      <c r="DN47" s="12">
        <f t="array" ref="DN47">INDEX(DM:DM,MIN(IF(ISNUMBER(DM47:DM243),ROW(DM47:DM243),"")))</f>
        <v>11.142857142857142</v>
      </c>
      <c r="DO47" s="12">
        <f>IF('Données projet'!$A$166&gt;35,DO46+DN47-DW46,IF(A47&lt;'Données projet'!$A$166,$DL$205^A47,IF(A47='Données projet'!$A$166,'Données projet'!$B$166,DO46+DN47-DW46)))</f>
        <v>229.99999999999991</v>
      </c>
      <c r="DP47" s="17">
        <f>DO47*VLOOKUP('Données projet'!$B$14,Paramètres!$A$1:$I$89,3,0)*VLOOKUP('Données projet'!$B$14,Paramètres!$A$1:$I$89,5,0)</f>
        <v>179.39999999999995</v>
      </c>
      <c r="DQ47" s="13">
        <f t="shared" si="43"/>
        <v>45.188671291872232</v>
      </c>
      <c r="DR47" s="20">
        <f t="shared" si="16"/>
        <v>391.15860250001066</v>
      </c>
      <c r="DS47" s="59">
        <f t="shared" si="17"/>
        <v>684.49193583334397</v>
      </c>
      <c r="DT47" s="59">
        <f ca="1">AVERAGE(OFFSET($DS$3,0,0,'Données projet'!$E$14+1,1))-AVERAGE(OFFSET($H$3,0,0,'Données projet'!$E$14+1,1))</f>
        <v>288.82868507674738</v>
      </c>
      <c r="DU47" s="59">
        <f t="shared" si="44"/>
        <v>283.48738729114024</v>
      </c>
      <c r="DV47" s="15">
        <f>IF(ISNA(VLOOKUP(A47,'Données projet'!$A$165:$I$185,3,0)),0,VLOOKUP(A47,'Données projet'!$A$165:$I$185,3,0))</f>
        <v>6</v>
      </c>
      <c r="DW47" s="15">
        <f>IF(ISNA(VLOOKUP(A47,'Données projet'!$A$165:$I$185,4,0)),0,VLOOKUP(A47,'Données projet'!$A$165:$I$185,4,0))</f>
        <v>43</v>
      </c>
      <c r="DX47" s="16">
        <f>IF(ISNA(VLOOKUP(A47,'Données projet'!$A$165:$I$185,5,0)),0%,VLOOKUP(A47,'Données projet'!$A$165:$I$185,5,0)*VLOOKUP('Données projet'!$B$14,Paramètres!$A$1:$I$89,7,0))</f>
        <v>0.1075</v>
      </c>
      <c r="DY47" s="16">
        <f>IF(ISNA(VLOOKUP(A47,'Données projet'!$A$165:$I$185,6,0)),0%,VLOOKUP(A47,'Données projet'!$A$165:$I$185,6,0)*VLOOKUP('Données projet'!$B$14,Paramètres!$A$1:$I$89,7,0))</f>
        <v>0.1075</v>
      </c>
      <c r="DZ47" s="16">
        <f>IF(ISNA(VLOOKUP(A47,'Données projet'!$A$165:$I$185,7,0)),0%,VLOOKUP(A47,'Données projet'!$A$165:$I$185,7,0))</f>
        <v>0.25</v>
      </c>
      <c r="EA47" s="21">
        <f>EXP(-LN(2)/35)*EA46+(1-EXP(-LN(2)/35))/(LN(2)/35)*DW47*DX47*VLOOKUP('Données projet'!$B$14,Paramètres!$A$1:$I$89,3,0)*0.475*44/12</f>
        <v>9.4703680189175241</v>
      </c>
      <c r="EB47" s="21">
        <f>EXP(-LN(2)/25)*EB46+(1-EXP(-LN(2)/25))/(LN(2)/25)*Calculateur!DW47*Calculateur!DY47*VLOOKUP('Données projet'!$B$14,Paramètres!$A$1:$I$89,3,0)*0.475*44/12</f>
        <v>11.808106993206977</v>
      </c>
      <c r="EC47" s="21">
        <f>EXP(-LN(2)/2)*EC46+(1-EXP(-LN(2)/2))/(LN(2)/2)*DW47*DZ47*VLOOKUP('Données projet'!$B$14,Paramètres!$A$1:$I$89,3,0)*0.475*44/12</f>
        <v>8.5781067706277199</v>
      </c>
      <c r="ED47" s="22">
        <f t="shared" si="18"/>
        <v>29.856581782752222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3.3603333333333336</v>
      </c>
      <c r="EJ47" s="12">
        <f>IF('Données projet'!$A$192&gt;35,EJ46+EI47-ER46,IF(A47&lt;'Données projet'!$A$192,$EG$205^A47,IF(A47='Données projet'!$A$192,'Données projet'!$B$192,EJ46+EI47-ER46)))</f>
        <v>147.85466666666662</v>
      </c>
      <c r="EK47" s="17">
        <f>EJ47*VLOOKUP('Données projet'!$B$15,Paramètres!$A$1:$I$89,3,0)*VLOOKUP('Données projet'!$B$15,Paramètres!$A$1:$I$89,5,0)</f>
        <v>143.00503359999996</v>
      </c>
      <c r="EL47" s="13">
        <f t="shared" si="45"/>
        <v>36.984563299617569</v>
      </c>
      <c r="EM47" s="20">
        <f t="shared" si="19"/>
        <v>313.48188126683385</v>
      </c>
      <c r="EN47" s="59">
        <f t="shared" si="20"/>
        <v>606.81521460016711</v>
      </c>
      <c r="EO47" s="59">
        <f ca="1">AVERAGE(OFFSET($EN$3,0,0,'Données projet'!$E$15+1,1))-AVERAGE(OFFSET($H$3,0,0,'Données projet'!$E$15+1,1))</f>
        <v>510.71380643466227</v>
      </c>
      <c r="EP47" s="59">
        <f t="shared" si="46"/>
        <v>252.40654099948841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3.15468085106383</v>
      </c>
      <c r="N48" s="13">
        <f>IF('Données projet'!$A$36&gt;35,N47+M48-V47,IF(A48&lt;'Données projet'!$A$36,$K$205^A48,IF(A48='Données projet'!$A$36,'Données projet'!$B$36,N47+M48-V47)))</f>
        <v>141.96063829787235</v>
      </c>
      <c r="O48" s="13">
        <f>N48*VLOOKUP('Données projet'!$B$9,Paramètres!$A$1:$I$89,3,0)*VLOOKUP('Données projet'!$B$9,Paramètres!$A$1:$I$89,5,0)</f>
        <v>143.94808723404259</v>
      </c>
      <c r="P48" s="13">
        <f t="shared" si="33"/>
        <v>37.199987734950618</v>
      </c>
      <c r="Q48" s="20">
        <f t="shared" si="53"/>
        <v>315.49956390432982</v>
      </c>
      <c r="R48" s="59">
        <f t="shared" si="0"/>
        <v>608.83289723766313</v>
      </c>
      <c r="S48" s="59">
        <f ca="1">AVERAGE(OFFSET($R$3,0,0,'Données projet'!$E$9+1,1))-AVERAGE(OFFSET($H$3,0,0,'Données projet'!$E$9+1,1))</f>
        <v>543.67050511722618</v>
      </c>
      <c r="T48" s="59">
        <f t="shared" si="34"/>
        <v>249.0871389941106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10.110000000000001</v>
      </c>
      <c r="AI48" s="13">
        <f>IF('Données projet'!$A$62&gt;35,AI47+AH48-AQ47,IF(A48&lt;'Données projet'!$A$62,$AF$205^A48,IF(A48='Données projet'!$A$62,'Données projet'!$B$62,AI47+AH48-AQ47)))</f>
        <v>157.78000000000014</v>
      </c>
      <c r="AJ48" s="13">
        <f>AI48*VLOOKUP('Données projet'!$B$10,Paramètres!$A$1:$I$89,3,0)*VLOOKUP('Données projet'!$B$10,Paramètres!$A$1:$I$89,5,0)</f>
        <v>142.75934400000011</v>
      </c>
      <c r="AK48" s="13">
        <f t="shared" si="35"/>
        <v>36.928412609012774</v>
      </c>
      <c r="AL48" s="20">
        <f t="shared" si="4"/>
        <v>312.95617609403075</v>
      </c>
      <c r="AM48" s="59">
        <f t="shared" si="5"/>
        <v>606.28950942736401</v>
      </c>
      <c r="AN48" s="59">
        <f ca="1">AVERAGE(OFFSET($AM$3,0,0,'Données projet'!$E$10+1,1))-AVERAGE(OFFSET($H$3,0,0,'Données projet'!$E$10+1,1))</f>
        <v>635.71275911100679</v>
      </c>
      <c r="AO48" s="59">
        <f t="shared" si="36"/>
        <v>281.7776857269169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14.037144853116336</v>
      </c>
      <c r="AW48" s="21">
        <f>EXP(-LN(2)/2)*AW47+(1-EXP(-LN(2)/2))/(LN(2)/2)*AQ48*AT48*VLOOKUP('Données projet'!$B$10,Paramètres!$A$1:$I$89,3,0)*0.475*44/12</f>
        <v>2.6868874914950243</v>
      </c>
      <c r="AX48" s="21">
        <f t="shared" si="6"/>
        <v>16.724032344611359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103.84615384615384</v>
      </c>
      <c r="BB48" s="12">
        <f>VLOOKUP(A48,'Données projet'!$A$87:$I$107,9,0)</f>
        <v>4.1025641025641022</v>
      </c>
      <c r="BC48" s="12">
        <f t="array" ref="BC48">INDEX(BB:BB,MIN(IF(ISNUMBER(BB48:BB244),ROW(BB48:BB244),"")))</f>
        <v>4.1025641025641022</v>
      </c>
      <c r="BD48" s="12">
        <f>IF('Données projet'!$A$88&gt;35,BD47+BC48-BL47,IF(A48&lt;'Données projet'!$A$88,$BA$205^A48,IF(A48='Données projet'!$A$88,'Données projet'!$B$88,BD47+BC48-BL47)))</f>
        <v>103.84615384615385</v>
      </c>
      <c r="BE48" s="13">
        <f>BD48*VLOOKUP('Données projet'!$B$11,Paramètres!$A$1:$I$89,3,0)*VLOOKUP('Données projet'!$B$11,Paramètres!$A$1:$I$89,5,0)</f>
        <v>90.720000000000013</v>
      </c>
      <c r="BF48" s="13">
        <f t="shared" si="37"/>
        <v>24.738791046142097</v>
      </c>
      <c r="BG48" s="20">
        <f t="shared" si="7"/>
        <v>201.09072773869752</v>
      </c>
      <c r="BH48" s="59">
        <f t="shared" si="8"/>
        <v>494.42406107203084</v>
      </c>
      <c r="BI48" s="59">
        <f ca="1">AVERAGE(OFFSET($BH$3,0,0,'Données projet'!$E$11+1,1))-AVERAGE(OFFSET($H$3,0,0,'Données projet'!$E$11+1,1))</f>
        <v>204.11804238362862</v>
      </c>
      <c r="BJ48" s="59">
        <f t="shared" si="38"/>
        <v>185.53854651509408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12.179487179487179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0.215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11.955030225711036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11.955030225711036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3.15468085106383</v>
      </c>
      <c r="BY48" s="12">
        <f>IF('Données projet'!$A$114&gt;35,BY47+BX48-CG47,IF(A48&lt;'Données projet'!$A$114,$BV$205^A48,IF(A48='Données projet'!$A$114,'Données projet'!$B$114,BY47+BX48-CG47)))</f>
        <v>141.96063829787235</v>
      </c>
      <c r="BZ48" s="13">
        <f>BY48*VLOOKUP('Données projet'!$B$12,Paramètres!$A$1:$I$89,3,0)*VLOOKUP('Données projet'!$B$12,Paramètres!$A$1:$I$89,5,0)</f>
        <v>141.73350127659577</v>
      </c>
      <c r="CA48" s="13">
        <f t="shared" si="39"/>
        <v>36.693841423321516</v>
      </c>
      <c r="CB48" s="20">
        <f t="shared" si="10"/>
        <v>310.76095520235594</v>
      </c>
      <c r="CC48" s="59">
        <f t="shared" si="11"/>
        <v>604.0942885356892</v>
      </c>
      <c r="CD48" s="59">
        <f ca="1">AVERAGE(OFFSET($CC$3,0,0,'Données projet'!$E$12+1,1))-AVERAGE(OFFSET($H$3,0,0,'Données projet'!$E$12+1,1))</f>
        <v>535.99935263833549</v>
      </c>
      <c r="CE48" s="59">
        <f t="shared" si="40"/>
        <v>245.89966477332644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149.75</v>
      </c>
      <c r="CR48" s="12">
        <f>VLOOKUP(A48,'Données projet'!$A$139:$I$159,9,0)</f>
        <v>9.8128571428571423</v>
      </c>
      <c r="CS48" s="12">
        <f t="array" ref="CS48">INDEX(CR:CR,MIN(IF(ISNUMBER(CR48:CR244),ROW(CR48:CR244),"")))</f>
        <v>9.8128571428571423</v>
      </c>
      <c r="CT48" s="12">
        <f>IF('Données projet'!$A$140&gt;35,CT47+CS48-DB47,IF(A48&lt;'Données projet'!$A$140,$CQ$205^A48,IF(A48='Données projet'!$A$140,'Données projet'!$B$140,CT47+CS48-DB47)))</f>
        <v>149.75000000000003</v>
      </c>
      <c r="CU48" s="17">
        <f>CT48*VLOOKUP('Données projet'!$B$13,Paramètres!$A$1:$I$89,3,0)*VLOOKUP('Données projet'!$B$13,Paramètres!$A$1:$I$89,5,0)</f>
        <v>142.50210000000001</v>
      </c>
      <c r="CV48" s="13">
        <f t="shared" si="41"/>
        <v>36.869609182810613</v>
      </c>
      <c r="CW48" s="20">
        <f t="shared" si="13"/>
        <v>312.40572682672854</v>
      </c>
      <c r="CX48" s="59">
        <f t="shared" si="14"/>
        <v>605.73906016006185</v>
      </c>
      <c r="CY48" s="59">
        <f ca="1">AVERAGE(OFFSET($CX$3,0,0,'Données projet'!$E$13+1,1))-AVERAGE(OFFSET($H$3,0,0,'Données projet'!$E$13+1,1))</f>
        <v>449.28947235329758</v>
      </c>
      <c r="CZ48" s="59">
        <f t="shared" si="42"/>
        <v>289.36994109443964</v>
      </c>
      <c r="DA48" s="15">
        <f>IF(ISNA(VLOOKUP(A48,'Données projet'!$A$139:$I$159,3,0)),0,VLOOKUP(A48,'Données projet'!$A$139:$I$159,3,0))</f>
        <v>2</v>
      </c>
      <c r="DB48" s="15">
        <f>IF(ISNA(VLOOKUP(A48,'Données projet'!$A$139:$I$159,4,0)),0,VLOOKUP(A48,'Données projet'!$A$139:$I$159,4,0))</f>
        <v>41.69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0.1075</v>
      </c>
      <c r="DE48" s="16">
        <f>IF(ISNA(VLOOKUP(A48,'Données projet'!$A$139:$I$159,7,0)),0%,VLOOKUP(A48,'Données projet'!$A$139:$I$159,7,0))</f>
        <v>0.25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11.335564456109097</v>
      </c>
      <c r="DH48" s="21">
        <f>EXP(-LN(2)/2)*DH47+(1-EXP(-LN(2)/2))/(LN(2)/2)*DB48*DE48*VLOOKUP('Données projet'!$B$13,Paramètres!$A$1:$I$89,3,0)*0.475*44/12</f>
        <v>10.777903667962914</v>
      </c>
      <c r="DI48" s="22">
        <f t="shared" si="15"/>
        <v>22.113468124072011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10.375</v>
      </c>
      <c r="DO48" s="12">
        <f>IF('Données projet'!$A$166&gt;35,DO47+DN48-DW47,IF(A48&lt;'Données projet'!$A$166,$DL$205^A48,IF(A48='Données projet'!$A$166,'Données projet'!$B$166,DO47+DN48-DW47)))</f>
        <v>197.37499999999991</v>
      </c>
      <c r="DP48" s="17">
        <f>DO48*VLOOKUP('Données projet'!$B$14,Paramètres!$A$1:$I$89,3,0)*VLOOKUP('Données projet'!$B$14,Paramètres!$A$1:$I$89,5,0)</f>
        <v>153.95249999999993</v>
      </c>
      <c r="DQ48" s="13">
        <f t="shared" si="43"/>
        <v>39.475441267837361</v>
      </c>
      <c r="DR48" s="20">
        <f t="shared" si="16"/>
        <v>336.88699770814992</v>
      </c>
      <c r="DS48" s="59">
        <f t="shared" si="17"/>
        <v>630.22033104148318</v>
      </c>
      <c r="DT48" s="59">
        <f ca="1">AVERAGE(OFFSET($DS$3,0,0,'Données projet'!$E$14+1,1))-AVERAGE(OFFSET($H$3,0,0,'Données projet'!$E$14+1,1))</f>
        <v>288.82868507674738</v>
      </c>
      <c r="DU48" s="59">
        <f t="shared" si="44"/>
        <v>283.48738729114024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9.2846598784206762</v>
      </c>
      <c r="EB48" s="21">
        <f>EXP(-LN(2)/25)*EB47+(1-EXP(-LN(2)/25))/(LN(2)/25)*Calculateur!DW48*Calculateur!DY48*VLOOKUP('Données projet'!$B$14,Paramètres!$A$1:$I$89,3,0)*0.475*44/12</f>
        <v>11.485213686516373</v>
      </c>
      <c r="EC48" s="21">
        <f>EXP(-LN(2)/2)*EC47+(1-EXP(-LN(2)/2))/(LN(2)/2)*DW48*DZ48*VLOOKUP('Données projet'!$B$14,Paramètres!$A$1:$I$89,3,0)*0.475*44/12</f>
        <v>6.0656374672530973</v>
      </c>
      <c r="ED48" s="22">
        <f t="shared" si="18"/>
        <v>26.835511032190148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3.3603333333333336</v>
      </c>
      <c r="EJ48" s="12">
        <f>IF('Données projet'!$A$192&gt;35,EJ47+EI48-ER47,IF(A48&lt;'Données projet'!$A$192,$EG$205^A48,IF(A48='Données projet'!$A$192,'Données projet'!$B$192,EJ47+EI48-ER47)))</f>
        <v>151.21499999999995</v>
      </c>
      <c r="EK48" s="17">
        <f>EJ48*VLOOKUP('Données projet'!$B$15,Paramètres!$A$1:$I$89,3,0)*VLOOKUP('Données projet'!$B$15,Paramètres!$A$1:$I$89,5,0)</f>
        <v>146.25514799999996</v>
      </c>
      <c r="EL48" s="13">
        <f t="shared" si="45"/>
        <v>37.726306373245144</v>
      </c>
      <c r="EM48" s="20">
        <f t="shared" si="19"/>
        <v>320.43436636673522</v>
      </c>
      <c r="EN48" s="59">
        <f t="shared" si="20"/>
        <v>613.76769970006853</v>
      </c>
      <c r="EO48" s="59">
        <f ca="1">AVERAGE(OFFSET($EN$3,0,0,'Données projet'!$E$15+1,1))-AVERAGE(OFFSET($H$3,0,0,'Données projet'!$E$15+1,1))</f>
        <v>510.71380643466227</v>
      </c>
      <c r="EP48" s="59">
        <f t="shared" si="46"/>
        <v>252.40654099948841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3.15468085106383</v>
      </c>
      <c r="N49" s="13">
        <f>IF('Données projet'!$A$36&gt;35,N48+M49-V48,IF(A49&lt;'Données projet'!$A$36,$K$205^A49,IF(A49='Données projet'!$A$36,'Données projet'!$B$36,N48+M49-V48)))</f>
        <v>145.11531914893618</v>
      </c>
      <c r="O49" s="13">
        <f>N49*VLOOKUP('Données projet'!$B$9,Paramètres!$A$1:$I$89,3,0)*VLOOKUP('Données projet'!$B$9,Paramètres!$A$1:$I$89,5,0)</f>
        <v>147.14693361702132</v>
      </c>
      <c r="P49" s="13">
        <f t="shared" si="33"/>
        <v>37.929493177010883</v>
      </c>
      <c r="Q49" s="20">
        <f t="shared" si="53"/>
        <v>322.34144333293938</v>
      </c>
      <c r="R49" s="59">
        <f t="shared" si="0"/>
        <v>615.67477666627269</v>
      </c>
      <c r="S49" s="59">
        <f ca="1">AVERAGE(OFFSET($R$3,0,0,'Données projet'!$E$9+1,1))-AVERAGE(OFFSET($H$3,0,0,'Données projet'!$E$9+1,1))</f>
        <v>543.67050511722618</v>
      </c>
      <c r="T49" s="59">
        <f t="shared" si="34"/>
        <v>249.0871389941106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10.110000000000001</v>
      </c>
      <c r="AI49" s="13">
        <f>IF('Données projet'!$A$62&gt;35,AI48+AH49-AQ48,IF(A49&lt;'Données projet'!$A$62,$AF$205^A49,IF(A49='Données projet'!$A$62,'Données projet'!$B$62,AI48+AH49-AQ48)))</f>
        <v>167.89000000000016</v>
      </c>
      <c r="AJ49" s="13">
        <f>AI49*VLOOKUP('Données projet'!$B$10,Paramètres!$A$1:$I$89,3,0)*VLOOKUP('Données projet'!$B$10,Paramètres!$A$1:$I$89,5,0)</f>
        <v>151.90687200000013</v>
      </c>
      <c r="AK49" s="13">
        <f t="shared" si="35"/>
        <v>39.011610015763097</v>
      </c>
      <c r="AL49" s="20">
        <f t="shared" si="4"/>
        <v>332.51635617745427</v>
      </c>
      <c r="AM49" s="59">
        <f t="shared" si="5"/>
        <v>625.84968951078758</v>
      </c>
      <c r="AN49" s="59">
        <f ca="1">AVERAGE(OFFSET($AM$3,0,0,'Données projet'!$E$10+1,1))-AVERAGE(OFFSET($H$3,0,0,'Données projet'!$E$10+1,1))</f>
        <v>635.71275911100679</v>
      </c>
      <c r="AO49" s="59">
        <f t="shared" si="36"/>
        <v>281.7776857269169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13.653298388926505</v>
      </c>
      <c r="AW49" s="21">
        <f>EXP(-LN(2)/2)*AW48+(1-EXP(-LN(2)/2))/(LN(2)/2)*AQ49*AT49*VLOOKUP('Données projet'!$B$10,Paramètres!$A$1:$I$89,3,0)*0.475*44/12</f>
        <v>1.8999163655214437</v>
      </c>
      <c r="AX49" s="21">
        <f t="shared" si="6"/>
        <v>15.553214754447948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3.8461538461538454</v>
      </c>
      <c r="BD49" s="12">
        <f>IF('Données projet'!$A$88&gt;35,BD48+BC49-BL48,IF(A49&lt;'Données projet'!$A$88,$BA$205^A49,IF(A49='Données projet'!$A$88,'Données projet'!$B$88,BD48+BC49-BL48)))</f>
        <v>95.512820512820511</v>
      </c>
      <c r="BE49" s="13">
        <f>BD49*VLOOKUP('Données projet'!$B$11,Paramètres!$A$1:$I$89,3,0)*VLOOKUP('Données projet'!$B$11,Paramètres!$A$1:$I$89,5,0)</f>
        <v>83.440000000000012</v>
      </c>
      <c r="BF49" s="13">
        <f t="shared" si="37"/>
        <v>22.976210016812125</v>
      </c>
      <c r="BG49" s="20">
        <f t="shared" si="7"/>
        <v>185.34156577928113</v>
      </c>
      <c r="BH49" s="59">
        <f t="shared" si="8"/>
        <v>478.67489911261441</v>
      </c>
      <c r="BI49" s="59">
        <f ca="1">AVERAGE(OFFSET($BH$3,0,0,'Données projet'!$E$11+1,1))-AVERAGE(OFFSET($H$3,0,0,'Données projet'!$E$11+1,1))</f>
        <v>204.11804238362862</v>
      </c>
      <c r="BJ49" s="59">
        <f t="shared" si="38"/>
        <v>185.53854651509408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11.628119295501252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11.628119295501252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3.15468085106383</v>
      </c>
      <c r="BY49" s="12">
        <f>IF('Données projet'!$A$114&gt;35,BY48+BX49-CG48,IF(A49&lt;'Données projet'!$A$114,$BV$205^A49,IF(A49='Données projet'!$A$114,'Données projet'!$B$114,BY48+BX49-CG48)))</f>
        <v>145.11531914893618</v>
      </c>
      <c r="BZ49" s="13">
        <f>BY49*VLOOKUP('Données projet'!$B$12,Paramètres!$A$1:$I$89,3,0)*VLOOKUP('Données projet'!$B$12,Paramètres!$A$1:$I$89,5,0)</f>
        <v>144.88313463829789</v>
      </c>
      <c r="CA49" s="13">
        <f t="shared" si="39"/>
        <v>37.413421150044336</v>
      </c>
      <c r="CB49" s="20">
        <f t="shared" si="10"/>
        <v>317.49983466469604</v>
      </c>
      <c r="CC49" s="59">
        <f t="shared" si="11"/>
        <v>610.83316799802935</v>
      </c>
      <c r="CD49" s="59">
        <f ca="1">AVERAGE(OFFSET($CC$3,0,0,'Données projet'!$E$12+1,1))-AVERAGE(OFFSET($H$3,0,0,'Données projet'!$E$12+1,1))</f>
        <v>535.99935263833549</v>
      </c>
      <c r="CE49" s="59">
        <f t="shared" si="40"/>
        <v>245.89966477332644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10.001428571428571</v>
      </c>
      <c r="CT49" s="12">
        <f>IF('Données projet'!$A$140&gt;35,CT48+CS49-DB48,IF(A49&lt;'Données projet'!$A$140,$CQ$205^A49,IF(A49='Données projet'!$A$140,'Données projet'!$B$140,CT48+CS49-DB48)))</f>
        <v>118.06142857142859</v>
      </c>
      <c r="CU49" s="17">
        <f>CT49*VLOOKUP('Données projet'!$B$13,Paramètres!$A$1:$I$89,3,0)*VLOOKUP('Données projet'!$B$13,Paramètres!$A$1:$I$89,5,0)</f>
        <v>112.34725542857144</v>
      </c>
      <c r="CV49" s="13">
        <f t="shared" si="41"/>
        <v>29.883334836157822</v>
      </c>
      <c r="CW49" s="20">
        <f t="shared" si="13"/>
        <v>247.71827804440349</v>
      </c>
      <c r="CX49" s="59">
        <f t="shared" si="14"/>
        <v>541.05161137773678</v>
      </c>
      <c r="CY49" s="59">
        <f ca="1">AVERAGE(OFFSET($CX$3,0,0,'Données projet'!$E$13+1,1))-AVERAGE(OFFSET($H$3,0,0,'Données projet'!$E$13+1,1))</f>
        <v>449.28947235329758</v>
      </c>
      <c r="CZ49" s="59">
        <f t="shared" si="42"/>
        <v>289.36994109443964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11.025592849945367</v>
      </c>
      <c r="DH49" s="21">
        <f>EXP(-LN(2)/2)*DH48+(1-EXP(-LN(2)/2))/(LN(2)/2)*DB49*DE49*VLOOKUP('Données projet'!$B$13,Paramètres!$A$1:$I$89,3,0)*0.475*44/12</f>
        <v>7.6211287705919402</v>
      </c>
      <c r="DI49" s="22">
        <f t="shared" si="15"/>
        <v>18.646721620537306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10.375</v>
      </c>
      <c r="DO49" s="12">
        <f>IF('Données projet'!$A$166&gt;35,DO48+DN49-DW48,IF(A49&lt;'Données projet'!$A$166,$DL$205^A49,IF(A49='Données projet'!$A$166,'Données projet'!$B$166,DO48+DN49-DW48)))</f>
        <v>207.74999999999991</v>
      </c>
      <c r="DP49" s="17">
        <f>DO49*VLOOKUP('Données projet'!$B$14,Paramètres!$A$1:$I$89,3,0)*VLOOKUP('Données projet'!$B$14,Paramètres!$A$1:$I$89,5,0)</f>
        <v>162.04499999999993</v>
      </c>
      <c r="DQ49" s="13">
        <f t="shared" si="43"/>
        <v>41.303429372463391</v>
      </c>
      <c r="DR49" s="20">
        <f t="shared" si="16"/>
        <v>354.16518115704025</v>
      </c>
      <c r="DS49" s="59">
        <f t="shared" si="17"/>
        <v>647.49851449037351</v>
      </c>
      <c r="DT49" s="59">
        <f ca="1">AVERAGE(OFFSET($DS$3,0,0,'Données projet'!$E$14+1,1))-AVERAGE(OFFSET($H$3,0,0,'Données projet'!$E$14+1,1))</f>
        <v>288.82868507674738</v>
      </c>
      <c r="DU49" s="59">
        <f t="shared" si="44"/>
        <v>283.48738729114024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9.1025933612881893</v>
      </c>
      <c r="EB49" s="21">
        <f>EXP(-LN(2)/25)*EB48+(1-EXP(-LN(2)/25))/(LN(2)/25)*Calculateur!DW49*Calculateur!DY49*VLOOKUP('Données projet'!$B$14,Paramètres!$A$1:$I$89,3,0)*0.475*44/12</f>
        <v>11.171149914277445</v>
      </c>
      <c r="EC49" s="21">
        <f>EXP(-LN(2)/2)*EC48+(1-EXP(-LN(2)/2))/(LN(2)/2)*DW49*DZ49*VLOOKUP('Données projet'!$B$14,Paramètres!$A$1:$I$89,3,0)*0.475*44/12</f>
        <v>4.2890533853138608</v>
      </c>
      <c r="ED49" s="22">
        <f t="shared" si="18"/>
        <v>24.562796660879496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3.3603333333333336</v>
      </c>
      <c r="EJ49" s="12">
        <f>IF('Données projet'!$A$192&gt;35,EJ48+EI49-ER48,IF(A49&lt;'Données projet'!$A$192,$EG$205^A49,IF(A49='Données projet'!$A$192,'Données projet'!$B$192,EJ48+EI49-ER48)))</f>
        <v>154.57533333333328</v>
      </c>
      <c r="EK49" s="17">
        <f>EJ49*VLOOKUP('Données projet'!$B$15,Paramètres!$A$1:$I$89,3,0)*VLOOKUP('Données projet'!$B$15,Paramètres!$A$1:$I$89,5,0)</f>
        <v>149.50526239999994</v>
      </c>
      <c r="EL49" s="13">
        <f t="shared" si="45"/>
        <v>38.466133117388303</v>
      </c>
      <c r="EM49" s="20">
        <f t="shared" si="19"/>
        <v>327.38351385945117</v>
      </c>
      <c r="EN49" s="59">
        <f t="shared" si="20"/>
        <v>620.71684719278448</v>
      </c>
      <c r="EO49" s="59">
        <f ca="1">AVERAGE(OFFSET($EN$3,0,0,'Données projet'!$E$15+1,1))-AVERAGE(OFFSET($H$3,0,0,'Données projet'!$E$15+1,1))</f>
        <v>510.71380643466227</v>
      </c>
      <c r="EP49" s="59">
        <f t="shared" si="46"/>
        <v>252.40654099948841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>
        <f>VLOOKUP(A50,'Données projet'!$A$35:$I$55,2,0)</f>
        <v>148.27000000000001</v>
      </c>
      <c r="L50" s="12">
        <f>VLOOKUP(A50,'Données projet'!$A$35:$I$55,9,0)</f>
        <v>3.15468085106383</v>
      </c>
      <c r="M50" s="12">
        <f t="array" ref="M50">INDEX(L:L,MIN(IF(ISNUMBER(L50:L246),ROW(L50:L246),"")))</f>
        <v>3.15468085106383</v>
      </c>
      <c r="N50" s="13">
        <f>IF('Données projet'!$A$36&gt;35,N49+M50-V49,IF(A50&lt;'Données projet'!$A$36,$K$205^A50,IF(A50='Données projet'!$A$36,'Données projet'!$B$36,N49+M50-V49)))</f>
        <v>148.27000000000001</v>
      </c>
      <c r="O50" s="13">
        <f>N50*VLOOKUP('Données projet'!$B$9,Paramètres!$A$1:$I$89,3,0)*VLOOKUP('Données projet'!$B$9,Paramètres!$A$1:$I$89,5,0)</f>
        <v>150.34578000000002</v>
      </c>
      <c r="P50" s="13">
        <f t="shared" si="33"/>
        <v>38.657154833204757</v>
      </c>
      <c r="Q50" s="20">
        <f t="shared" si="53"/>
        <v>329.18011150116502</v>
      </c>
      <c r="R50" s="59">
        <f t="shared" si="0"/>
        <v>622.51344483449839</v>
      </c>
      <c r="S50" s="59">
        <f ca="1">AVERAGE(OFFSET($R$3,0,0,'Données projet'!$E$9+1,1))-AVERAGE(OFFSET($H$3,0,0,'Données projet'!$E$9+1,1))</f>
        <v>543.67050511722618</v>
      </c>
      <c r="T50" s="59">
        <f t="shared" si="34"/>
        <v>249.0871389941106</v>
      </c>
      <c r="U50" s="15">
        <f>IF(ISNA(VLOOKUP(A50,'Données projet'!$A$35:$I$55,3,0)),0,VLOOKUP(A50,'Données projet'!$A$35:$I$55,3,0))</f>
        <v>1</v>
      </c>
      <c r="V50" s="15">
        <f>IF(ISNA(VLOOKUP(A50,'Données projet'!$A$35:$I$55,4,0)),0,VLOOKUP(A50,'Données projet'!$A$35:$I$55,4,0))</f>
        <v>54.050000000000011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0.34400000000000003</v>
      </c>
      <c r="Y50" s="16">
        <f>IF(ISNA(VLOOKUP(A50,'Données projet'!$A$35:$I$55,7,0)),0%,VLOOKUP(A50,'Données projet'!$A$35:$I$55,7,0))</f>
        <v>0.2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20.759928246373693</v>
      </c>
      <c r="AB50" s="21">
        <f>EXP(-LN(2)/2)*AB49+(1-EXP(-LN(2)/2))/(LN(2)/2)*V50*Y50*VLOOKUP('Données projet'!$B$9,Paramètres!$A$1:$I$89,3,0)*0.475*44/12</f>
        <v>10.342319310140626</v>
      </c>
      <c r="AC50" s="22">
        <f t="shared" si="3"/>
        <v>31.102247556514321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10.110000000000001</v>
      </c>
      <c r="AI50" s="13">
        <f>IF('Données projet'!$A$62&gt;35,AI49+AH50-AQ49,IF(A50&lt;'Données projet'!$A$62,$AF$205^A50,IF(A50='Données projet'!$A$62,'Données projet'!$B$62,AI49+AH50-AQ49)))</f>
        <v>178.00000000000017</v>
      </c>
      <c r="AJ50" s="13">
        <f>AI50*VLOOKUP('Données projet'!$B$10,Paramètres!$A$1:$I$89,3,0)*VLOOKUP('Données projet'!$B$10,Paramètres!$A$1:$I$89,5,0)</f>
        <v>161.05440000000016</v>
      </c>
      <c r="AK50" s="13">
        <f t="shared" si="35"/>
        <v>41.080247278685491</v>
      </c>
      <c r="AL50" s="20">
        <f t="shared" si="4"/>
        <v>352.05117734371078</v>
      </c>
      <c r="AM50" s="59">
        <f t="shared" si="5"/>
        <v>645.38451067704409</v>
      </c>
      <c r="AN50" s="59">
        <f ca="1">AVERAGE(OFFSET($AM$3,0,0,'Données projet'!$E$10+1,1))-AVERAGE(OFFSET($H$3,0,0,'Données projet'!$E$10+1,1))</f>
        <v>635.71275911100679</v>
      </c>
      <c r="AO50" s="59">
        <f t="shared" si="36"/>
        <v>281.7776857269169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13.279948226485553</v>
      </c>
      <c r="AW50" s="21">
        <f>EXP(-LN(2)/2)*AW49+(1-EXP(-LN(2)/2))/(LN(2)/2)*AQ50*AT50*VLOOKUP('Données projet'!$B$10,Paramètres!$A$1:$I$89,3,0)*0.475*44/12</f>
        <v>1.3434437457475121</v>
      </c>
      <c r="AX50" s="21">
        <f t="shared" si="6"/>
        <v>14.623391972233065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3.8461538461538454</v>
      </c>
      <c r="BD50" s="12">
        <f>IF('Données projet'!$A$88&gt;35,BD49+BC50-BL49,IF(A50&lt;'Données projet'!$A$88,$BA$205^A50,IF(A50='Données projet'!$A$88,'Données projet'!$B$88,BD49+BC50-BL49)))</f>
        <v>99.358974358974351</v>
      </c>
      <c r="BE50" s="13">
        <f>BD50*VLOOKUP('Données projet'!$B$11,Paramètres!$A$1:$I$89,3,0)*VLOOKUP('Données projet'!$B$11,Paramètres!$A$1:$I$89,5,0)</f>
        <v>86.800000000000011</v>
      </c>
      <c r="BF50" s="13">
        <f t="shared" si="37"/>
        <v>23.791843477385203</v>
      </c>
      <c r="BG50" s="20">
        <f t="shared" si="7"/>
        <v>192.61412738977924</v>
      </c>
      <c r="BH50" s="59">
        <f t="shared" si="8"/>
        <v>485.94746072311256</v>
      </c>
      <c r="BI50" s="59">
        <f ca="1">AVERAGE(OFFSET($BH$3,0,0,'Données projet'!$E$11+1,1))-AVERAGE(OFFSET($H$3,0,0,'Données projet'!$E$11+1,1))</f>
        <v>204.11804238362862</v>
      </c>
      <c r="BJ50" s="59">
        <f t="shared" si="38"/>
        <v>185.53854651509408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11.310147761869553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11.310147761869553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>
        <f>VLOOKUP(A50,'Données projet'!$A$113:$I$133,2,0)</f>
        <v>148.27000000000001</v>
      </c>
      <c r="BW50" s="12">
        <f>VLOOKUP(A50,'Données projet'!$A$113:$I$133,9,0)</f>
        <v>3.15468085106383</v>
      </c>
      <c r="BX50" s="12">
        <f t="array" ref="BX50">INDEX(BW:BW,MIN(IF(ISNUMBER(BW50:BW246),ROW(BW50:BW246),"")))</f>
        <v>3.15468085106383</v>
      </c>
      <c r="BY50" s="12">
        <f>IF('Données projet'!$A$114&gt;35,BY49+BX50-CG49,IF(A50&lt;'Données projet'!$A$114,$BV$205^A50,IF(A50='Données projet'!$A$114,'Données projet'!$B$114,BY49+BX50-CG49)))</f>
        <v>148.27000000000001</v>
      </c>
      <c r="BZ50" s="13">
        <f>BY50*VLOOKUP('Données projet'!$B$12,Paramètres!$A$1:$I$89,3,0)*VLOOKUP('Données projet'!$B$12,Paramètres!$A$1:$I$89,5,0)</f>
        <v>148.032768</v>
      </c>
      <c r="CA50" s="13">
        <f t="shared" si="39"/>
        <v>38.131182177613837</v>
      </c>
      <c r="CB50" s="20">
        <f t="shared" si="10"/>
        <v>324.23554655934407</v>
      </c>
      <c r="CC50" s="59">
        <f t="shared" si="11"/>
        <v>617.56887989267739</v>
      </c>
      <c r="CD50" s="59">
        <f ca="1">AVERAGE(OFFSET($CC$3,0,0,'Données projet'!$E$12+1,1))-AVERAGE(OFFSET($H$3,0,0,'Données projet'!$E$12+1,1))</f>
        <v>535.99935263833549</v>
      </c>
      <c r="CE50" s="59">
        <f t="shared" si="40"/>
        <v>245.89966477332644</v>
      </c>
      <c r="CF50" s="15">
        <f>IF(ISNA(VLOOKUP(A50,'Données projet'!$A$113:$I$133,3,0)),0,VLOOKUP(A50,'Données projet'!$A$113:$I$133,3,0))</f>
        <v>1</v>
      </c>
      <c r="CG50" s="15">
        <f>IF(ISNA(VLOOKUP(A50,'Données projet'!$A$113:$I$133,4,0)),0,VLOOKUP(A50,'Données projet'!$A$113:$I$133,4,0))</f>
        <v>54.050000000000011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0.1075</v>
      </c>
      <c r="CJ50" s="16">
        <f>IF(ISNA(VLOOKUP(A50,'Données projet'!$A$113:$I$133,7,0)),0%,VLOOKUP(A50,'Données projet'!$A$113:$I$133,7,0))</f>
        <v>0.25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6.3876702296534438</v>
      </c>
      <c r="CM50" s="21">
        <f>EXP(-LN(2)/2)*CM49+(1-EXP(-LN(2)/2))/(LN(2)/2)*CG50*CJ50*VLOOKUP('Données projet'!$B$12,Paramètres!$A$1:$I$89,3,0)*0.475*44/12</f>
        <v>12.729008381711543</v>
      </c>
      <c r="CN50" s="22">
        <f t="shared" si="12"/>
        <v>19.116678611364986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10.001428571428571</v>
      </c>
      <c r="CT50" s="12">
        <f>IF('Données projet'!$A$140&gt;35,CT49+CS50-DB49,IF(A50&lt;'Données projet'!$A$140,$CQ$205^A50,IF(A50='Données projet'!$A$140,'Données projet'!$B$140,CT49+CS50-DB49)))</f>
        <v>128.06285714285715</v>
      </c>
      <c r="CU50" s="17">
        <f>CT50*VLOOKUP('Données projet'!$B$13,Paramètres!$A$1:$I$89,3,0)*VLOOKUP('Données projet'!$B$13,Paramètres!$A$1:$I$89,5,0)</f>
        <v>121.86461485714287</v>
      </c>
      <c r="CV50" s="13">
        <f t="shared" si="41"/>
        <v>32.109499056362758</v>
      </c>
      <c r="CW50" s="20">
        <f t="shared" si="13"/>
        <v>268.17158173268894</v>
      </c>
      <c r="CX50" s="59">
        <f t="shared" si="14"/>
        <v>561.50491506602225</v>
      </c>
      <c r="CY50" s="59">
        <f ca="1">AVERAGE(OFFSET($CX$3,0,0,'Données projet'!$E$13+1,1))-AVERAGE(OFFSET($H$3,0,0,'Données projet'!$E$13+1,1))</f>
        <v>449.28947235329758</v>
      </c>
      <c r="CZ50" s="59">
        <f t="shared" si="42"/>
        <v>289.36994109443964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10.724097433652883</v>
      </c>
      <c r="DH50" s="21">
        <f>EXP(-LN(2)/2)*DH49+(1-EXP(-LN(2)/2))/(LN(2)/2)*DB50*DE50*VLOOKUP('Données projet'!$B$13,Paramètres!$A$1:$I$89,3,0)*0.475*44/12</f>
        <v>5.3889518339814577</v>
      </c>
      <c r="DI50" s="22">
        <f t="shared" si="15"/>
        <v>16.113049267634342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10.375</v>
      </c>
      <c r="DO50" s="12">
        <f>IF('Données projet'!$A$166&gt;35,DO49+DN50-DW49,IF(A50&lt;'Données projet'!$A$166,$DL$205^A50,IF(A50='Données projet'!$A$166,'Données projet'!$B$166,DO49+DN50-DW49)))</f>
        <v>218.12499999999991</v>
      </c>
      <c r="DP50" s="17">
        <f>DO50*VLOOKUP('Données projet'!$B$14,Paramètres!$A$1:$I$89,3,0)*VLOOKUP('Données projet'!$B$14,Paramètres!$A$1:$I$89,5,0)</f>
        <v>170.13749999999993</v>
      </c>
      <c r="DQ50" s="13">
        <f t="shared" si="43"/>
        <v>43.120817562072375</v>
      </c>
      <c r="DR50" s="20">
        <f t="shared" si="16"/>
        <v>371.42490308727588</v>
      </c>
      <c r="DS50" s="59">
        <f t="shared" si="17"/>
        <v>664.75823642060914</v>
      </c>
      <c r="DT50" s="59">
        <f ca="1">AVERAGE(OFFSET($DS$3,0,0,'Données projet'!$E$14+1,1))-AVERAGE(OFFSET($H$3,0,0,'Données projet'!$E$14+1,1))</f>
        <v>288.82868507674738</v>
      </c>
      <c r="DU50" s="59">
        <f t="shared" si="44"/>
        <v>283.48738729114024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8.9240970575070602</v>
      </c>
      <c r="EB50" s="21">
        <f>EXP(-LN(2)/25)*EB49+(1-EXP(-LN(2)/25))/(LN(2)/25)*Calculateur!DW50*Calculateur!DY50*VLOOKUP('Données projet'!$B$14,Paramètres!$A$1:$I$89,3,0)*0.475*44/12</f>
        <v>10.865674232406286</v>
      </c>
      <c r="EC50" s="21">
        <f>EXP(-LN(2)/2)*EC49+(1-EXP(-LN(2)/2))/(LN(2)/2)*DW50*DZ50*VLOOKUP('Données projet'!$B$14,Paramètres!$A$1:$I$89,3,0)*0.475*44/12</f>
        <v>3.0328187336265491</v>
      </c>
      <c r="ED50" s="22">
        <f t="shared" si="18"/>
        <v>22.822590023539895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3.3603333333333336</v>
      </c>
      <c r="EJ50" s="12">
        <f>IF('Données projet'!$A$192&gt;35,EJ49+EI50-ER49,IF(A50&lt;'Données projet'!$A$192,$EG$205^A50,IF(A50='Données projet'!$A$192,'Données projet'!$B$192,EJ49+EI50-ER49)))</f>
        <v>157.93566666666661</v>
      </c>
      <c r="EK50" s="17">
        <f>EJ50*VLOOKUP('Données projet'!$B$15,Paramètres!$A$1:$I$89,3,0)*VLOOKUP('Données projet'!$B$15,Paramètres!$A$1:$I$89,5,0)</f>
        <v>152.75537679999994</v>
      </c>
      <c r="EL50" s="13">
        <f t="shared" si="45"/>
        <v>39.204089989127873</v>
      </c>
      <c r="EM50" s="20">
        <f t="shared" si="19"/>
        <v>334.32940465773095</v>
      </c>
      <c r="EN50" s="59">
        <f t="shared" si="20"/>
        <v>627.6627379910642</v>
      </c>
      <c r="EO50" s="59">
        <f ca="1">AVERAGE(OFFSET($EN$3,0,0,'Données projet'!$E$15+1,1))-AVERAGE(OFFSET($H$3,0,0,'Données projet'!$E$15+1,1))</f>
        <v>510.71380643466227</v>
      </c>
      <c r="EP50" s="59">
        <f t="shared" si="46"/>
        <v>252.40654099948841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6.9862500000000018</v>
      </c>
      <c r="N51" s="13">
        <f>IF('Données projet'!$A$36&gt;35,N50+M51-V50,IF(A51&lt;'Données projet'!$A$36,$K$205^A51,IF(A51='Données projet'!$A$36,'Données projet'!$B$36,N50+M51-V50)))</f>
        <v>101.20625000000001</v>
      </c>
      <c r="O51" s="13">
        <f>N51*VLOOKUP('Données projet'!$B$9,Paramètres!$A$1:$I$89,3,0)*VLOOKUP('Données projet'!$B$9,Paramètres!$A$1:$I$89,5,0)</f>
        <v>102.62313750000001</v>
      </c>
      <c r="P51" s="13">
        <f t="shared" si="33"/>
        <v>27.585979017619184</v>
      </c>
      <c r="Q51" s="20">
        <f t="shared" si="53"/>
        <v>226.78087793485346</v>
      </c>
      <c r="R51" s="59">
        <f t="shared" si="0"/>
        <v>520.11421126818675</v>
      </c>
      <c r="S51" s="59">
        <f ca="1">AVERAGE(OFFSET($R$3,0,0,'Données projet'!$E$9+1,1))-AVERAGE(OFFSET($H$3,0,0,'Données projet'!$E$9+1,1))</f>
        <v>543.67050511722618</v>
      </c>
      <c r="T51" s="59">
        <f t="shared" si="34"/>
        <v>249.0871389941106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20.192246916759427</v>
      </c>
      <c r="AB51" s="21">
        <f>EXP(-LN(2)/2)*AB50+(1-EXP(-LN(2)/2))/(LN(2)/2)*V51*Y51*VLOOKUP('Données projet'!$B$9,Paramètres!$A$1:$I$89,3,0)*0.475*44/12</f>
        <v>7.3131241173970132</v>
      </c>
      <c r="AC51" s="22">
        <f t="shared" si="3"/>
        <v>27.50537103415644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10.110000000000001</v>
      </c>
      <c r="AI51" s="13">
        <f>IF('Données projet'!$A$62&gt;35,AI50+AH51-AQ50,IF(A51&lt;'Données projet'!$A$62,$AF$205^A51,IF(A51='Données projet'!$A$62,'Données projet'!$B$62,AI50+AH51-AQ50)))</f>
        <v>188.11000000000018</v>
      </c>
      <c r="AJ51" s="13">
        <f>AI51*VLOOKUP('Données projet'!$B$10,Paramètres!$A$1:$I$89,3,0)*VLOOKUP('Données projet'!$B$10,Paramètres!$A$1:$I$89,5,0)</f>
        <v>170.20192800000018</v>
      </c>
      <c r="AK51" s="13">
        <f t="shared" si="35"/>
        <v>43.135245614983553</v>
      </c>
      <c r="AL51" s="20">
        <f t="shared" si="4"/>
        <v>371.56224404609662</v>
      </c>
      <c r="AM51" s="59">
        <f t="shared" si="5"/>
        <v>664.89557737942994</v>
      </c>
      <c r="AN51" s="59">
        <f ca="1">AVERAGE(OFFSET($AM$3,0,0,'Données projet'!$E$10+1,1))-AVERAGE(OFFSET($H$3,0,0,'Données projet'!$E$10+1,1))</f>
        <v>635.71275911100679</v>
      </c>
      <c r="AO51" s="59">
        <f t="shared" si="36"/>
        <v>281.7776857269169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12.916807343870181</v>
      </c>
      <c r="AW51" s="21">
        <f>EXP(-LN(2)/2)*AW50+(1-EXP(-LN(2)/2))/(LN(2)/2)*AQ51*AT51*VLOOKUP('Données projet'!$B$10,Paramètres!$A$1:$I$89,3,0)*0.475*44/12</f>
        <v>0.94995818276072186</v>
      </c>
      <c r="AX51" s="21">
        <f t="shared" si="6"/>
        <v>13.866765526630903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3.8461538461538454</v>
      </c>
      <c r="BD51" s="12">
        <f>IF('Données projet'!$A$88&gt;35,BD50+BC51-BL50,IF(A51&lt;'Données projet'!$A$88,$BA$205^A51,IF(A51='Données projet'!$A$88,'Données projet'!$B$88,BD50+BC51-BL50)))</f>
        <v>103.20512820512819</v>
      </c>
      <c r="BE51" s="13">
        <f>BD51*VLOOKUP('Données projet'!$B$11,Paramètres!$A$1:$I$89,3,0)*VLOOKUP('Données projet'!$B$11,Paramètres!$A$1:$I$89,5,0)</f>
        <v>90.16</v>
      </c>
      <c r="BF51" s="13">
        <f t="shared" si="37"/>
        <v>24.603809151169582</v>
      </c>
      <c r="BG51" s="20">
        <f t="shared" si="7"/>
        <v>199.88030093828698</v>
      </c>
      <c r="BH51" s="59">
        <f t="shared" si="8"/>
        <v>493.21363427162032</v>
      </c>
      <c r="BI51" s="59">
        <f ca="1">AVERAGE(OFFSET($BH$3,0,0,'Données projet'!$E$11+1,1))-AVERAGE(OFFSET($H$3,0,0,'Données projet'!$E$11+1,1))</f>
        <v>204.11804238362862</v>
      </c>
      <c r="BJ51" s="59">
        <f t="shared" si="38"/>
        <v>185.53854651509408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11.00087117654641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11.00087117654641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6.9862500000000018</v>
      </c>
      <c r="BY51" s="12">
        <f>IF('Données projet'!$A$114&gt;35,BY50+BX51-CG50,IF(A51&lt;'Données projet'!$A$114,$BV$205^A51,IF(A51='Données projet'!$A$114,'Données projet'!$B$114,BY50+BX51-CG50)))</f>
        <v>101.20625000000001</v>
      </c>
      <c r="BZ51" s="13">
        <f>BY51*VLOOKUP('Données projet'!$B$12,Paramètres!$A$1:$I$89,3,0)*VLOOKUP('Données projet'!$B$12,Paramètres!$A$1:$I$89,5,0)</f>
        <v>101.04432000000001</v>
      </c>
      <c r="CA51" s="13">
        <f t="shared" si="39"/>
        <v>27.210641755899406</v>
      </c>
      <c r="CB51" s="20">
        <f t="shared" si="10"/>
        <v>223.37739172485814</v>
      </c>
      <c r="CC51" s="59">
        <f t="shared" si="11"/>
        <v>516.71072505819143</v>
      </c>
      <c r="CD51" s="59">
        <f ca="1">AVERAGE(OFFSET($CC$3,0,0,'Données projet'!$E$12+1,1))-AVERAGE(OFFSET($H$3,0,0,'Données projet'!$E$12+1,1))</f>
        <v>535.99935263833549</v>
      </c>
      <c r="CE51" s="59">
        <f t="shared" si="40"/>
        <v>245.89966477332644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6.2129990513105922</v>
      </c>
      <c r="CM51" s="21">
        <f>EXP(-LN(2)/2)*CM50+(1-EXP(-LN(2)/2))/(LN(2)/2)*CG51*CJ51*VLOOKUP('Données projet'!$B$12,Paramètres!$A$1:$I$89,3,0)*0.475*44/12</f>
        <v>9.0007681444886334</v>
      </c>
      <c r="CN51" s="22">
        <f t="shared" si="12"/>
        <v>15.213767195799225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10.001428571428571</v>
      </c>
      <c r="CT51" s="12">
        <f>IF('Données projet'!$A$140&gt;35,CT50+CS51-DB50,IF(A51&lt;'Données projet'!$A$140,$CQ$205^A51,IF(A51='Données projet'!$A$140,'Données projet'!$B$140,CT50+CS51-DB50)))</f>
        <v>138.06428571428572</v>
      </c>
      <c r="CU51" s="17">
        <f>CT51*VLOOKUP('Données projet'!$B$13,Paramètres!$A$1:$I$89,3,0)*VLOOKUP('Données projet'!$B$13,Paramètres!$A$1:$I$89,5,0)</f>
        <v>131.38197428571428</v>
      </c>
      <c r="CV51" s="13">
        <f t="shared" si="41"/>
        <v>34.315496219726761</v>
      </c>
      <c r="CW51" s="20">
        <f t="shared" si="13"/>
        <v>288.5897611303098</v>
      </c>
      <c r="CX51" s="59">
        <f t="shared" si="14"/>
        <v>581.92309446364311</v>
      </c>
      <c r="CY51" s="59">
        <f ca="1">AVERAGE(OFFSET($CX$3,0,0,'Données projet'!$E$13+1,1))-AVERAGE(OFFSET($H$3,0,0,'Données projet'!$E$13+1,1))</f>
        <v>449.28947235329758</v>
      </c>
      <c r="CZ51" s="59">
        <f t="shared" si="42"/>
        <v>289.36994109443964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10.43084642537387</v>
      </c>
      <c r="DH51" s="21">
        <f>EXP(-LN(2)/2)*DH50+(1-EXP(-LN(2)/2))/(LN(2)/2)*DB51*DE51*VLOOKUP('Données projet'!$B$13,Paramètres!$A$1:$I$89,3,0)*0.475*44/12</f>
        <v>3.810564385295971</v>
      </c>
      <c r="DI51" s="22">
        <f t="shared" si="15"/>
        <v>14.241410810669841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10.375</v>
      </c>
      <c r="DO51" s="12">
        <f>IF('Données projet'!$A$166&gt;35,DO50+DN51-DW50,IF(A51&lt;'Données projet'!$A$166,$DL$205^A51,IF(A51='Données projet'!$A$166,'Données projet'!$B$166,DO50+DN51-DW50)))</f>
        <v>228.49999999999991</v>
      </c>
      <c r="DP51" s="17">
        <f>DO51*VLOOKUP('Données projet'!$B$14,Paramètres!$A$1:$I$89,3,0)*VLOOKUP('Données projet'!$B$14,Paramètres!$A$1:$I$89,5,0)</f>
        <v>178.22999999999993</v>
      </c>
      <c r="DQ51" s="13">
        <f t="shared" si="43"/>
        <v>44.928167580487852</v>
      </c>
      <c r="DR51" s="20">
        <f t="shared" si="16"/>
        <v>388.66714186934951</v>
      </c>
      <c r="DS51" s="59">
        <f t="shared" si="17"/>
        <v>682.00047520268276</v>
      </c>
      <c r="DT51" s="59">
        <f ca="1">AVERAGE(OFFSET($DS$3,0,0,'Données projet'!$E$14+1,1))-AVERAGE(OFFSET($H$3,0,0,'Données projet'!$E$14+1,1))</f>
        <v>288.82868507674738</v>
      </c>
      <c r="DU51" s="59">
        <f t="shared" si="44"/>
        <v>283.48738729114024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8.7491009573710841</v>
      </c>
      <c r="EB51" s="21">
        <f>EXP(-LN(2)/25)*EB50+(1-EXP(-LN(2)/25))/(LN(2)/25)*Calculateur!DW51*Calculateur!DY51*VLOOKUP('Données projet'!$B$14,Paramètres!$A$1:$I$89,3,0)*0.475*44/12</f>
        <v>10.568551799120163</v>
      </c>
      <c r="EC51" s="21">
        <f>EXP(-LN(2)/2)*EC50+(1-EXP(-LN(2)/2))/(LN(2)/2)*DW51*DZ51*VLOOKUP('Données projet'!$B$14,Paramètres!$A$1:$I$89,3,0)*0.475*44/12</f>
        <v>2.1445266926569304</v>
      </c>
      <c r="ED51" s="22">
        <f t="shared" si="18"/>
        <v>21.462179449148181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3.3603333333333336</v>
      </c>
      <c r="EJ51" s="12">
        <f>IF('Données projet'!$A$192&gt;35,EJ50+EI51-ER50,IF(A51&lt;'Données projet'!$A$192,$EG$205^A51,IF(A51='Données projet'!$A$192,'Données projet'!$B$192,EJ50+EI51-ER50)))</f>
        <v>161.29599999999994</v>
      </c>
      <c r="EK51" s="17">
        <f>EJ51*VLOOKUP('Données projet'!$B$15,Paramètres!$A$1:$I$89,3,0)*VLOOKUP('Données projet'!$B$15,Paramètres!$A$1:$I$89,5,0)</f>
        <v>156.00549119999997</v>
      </c>
      <c r="EL51" s="13">
        <f t="shared" si="45"/>
        <v>39.940221355707003</v>
      </c>
      <c r="EM51" s="20">
        <f t="shared" si="19"/>
        <v>341.27211603452292</v>
      </c>
      <c r="EN51" s="59">
        <f t="shared" si="20"/>
        <v>634.60544936785618</v>
      </c>
      <c r="EO51" s="59">
        <f ca="1">AVERAGE(OFFSET($EN$3,0,0,'Données projet'!$E$15+1,1))-AVERAGE(OFFSET($H$3,0,0,'Données projet'!$E$15+1,1))</f>
        <v>510.71380643466227</v>
      </c>
      <c r="EP51" s="59">
        <f t="shared" si="46"/>
        <v>252.40654099948841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6.9862500000000018</v>
      </c>
      <c r="N52" s="13">
        <f>IF('Données projet'!$A$36&gt;35,N51+M52-V51,IF(A52&lt;'Données projet'!$A$36,$K$205^A52,IF(A52='Données projet'!$A$36,'Données projet'!$B$36,N51+M52-V51)))</f>
        <v>108.19250000000001</v>
      </c>
      <c r="O52" s="13">
        <f>N52*VLOOKUP('Données projet'!$B$9,Paramètres!$A$1:$I$89,3,0)*VLOOKUP('Données projet'!$B$9,Paramètres!$A$1:$I$89,5,0)</f>
        <v>109.70719500000003</v>
      </c>
      <c r="P52" s="13">
        <f t="shared" si="33"/>
        <v>29.261986732642743</v>
      </c>
      <c r="Q52" s="20">
        <f t="shared" si="53"/>
        <v>242.03799151768615</v>
      </c>
      <c r="R52" s="59">
        <f t="shared" si="0"/>
        <v>535.37132485101949</v>
      </c>
      <c r="S52" s="59">
        <f ca="1">AVERAGE(OFFSET($R$3,0,0,'Données projet'!$E$9+1,1))-AVERAGE(OFFSET($H$3,0,0,'Données projet'!$E$9+1,1))</f>
        <v>543.67050511722618</v>
      </c>
      <c r="T52" s="59">
        <f t="shared" si="34"/>
        <v>249.0871389941106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19.640088862956524</v>
      </c>
      <c r="AB52" s="21">
        <f>EXP(-LN(2)/2)*AB51+(1-EXP(-LN(2)/2))/(LN(2)/2)*V52*Y52*VLOOKUP('Données projet'!$B$9,Paramètres!$A$1:$I$89,3,0)*0.475*44/12</f>
        <v>5.1711596550703138</v>
      </c>
      <c r="AC52" s="22">
        <f t="shared" si="3"/>
        <v>24.811248518026837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10.110000000000001</v>
      </c>
      <c r="AI52" s="13">
        <f>IF('Données projet'!$A$62&gt;35,AI51+AH52-AQ51,IF(A52&lt;'Données projet'!$A$62,$AF$205^A52,IF(A52='Données projet'!$A$62,'Données projet'!$B$62,AI51+AH52-AQ51)))</f>
        <v>198.2200000000002</v>
      </c>
      <c r="AJ52" s="13">
        <f>AI52*VLOOKUP('Données projet'!$B$10,Paramètres!$A$1:$I$89,3,0)*VLOOKUP('Données projet'!$B$10,Paramètres!$A$1:$I$89,5,0)</f>
        <v>179.34945600000017</v>
      </c>
      <c r="AK52" s="13">
        <f t="shared" si="35"/>
        <v>45.177421627371096</v>
      </c>
      <c r="AL52" s="20">
        <f t="shared" si="4"/>
        <v>391.0509785343383</v>
      </c>
      <c r="AM52" s="59">
        <f t="shared" si="5"/>
        <v>684.38431186767161</v>
      </c>
      <c r="AN52" s="59">
        <f ca="1">AVERAGE(OFFSET($AM$3,0,0,'Données projet'!$E$10+1,1))-AVERAGE(OFFSET($H$3,0,0,'Données projet'!$E$10+1,1))</f>
        <v>635.71275911100679</v>
      </c>
      <c r="AO52" s="59">
        <f t="shared" si="36"/>
        <v>281.7776857269169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12.563596567786675</v>
      </c>
      <c r="AW52" s="21">
        <f>EXP(-LN(2)/2)*AW51+(1-EXP(-LN(2)/2))/(LN(2)/2)*AQ52*AT52*VLOOKUP('Données projet'!$B$10,Paramètres!$A$1:$I$89,3,0)*0.475*44/12</f>
        <v>0.67172187287375607</v>
      </c>
      <c r="AX52" s="21">
        <f t="shared" si="6"/>
        <v>13.23531844066043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3.8461538461538454</v>
      </c>
      <c r="BD52" s="12">
        <f>IF('Données projet'!$A$88&gt;35,BD51+BC52-BL51,IF(A52&lt;'Données projet'!$A$88,$BA$205^A52,IF(A52='Données projet'!$A$88,'Données projet'!$B$88,BD51+BC52-BL51)))</f>
        <v>107.05128205128203</v>
      </c>
      <c r="BE52" s="13">
        <f>BD52*VLOOKUP('Données projet'!$B$11,Paramètres!$A$1:$I$89,3,0)*VLOOKUP('Données projet'!$B$11,Paramètres!$A$1:$I$89,5,0)</f>
        <v>93.52</v>
      </c>
      <c r="BF52" s="13">
        <f t="shared" si="37"/>
        <v>25.412259377583936</v>
      </c>
      <c r="BG52" s="20">
        <f t="shared" si="7"/>
        <v>207.14035174929199</v>
      </c>
      <c r="BH52" s="59">
        <f t="shared" si="8"/>
        <v>500.47368508262531</v>
      </c>
      <c r="BI52" s="59">
        <f ca="1">AVERAGE(OFFSET($BH$3,0,0,'Données projet'!$E$11+1,1))-AVERAGE(OFFSET($H$3,0,0,'Données projet'!$E$11+1,1))</f>
        <v>204.11804238362862</v>
      </c>
      <c r="BJ52" s="59">
        <f t="shared" si="38"/>
        <v>185.53854651509408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10.700051775713076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10.700051775713076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6.9862500000000018</v>
      </c>
      <c r="BY52" s="12">
        <f>IF('Données projet'!$A$114&gt;35,BY51+BX52-CG51,IF(A52&lt;'Données projet'!$A$114,$BV$205^A52,IF(A52='Données projet'!$A$114,'Données projet'!$B$114,BY51+BX52-CG51)))</f>
        <v>108.19250000000001</v>
      </c>
      <c r="BZ52" s="13">
        <f>BY52*VLOOKUP('Données projet'!$B$12,Paramètres!$A$1:$I$89,3,0)*VLOOKUP('Données projet'!$B$12,Paramètres!$A$1:$I$89,5,0)</f>
        <v>108.01939200000001</v>
      </c>
      <c r="CA52" s="13">
        <f t="shared" si="39"/>
        <v>28.863845562242528</v>
      </c>
      <c r="CB52" s="20">
        <f t="shared" si="10"/>
        <v>238.40497208757236</v>
      </c>
      <c r="CC52" s="59">
        <f t="shared" si="11"/>
        <v>531.7383054209057</v>
      </c>
      <c r="CD52" s="59">
        <f ca="1">AVERAGE(OFFSET($CC$3,0,0,'Données projet'!$E$12+1,1))-AVERAGE(OFFSET($H$3,0,0,'Données projet'!$E$12+1,1))</f>
        <v>535.99935263833549</v>
      </c>
      <c r="CE52" s="59">
        <f t="shared" si="40"/>
        <v>245.89966477332644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6.0431042655250842</v>
      </c>
      <c r="CM52" s="21">
        <f>EXP(-LN(2)/2)*CM51+(1-EXP(-LN(2)/2))/(LN(2)/2)*CG52*CJ52*VLOOKUP('Données projet'!$B$12,Paramètres!$A$1:$I$89,3,0)*0.475*44/12</f>
        <v>6.3645041908557722</v>
      </c>
      <c r="CN52" s="22">
        <f t="shared" si="12"/>
        <v>12.407608456380856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10.001428571428571</v>
      </c>
      <c r="CT52" s="12">
        <f>IF('Données projet'!$A$140&gt;35,CT51+CS52-DB51,IF(A52&lt;'Données projet'!$A$140,$CQ$205^A52,IF(A52='Données projet'!$A$140,'Données projet'!$B$140,CT51+CS52-DB51)))</f>
        <v>148.06571428571428</v>
      </c>
      <c r="CU52" s="17">
        <f>CT52*VLOOKUP('Données projet'!$B$13,Paramètres!$A$1:$I$89,3,0)*VLOOKUP('Données projet'!$B$13,Paramètres!$A$1:$I$89,5,0)</f>
        <v>140.89933371428572</v>
      </c>
      <c r="CV52" s="13">
        <f t="shared" si="41"/>
        <v>36.502953377985676</v>
      </c>
      <c r="CW52" s="20">
        <f t="shared" si="13"/>
        <v>308.97565001903934</v>
      </c>
      <c r="CX52" s="59">
        <f t="shared" si="14"/>
        <v>602.30898335237271</v>
      </c>
      <c r="CY52" s="59">
        <f ca="1">AVERAGE(OFFSET($CX$3,0,0,'Données projet'!$E$13+1,1))-AVERAGE(OFFSET($H$3,0,0,'Données projet'!$E$13+1,1))</f>
        <v>449.28947235329758</v>
      </c>
      <c r="CZ52" s="59">
        <f t="shared" si="42"/>
        <v>289.36994109443964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10.145614381337648</v>
      </c>
      <c r="DH52" s="21">
        <f>EXP(-LN(2)/2)*DH51+(1-EXP(-LN(2)/2))/(LN(2)/2)*DB52*DE52*VLOOKUP('Données projet'!$B$13,Paramètres!$A$1:$I$89,3,0)*0.475*44/12</f>
        <v>2.6944759169907293</v>
      </c>
      <c r="DI52" s="22">
        <f t="shared" si="15"/>
        <v>12.840090298328377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10.375</v>
      </c>
      <c r="DO52" s="12">
        <f>IF('Données projet'!$A$166&gt;35,DO51+DN52-DW51,IF(A52&lt;'Données projet'!$A$166,$DL$205^A52,IF(A52='Données projet'!$A$166,'Données projet'!$B$166,DO51+DN52-DW51)))</f>
        <v>238.87499999999991</v>
      </c>
      <c r="DP52" s="17">
        <f>DO52*VLOOKUP('Données projet'!$B$14,Paramètres!$A$1:$I$89,3,0)*VLOOKUP('Données projet'!$B$14,Paramètres!$A$1:$I$89,5,0)</f>
        <v>186.32249999999993</v>
      </c>
      <c r="DQ52" s="13">
        <f t="shared" si="43"/>
        <v>46.725987276254116</v>
      </c>
      <c r="DR52" s="20">
        <f t="shared" si="16"/>
        <v>405.8927820061424</v>
      </c>
      <c r="DS52" s="59">
        <f t="shared" si="17"/>
        <v>699.22611533947565</v>
      </c>
      <c r="DT52" s="59">
        <f ca="1">AVERAGE(OFFSET($DS$3,0,0,'Données projet'!$E$14+1,1))-AVERAGE(OFFSET($H$3,0,0,'Données projet'!$E$14+1,1))</f>
        <v>288.82868507674738</v>
      </c>
      <c r="DU52" s="59">
        <f t="shared" si="44"/>
        <v>283.48738729114024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8.5775364240216927</v>
      </c>
      <c r="EB52" s="21">
        <f>EXP(-LN(2)/25)*EB51+(1-EXP(-LN(2)/25))/(LN(2)/25)*Calculateur!DW52*Calculateur!DY52*VLOOKUP('Données projet'!$B$14,Paramètres!$A$1:$I$89,3,0)*0.475*44/12</f>
        <v>10.279554194397239</v>
      </c>
      <c r="EC52" s="21">
        <f>EXP(-LN(2)/2)*EC51+(1-EXP(-LN(2)/2))/(LN(2)/2)*DW52*DZ52*VLOOKUP('Données projet'!$B$14,Paramètres!$A$1:$I$89,3,0)*0.475*44/12</f>
        <v>1.5164093668132745</v>
      </c>
      <c r="ED52" s="22">
        <f t="shared" si="18"/>
        <v>20.373499985232204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3.3603333333333336</v>
      </c>
      <c r="EJ52" s="12">
        <f>IF('Données projet'!$A$192&gt;35,EJ51+EI52-ER51,IF(A52&lt;'Données projet'!$A$192,$EG$205^A52,IF(A52='Données projet'!$A$192,'Données projet'!$B$192,EJ51+EI52-ER51)))</f>
        <v>164.65633333333327</v>
      </c>
      <c r="EK52" s="17">
        <f>EJ52*VLOOKUP('Données projet'!$B$15,Paramètres!$A$1:$I$89,3,0)*VLOOKUP('Données projet'!$B$15,Paramètres!$A$1:$I$89,5,0)</f>
        <v>159.25560559999994</v>
      </c>
      <c r="EL52" s="13">
        <f t="shared" si="45"/>
        <v>40.674569630088818</v>
      </c>
      <c r="EM52" s="20">
        <f t="shared" si="19"/>
        <v>348.21172185907125</v>
      </c>
      <c r="EN52" s="59">
        <f t="shared" si="20"/>
        <v>641.54505519240456</v>
      </c>
      <c r="EO52" s="59">
        <f ca="1">AVERAGE(OFFSET($EN$3,0,0,'Données projet'!$E$15+1,1))-AVERAGE(OFFSET($H$3,0,0,'Données projet'!$E$15+1,1))</f>
        <v>510.71380643466227</v>
      </c>
      <c r="EP52" s="59">
        <f t="shared" si="46"/>
        <v>252.40654099948841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6.9862500000000018</v>
      </c>
      <c r="N53" s="13">
        <f>IF('Données projet'!$A$36&gt;35,N52+M53-V52,IF(A53&lt;'Données projet'!$A$36,$K$205^A53,IF(A53='Données projet'!$A$36,'Données projet'!$B$36,N52+M53-V52)))</f>
        <v>115.17875000000001</v>
      </c>
      <c r="O53" s="13">
        <f>N53*VLOOKUP('Données projet'!$B$9,Paramètres!$A$1:$I$89,3,0)*VLOOKUP('Données projet'!$B$9,Paramètres!$A$1:$I$89,5,0)</f>
        <v>116.79125250000001</v>
      </c>
      <c r="P53" s="13">
        <f t="shared" si="33"/>
        <v>30.925435204615443</v>
      </c>
      <c r="Q53" s="20">
        <f t="shared" si="53"/>
        <v>257.27323108553861</v>
      </c>
      <c r="R53" s="59">
        <f t="shared" si="0"/>
        <v>550.60656441887193</v>
      </c>
      <c r="S53" s="59">
        <f ca="1">AVERAGE(OFFSET($R$3,0,0,'Données projet'!$E$9+1,1))-AVERAGE(OFFSET($H$3,0,0,'Données projet'!$E$9+1,1))</f>
        <v>543.67050511722618</v>
      </c>
      <c r="T53" s="59">
        <f t="shared" si="34"/>
        <v>249.0871389941106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19.103029600171592</v>
      </c>
      <c r="AB53" s="21">
        <f>EXP(-LN(2)/2)*AB52+(1-EXP(-LN(2)/2))/(LN(2)/2)*V53*Y53*VLOOKUP('Données projet'!$B$9,Paramètres!$A$1:$I$89,3,0)*0.475*44/12</f>
        <v>3.656562058698507</v>
      </c>
      <c r="AC53" s="22">
        <f t="shared" si="3"/>
        <v>22.7595916588701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10.110000000000001</v>
      </c>
      <c r="AH53" s="12">
        <f t="array" ref="AH53">INDEX(AG:AG,MIN(IF(ISNUMBER(AG53:AG249),ROW(AG53:AG249),"")))</f>
        <v>10.110000000000001</v>
      </c>
      <c r="AI53" s="13">
        <f>IF('Données projet'!$A$62&gt;35,AI52+AH53-AQ52,IF(A53&lt;'Données projet'!$A$62,$AF$205^A53,IF(A53='Données projet'!$A$62,'Données projet'!$B$62,AI52+AH53-AQ52)))</f>
        <v>208.33000000000021</v>
      </c>
      <c r="AJ53" s="13">
        <f>AI53*VLOOKUP('Données projet'!$B$10,Paramètres!$A$1:$I$89,3,0)*VLOOKUP('Données projet'!$B$10,Paramètres!$A$1:$I$89,5,0)</f>
        <v>188.4969840000002</v>
      </c>
      <c r="AK53" s="13">
        <f t="shared" si="35"/>
        <v>47.207503913482938</v>
      </c>
      <c r="AL53" s="20">
        <f t="shared" si="4"/>
        <v>410.51864978264985</v>
      </c>
      <c r="AM53" s="59">
        <f t="shared" si="5"/>
        <v>703.8519831159831</v>
      </c>
      <c r="AN53" s="59">
        <f ca="1">AVERAGE(OFFSET($AM$3,0,0,'Données projet'!$E$10+1,1))-AVERAGE(OFFSET($H$3,0,0,'Données projet'!$E$10+1,1))</f>
        <v>635.71275911100679</v>
      </c>
      <c r="AO53" s="59">
        <f t="shared" si="36"/>
        <v>281.7776857269169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37.54000000000002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0.34400000000000003</v>
      </c>
      <c r="AT53" s="16">
        <f>IF(ISNA(VLOOKUP(A53,'Données projet'!$A$61:$I$81,7,0)),0%,VLOOKUP(A53,'Données projet'!$A$61:$I$81,7,0))</f>
        <v>0.2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25.085911282565853</v>
      </c>
      <c r="AW53" s="21">
        <f>EXP(-LN(2)/2)*AW52+(1-EXP(-LN(2)/2))/(LN(2)/2)*AQ53*AT53*VLOOKUP('Données projet'!$B$10,Paramètres!$A$1:$I$89,3,0)*0.475*44/12</f>
        <v>6.8845823591112083</v>
      </c>
      <c r="AX53" s="21">
        <f t="shared" si="6"/>
        <v>31.970493641677059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110.89743589743588</v>
      </c>
      <c r="BB53" s="12">
        <f>VLOOKUP(A53,'Données projet'!$A$87:$I$107,9,0)</f>
        <v>3.8461538461538454</v>
      </c>
      <c r="BC53" s="12">
        <f t="array" ref="BC53">INDEX(BB:BB,MIN(IF(ISNUMBER(BB53:BB249),ROW(BB53:BB249),"")))</f>
        <v>3.8461538461538454</v>
      </c>
      <c r="BD53" s="12">
        <f>IF('Données projet'!$A$88&gt;35,BD52+BC53-BL52,IF(A53&lt;'Données projet'!$A$88,$BA$205^A53,IF(A53='Données projet'!$A$88,'Données projet'!$B$88,BD52+BC53-BL52)))</f>
        <v>110.89743589743587</v>
      </c>
      <c r="BE53" s="13">
        <f>BD53*VLOOKUP('Données projet'!$B$11,Paramètres!$A$1:$I$89,3,0)*VLOOKUP('Données projet'!$B$11,Paramètres!$A$1:$I$89,5,0)</f>
        <v>96.88</v>
      </c>
      <c r="BF53" s="13">
        <f t="shared" si="37"/>
        <v>26.217334929013017</v>
      </c>
      <c r="BG53" s="20">
        <f t="shared" si="7"/>
        <v>214.39452500136431</v>
      </c>
      <c r="BH53" s="59">
        <f t="shared" si="8"/>
        <v>507.72785833469766</v>
      </c>
      <c r="BI53" s="59">
        <f ca="1">AVERAGE(OFFSET($BH$3,0,0,'Données projet'!$E$11+1,1))-AVERAGE(OFFSET($H$3,0,0,'Données projet'!$E$11+1,1))</f>
        <v>204.11804238362862</v>
      </c>
      <c r="BJ53" s="59">
        <f t="shared" si="38"/>
        <v>185.53854651509408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11.538461538461538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0.215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12.793800623101264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12.793800623101264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6.9862500000000018</v>
      </c>
      <c r="BY53" s="12">
        <f>IF('Données projet'!$A$114&gt;35,BY52+BX53-CG52,IF(A53&lt;'Données projet'!$A$114,$BV$205^A53,IF(A53='Données projet'!$A$114,'Données projet'!$B$114,BY52+BX53-CG52)))</f>
        <v>115.17875000000001</v>
      </c>
      <c r="BZ53" s="13">
        <f>BY53*VLOOKUP('Données projet'!$B$12,Paramètres!$A$1:$I$89,3,0)*VLOOKUP('Données projet'!$B$12,Paramètres!$A$1:$I$89,5,0)</f>
        <v>114.99446400000002</v>
      </c>
      <c r="CA53" s="13">
        <f t="shared" si="39"/>
        <v>30.504661007702612</v>
      </c>
      <c r="CB53" s="20">
        <f t="shared" si="10"/>
        <v>253.41097605508207</v>
      </c>
      <c r="CC53" s="59">
        <f t="shared" si="11"/>
        <v>546.74430938841533</v>
      </c>
      <c r="CD53" s="59">
        <f ca="1">AVERAGE(OFFSET($CC$3,0,0,'Données projet'!$E$12+1,1))-AVERAGE(OFFSET($H$3,0,0,'Données projet'!$E$12+1,1))</f>
        <v>535.99935263833549</v>
      </c>
      <c r="CE53" s="59">
        <f t="shared" si="40"/>
        <v>245.89966477332644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5.8778552615912592</v>
      </c>
      <c r="CM53" s="21">
        <f>EXP(-LN(2)/2)*CM52+(1-EXP(-LN(2)/2))/(LN(2)/2)*CG53*CJ53*VLOOKUP('Données projet'!$B$12,Paramètres!$A$1:$I$89,3,0)*0.475*44/12</f>
        <v>4.5003840722443176</v>
      </c>
      <c r="CN53" s="22">
        <f t="shared" si="12"/>
        <v>10.378239333835577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10.001428571428571</v>
      </c>
      <c r="CT53" s="12">
        <f>IF('Données projet'!$A$140&gt;35,CT52+CS53-DB52,IF(A53&lt;'Données projet'!$A$140,$CQ$205^A53,IF(A53='Données projet'!$A$140,'Données projet'!$B$140,CT52+CS53-DB52)))</f>
        <v>158.06714285714284</v>
      </c>
      <c r="CU53" s="17">
        <f>CT53*VLOOKUP('Données projet'!$B$13,Paramètres!$A$1:$I$89,3,0)*VLOOKUP('Données projet'!$B$13,Paramètres!$A$1:$I$89,5,0)</f>
        <v>150.41669314285713</v>
      </c>
      <c r="CV53" s="13">
        <f t="shared" si="41"/>
        <v>38.673265338618677</v>
      </c>
      <c r="CW53" s="20">
        <f t="shared" si="13"/>
        <v>329.33167768857032</v>
      </c>
      <c r="CX53" s="59">
        <f t="shared" si="14"/>
        <v>622.66501102190364</v>
      </c>
      <c r="CY53" s="59">
        <f ca="1">AVERAGE(OFFSET($CX$3,0,0,'Données projet'!$E$13+1,1))-AVERAGE(OFFSET($H$3,0,0,'Données projet'!$E$13+1,1))</f>
        <v>449.28947235329758</v>
      </c>
      <c r="CZ53" s="59">
        <f t="shared" si="42"/>
        <v>289.36994109443964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9.8681820225452981</v>
      </c>
      <c r="DH53" s="21">
        <f>EXP(-LN(2)/2)*DH52+(1-EXP(-LN(2)/2))/(LN(2)/2)*DB53*DE53*VLOOKUP('Données projet'!$B$13,Paramètres!$A$1:$I$89,3,0)*0.475*44/12</f>
        <v>1.9052821926479857</v>
      </c>
      <c r="DI53" s="22">
        <f t="shared" si="15"/>
        <v>11.773464215193284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10.375</v>
      </c>
      <c r="DO53" s="12">
        <f>IF('Données projet'!$A$166&gt;35,DO52+DN53-DW52,IF(A53&lt;'Données projet'!$A$166,$DL$205^A53,IF(A53='Données projet'!$A$166,'Données projet'!$B$166,DO52+DN53-DW52)))</f>
        <v>249.24999999999991</v>
      </c>
      <c r="DP53" s="17">
        <f>DO53*VLOOKUP('Données projet'!$B$14,Paramètres!$A$1:$I$89,3,0)*VLOOKUP('Données projet'!$B$14,Paramètres!$A$1:$I$89,5,0)</f>
        <v>194.41499999999994</v>
      </c>
      <c r="DQ53" s="13">
        <f t="shared" si="43"/>
        <v>48.514737888684927</v>
      </c>
      <c r="DR53" s="20">
        <f t="shared" si="16"/>
        <v>423.10262682279273</v>
      </c>
      <c r="DS53" s="59">
        <f t="shared" si="17"/>
        <v>716.43596015612604</v>
      </c>
      <c r="DT53" s="59">
        <f ca="1">AVERAGE(OFFSET($DS$3,0,0,'Données projet'!$E$14+1,1))-AVERAGE(OFFSET($H$3,0,0,'Données projet'!$E$14+1,1))</f>
        <v>288.82868507674738</v>
      </c>
      <c r="DU53" s="59">
        <f t="shared" si="44"/>
        <v>283.48738729114024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8.4093361665272504</v>
      </c>
      <c r="EB53" s="21">
        <f>EXP(-LN(2)/25)*EB52+(1-EXP(-LN(2)/25))/(LN(2)/25)*Calculateur!DW53*Calculateur!DY53*VLOOKUP('Données projet'!$B$14,Paramètres!$A$1:$I$89,3,0)*0.475*44/12</f>
        <v>9.9984592443731852</v>
      </c>
      <c r="EC53" s="21">
        <f>EXP(-LN(2)/2)*EC52+(1-EXP(-LN(2)/2))/(LN(2)/2)*DW53*DZ53*VLOOKUP('Données projet'!$B$14,Paramètres!$A$1:$I$89,3,0)*0.475*44/12</f>
        <v>1.0722633463284652</v>
      </c>
      <c r="ED53" s="22">
        <f t="shared" si="18"/>
        <v>19.4800587572289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3.3603333333333336</v>
      </c>
      <c r="EJ53" s="12">
        <f>IF('Données projet'!$A$192&gt;35,EJ52+EI53-ER52,IF(A53&lt;'Données projet'!$A$192,$EG$205^A53,IF(A53='Données projet'!$A$192,'Données projet'!$B$192,EJ52+EI53-ER52)))</f>
        <v>168.01666666666659</v>
      </c>
      <c r="EK53" s="17">
        <f>EJ53*VLOOKUP('Données projet'!$B$15,Paramètres!$A$1:$I$89,3,0)*VLOOKUP('Données projet'!$B$15,Paramètres!$A$1:$I$89,5,0)</f>
        <v>162.50571999999994</v>
      </c>
      <c r="EL53" s="13">
        <f t="shared" si="45"/>
        <v>41.407175395135489</v>
      </c>
      <c r="EM53" s="20">
        <f t="shared" si="19"/>
        <v>355.14829281319425</v>
      </c>
      <c r="EN53" s="59">
        <f t="shared" si="20"/>
        <v>648.48162614652756</v>
      </c>
      <c r="EO53" s="59">
        <f ca="1">AVERAGE(OFFSET($EN$3,0,0,'Données projet'!$E$15+1,1))-AVERAGE(OFFSET($H$3,0,0,'Données projet'!$E$15+1,1))</f>
        <v>510.71380643466227</v>
      </c>
      <c r="EP53" s="59">
        <f t="shared" si="46"/>
        <v>252.40654099948841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6.9862500000000018</v>
      </c>
      <c r="N54" s="13">
        <f>IF('Données projet'!$A$36&gt;35,N53+M54-V53,IF(A54&lt;'Données projet'!$A$36,$K$205^A54,IF(A54='Données projet'!$A$36,'Données projet'!$B$36,N53+M54-V53)))</f>
        <v>122.16500000000001</v>
      </c>
      <c r="O54" s="13">
        <f>N54*VLOOKUP('Données projet'!$B$9,Paramètres!$A$1:$I$89,3,0)*VLOOKUP('Données projet'!$B$9,Paramètres!$A$1:$I$89,5,0)</f>
        <v>123.87531000000001</v>
      </c>
      <c r="P54" s="13">
        <f t="shared" si="33"/>
        <v>32.577172972246267</v>
      </c>
      <c r="Q54" s="20">
        <f t="shared" si="53"/>
        <v>272.48807450999556</v>
      </c>
      <c r="R54" s="59">
        <f t="shared" si="0"/>
        <v>565.82140784332887</v>
      </c>
      <c r="S54" s="59">
        <f ca="1">AVERAGE(OFFSET($R$3,0,0,'Données projet'!$E$9+1,1))-AVERAGE(OFFSET($H$3,0,0,'Données projet'!$E$9+1,1))</f>
        <v>543.67050511722618</v>
      </c>
      <c r="T54" s="59">
        <f t="shared" si="34"/>
        <v>249.0871389941106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18.580656251170232</v>
      </c>
      <c r="AB54" s="21">
        <f>EXP(-LN(2)/2)*AB53+(1-EXP(-LN(2)/2))/(LN(2)/2)*V54*Y54*VLOOKUP('Données projet'!$B$9,Paramètres!$A$1:$I$89,3,0)*0.475*44/12</f>
        <v>2.5855798275351569</v>
      </c>
      <c r="AC54" s="22">
        <f t="shared" si="3"/>
        <v>21.166236078705388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10.36375</v>
      </c>
      <c r="AI54" s="13">
        <f>IF('Données projet'!$A$62&gt;35,AI53+AH54-AQ53,IF(A54&lt;'Données projet'!$A$62,$AF$205^A54,IF(A54='Données projet'!$A$62,'Données projet'!$B$62,AI53+AH54-AQ53)))</f>
        <v>181.1537500000002</v>
      </c>
      <c r="AJ54" s="13">
        <f>AI54*VLOOKUP('Données projet'!$B$10,Paramètres!$A$1:$I$89,3,0)*VLOOKUP('Données projet'!$B$10,Paramètres!$A$1:$I$89,5,0)</f>
        <v>163.90791300000018</v>
      </c>
      <c r="AK54" s="13">
        <f t="shared" si="35"/>
        <v>41.72271436472046</v>
      </c>
      <c r="AL54" s="20">
        <f t="shared" si="4"/>
        <v>358.14000932688845</v>
      </c>
      <c r="AM54" s="59">
        <f t="shared" si="5"/>
        <v>651.47334266022176</v>
      </c>
      <c r="AN54" s="59">
        <f ca="1">AVERAGE(OFFSET($AM$3,0,0,'Données projet'!$E$10+1,1))-AVERAGE(OFFSET($H$3,0,0,'Données projet'!$E$10+1,1))</f>
        <v>635.71275911100679</v>
      </c>
      <c r="AO54" s="59">
        <f t="shared" si="36"/>
        <v>281.7776857269169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24.399935719333349</v>
      </c>
      <c r="AW54" s="21">
        <f>EXP(-LN(2)/2)*AW53+(1-EXP(-LN(2)/2))/(LN(2)/2)*AQ54*AT54*VLOOKUP('Données projet'!$B$10,Paramètres!$A$1:$I$89,3,0)*0.475*44/12</f>
        <v>4.8681348717648145</v>
      </c>
      <c r="AX54" s="21">
        <f t="shared" si="6"/>
        <v>29.268070591098166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3.3333333333333344</v>
      </c>
      <c r="BD54" s="12">
        <f>IF('Données projet'!$A$88&gt;35,BD53+BC54-BL53,IF(A54&lt;'Données projet'!$A$88,$BA$205^A54,IF(A54='Données projet'!$A$88,'Données projet'!$B$88,BD53+BC54-BL53)))</f>
        <v>102.69230769230766</v>
      </c>
      <c r="BE54" s="13">
        <f>BD54*VLOOKUP('Données projet'!$B$11,Paramètres!$A$1:$I$89,3,0)*VLOOKUP('Données projet'!$B$11,Paramètres!$A$1:$I$89,5,0)</f>
        <v>89.711999999999989</v>
      </c>
      <c r="BF54" s="13">
        <f t="shared" si="37"/>
        <v>24.495753377522256</v>
      </c>
      <c r="BG54" s="20">
        <f t="shared" si="7"/>
        <v>198.91183713251789</v>
      </c>
      <c r="BH54" s="59">
        <f t="shared" si="8"/>
        <v>492.24517046585117</v>
      </c>
      <c r="BI54" s="59">
        <f ca="1">AVERAGE(OFFSET($BH$3,0,0,'Données projet'!$E$11+1,1))-AVERAGE(OFFSET($H$3,0,0,'Données projet'!$E$11+1,1))</f>
        <v>204.11804238362862</v>
      </c>
      <c r="BJ54" s="59">
        <f t="shared" si="38"/>
        <v>185.53854651509408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12.443953472265825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12.443953472265825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6.9862500000000018</v>
      </c>
      <c r="BY54" s="12">
        <f>IF('Données projet'!$A$114&gt;35,BY53+BX54-CG53,IF(A54&lt;'Données projet'!$A$114,$BV$205^A54,IF(A54='Données projet'!$A$114,'Données projet'!$B$114,BY53+BX54-CG53)))</f>
        <v>122.16500000000001</v>
      </c>
      <c r="BZ54" s="13">
        <f>BY54*VLOOKUP('Données projet'!$B$12,Paramètres!$A$1:$I$89,3,0)*VLOOKUP('Données projet'!$B$12,Paramètres!$A$1:$I$89,5,0)</f>
        <v>121.96953600000002</v>
      </c>
      <c r="CA54" s="13">
        <f t="shared" si="39"/>
        <v>32.133925085696156</v>
      </c>
      <c r="CB54" s="20">
        <f t="shared" si="10"/>
        <v>268.39686139092083</v>
      </c>
      <c r="CC54" s="59">
        <f t="shared" si="11"/>
        <v>561.73019472425415</v>
      </c>
      <c r="CD54" s="59">
        <f ca="1">AVERAGE(OFFSET($CC$3,0,0,'Données projet'!$E$12+1,1))-AVERAGE(OFFSET($H$3,0,0,'Données projet'!$E$12+1,1))</f>
        <v>535.99935263833549</v>
      </c>
      <c r="CE54" s="59">
        <f t="shared" si="40"/>
        <v>245.89966477332644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5.7171250003600722</v>
      </c>
      <c r="CM54" s="21">
        <f>EXP(-LN(2)/2)*CM53+(1-EXP(-LN(2)/2))/(LN(2)/2)*CG54*CJ54*VLOOKUP('Données projet'!$B$12,Paramètres!$A$1:$I$89,3,0)*0.475*44/12</f>
        <v>3.1822520954278866</v>
      </c>
      <c r="CN54" s="22">
        <f t="shared" si="12"/>
        <v>8.8993770957879583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10.001428571428571</v>
      </c>
      <c r="CT54" s="12">
        <f>IF('Données projet'!$A$140&gt;35,CT53+CS54-DB53,IF(A54&lt;'Données projet'!$A$140,$CQ$205^A54,IF(A54='Données projet'!$A$140,'Données projet'!$B$140,CT53+CS54-DB53)))</f>
        <v>168.0685714285714</v>
      </c>
      <c r="CU54" s="17">
        <f>CT54*VLOOKUP('Données projet'!$B$13,Paramètres!$A$1:$I$89,3,0)*VLOOKUP('Données projet'!$B$13,Paramètres!$A$1:$I$89,5,0)</f>
        <v>159.93405257142857</v>
      </c>
      <c r="CV54" s="13">
        <f t="shared" si="41"/>
        <v>40.827640423227386</v>
      </c>
      <c r="CW54" s="20">
        <f t="shared" si="13"/>
        <v>349.65994863235909</v>
      </c>
      <c r="CX54" s="59">
        <f t="shared" si="14"/>
        <v>642.9932819656924</v>
      </c>
      <c r="CY54" s="59">
        <f ca="1">AVERAGE(OFFSET($CX$3,0,0,'Données projet'!$E$13+1,1))-AVERAGE(OFFSET($H$3,0,0,'Données projet'!$E$13+1,1))</f>
        <v>449.28947235329758</v>
      </c>
      <c r="CZ54" s="59">
        <f t="shared" si="42"/>
        <v>289.36994109443964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9.5983360661936583</v>
      </c>
      <c r="DH54" s="21">
        <f>EXP(-LN(2)/2)*DH53+(1-EXP(-LN(2)/2))/(LN(2)/2)*DB54*DE54*VLOOKUP('Données projet'!$B$13,Paramètres!$A$1:$I$89,3,0)*0.475*44/12</f>
        <v>1.3472379584953649</v>
      </c>
      <c r="DI54" s="22">
        <f t="shared" si="15"/>
        <v>10.945574024689023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10.375</v>
      </c>
      <c r="DO54" s="12">
        <f>IF('Données projet'!$A$166&gt;35,DO53+DN54-DW53,IF(A54&lt;'Données projet'!$A$166,$DL$205^A54,IF(A54='Données projet'!$A$166,'Données projet'!$B$166,DO53+DN54-DW53)))</f>
        <v>259.62499999999989</v>
      </c>
      <c r="DP54" s="17">
        <f>DO54*VLOOKUP('Données projet'!$B$14,Paramètres!$A$1:$I$89,3,0)*VLOOKUP('Données projet'!$B$14,Paramètres!$A$1:$I$89,5,0)</f>
        <v>202.50749999999991</v>
      </c>
      <c r="DQ54" s="13">
        <f t="shared" si="43"/>
        <v>50.294840086606349</v>
      </c>
      <c r="DR54" s="20">
        <f t="shared" si="16"/>
        <v>440.29740898417253</v>
      </c>
      <c r="DS54" s="59">
        <f t="shared" si="17"/>
        <v>733.63074231750579</v>
      </c>
      <c r="DT54" s="59">
        <f ca="1">AVERAGE(OFFSET($DS$3,0,0,'Données projet'!$E$14+1,1))-AVERAGE(OFFSET($H$3,0,0,'Données projet'!$E$14+1,1))</f>
        <v>288.82868507674738</v>
      </c>
      <c r="DU54" s="59">
        <f t="shared" si="44"/>
        <v>283.48738729114024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8.2444342134902477</v>
      </c>
      <c r="EB54" s="21">
        <f>EXP(-LN(2)/25)*EB53+(1-EXP(-LN(2)/25))/(LN(2)/25)*Calculateur!DW54*Calculateur!DY54*VLOOKUP('Données projet'!$B$14,Paramètres!$A$1:$I$89,3,0)*0.475*44/12</f>
        <v>9.7250508505396809</v>
      </c>
      <c r="EC54" s="21">
        <f>EXP(-LN(2)/2)*EC53+(1-EXP(-LN(2)/2))/(LN(2)/2)*DW54*DZ54*VLOOKUP('Données projet'!$B$14,Paramètres!$A$1:$I$89,3,0)*0.475*44/12</f>
        <v>0.75820468340663727</v>
      </c>
      <c r="ED54" s="22">
        <f t="shared" si="18"/>
        <v>18.727689747436568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3.3603333333333336</v>
      </c>
      <c r="EJ54" s="12">
        <f>IF('Données projet'!$A$192&gt;35,EJ53+EI54-ER53,IF(A54&lt;'Données projet'!$A$192,$EG$205^A54,IF(A54='Données projet'!$A$192,'Données projet'!$B$192,EJ53+EI54-ER53)))</f>
        <v>171.37699999999992</v>
      </c>
      <c r="EK54" s="17">
        <f>EJ54*VLOOKUP('Données projet'!$B$15,Paramètres!$A$1:$I$89,3,0)*VLOOKUP('Données projet'!$B$15,Paramètres!$A$1:$I$89,5,0)</f>
        <v>165.75583439999994</v>
      </c>
      <c r="EL54" s="13">
        <f t="shared" si="45"/>
        <v>42.13807751757264</v>
      </c>
      <c r="EM54" s="20">
        <f t="shared" si="19"/>
        <v>362.08189658977221</v>
      </c>
      <c r="EN54" s="59">
        <f t="shared" si="20"/>
        <v>655.41522992310547</v>
      </c>
      <c r="EO54" s="59">
        <f ca="1">AVERAGE(OFFSET($EN$3,0,0,'Données projet'!$E$15+1,1))-AVERAGE(OFFSET($H$3,0,0,'Données projet'!$E$15+1,1))</f>
        <v>510.71380643466227</v>
      </c>
      <c r="EP54" s="59">
        <f t="shared" si="46"/>
        <v>252.40654099948841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6.9862500000000018</v>
      </c>
      <c r="N55" s="13">
        <f>IF('Données projet'!$A$36&gt;35,N54+M55-V54,IF(A55&lt;'Données projet'!$A$36,$K$205^A55,IF(A55='Données projet'!$A$36,'Données projet'!$B$36,N54+M55-V54)))</f>
        <v>129.15125</v>
      </c>
      <c r="O55" s="13">
        <f>N55*VLOOKUP('Données projet'!$B$9,Paramètres!$A$1:$I$89,3,0)*VLOOKUP('Données projet'!$B$9,Paramètres!$A$1:$I$89,5,0)</f>
        <v>130.95936750000001</v>
      </c>
      <c r="P55" s="13">
        <f t="shared" si="33"/>
        <v>34.217946041743069</v>
      </c>
      <c r="Q55" s="20">
        <f t="shared" si="53"/>
        <v>287.68382108520251</v>
      </c>
      <c r="R55" s="59">
        <f t="shared" si="0"/>
        <v>581.01715441853582</v>
      </c>
      <c r="S55" s="59">
        <f ca="1">AVERAGE(OFFSET($R$3,0,0,'Données projet'!$E$9+1,1))-AVERAGE(OFFSET($H$3,0,0,'Données projet'!$E$9+1,1))</f>
        <v>543.67050511722618</v>
      </c>
      <c r="T55" s="59">
        <f t="shared" si="34"/>
        <v>249.0871389941106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18.072567228867737</v>
      </c>
      <c r="AB55" s="21">
        <f>EXP(-LN(2)/2)*AB54+(1-EXP(-LN(2)/2))/(LN(2)/2)*V55*Y55*VLOOKUP('Données projet'!$B$9,Paramètres!$A$1:$I$89,3,0)*0.475*44/12</f>
        <v>1.8282810293492535</v>
      </c>
      <c r="AC55" s="22">
        <f t="shared" si="3"/>
        <v>19.900848258216989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10.36375</v>
      </c>
      <c r="AI55" s="13">
        <f>IF('Données projet'!$A$62&gt;35,AI54+AH55-AQ54,IF(A55&lt;'Données projet'!$A$62,$AF$205^A55,IF(A55='Données projet'!$A$62,'Données projet'!$B$62,AI54+AH55-AQ54)))</f>
        <v>191.51750000000021</v>
      </c>
      <c r="AJ55" s="13">
        <f>AI55*VLOOKUP('Données projet'!$B$10,Paramètres!$A$1:$I$89,3,0)*VLOOKUP('Données projet'!$B$10,Paramètres!$A$1:$I$89,5,0)</f>
        <v>173.28503400000019</v>
      </c>
      <c r="AK55" s="13">
        <f t="shared" si="35"/>
        <v>43.82494037101592</v>
      </c>
      <c r="AL55" s="20">
        <f t="shared" si="4"/>
        <v>378.133205362853</v>
      </c>
      <c r="AM55" s="59">
        <f t="shared" si="5"/>
        <v>671.46653869618626</v>
      </c>
      <c r="AN55" s="59">
        <f ca="1">AVERAGE(OFFSET($AM$3,0,0,'Données projet'!$E$10+1,1))-AVERAGE(OFFSET($H$3,0,0,'Données projet'!$E$10+1,1))</f>
        <v>635.71275911100679</v>
      </c>
      <c r="AO55" s="59">
        <f t="shared" si="36"/>
        <v>281.7776857269169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23.732718193951328</v>
      </c>
      <c r="AW55" s="21">
        <f>EXP(-LN(2)/2)*AW54+(1-EXP(-LN(2)/2))/(LN(2)/2)*AQ55*AT55*VLOOKUP('Données projet'!$B$10,Paramètres!$A$1:$I$89,3,0)*0.475*44/12</f>
        <v>3.4422911795556046</v>
      </c>
      <c r="AX55" s="21">
        <f t="shared" si="6"/>
        <v>27.175009373506931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3.3333333333333344</v>
      </c>
      <c r="BD55" s="12">
        <f>IF('Données projet'!$A$88&gt;35,BD54+BC55-BL54,IF(A55&lt;'Données projet'!$A$88,$BA$205^A55,IF(A55='Données projet'!$A$88,'Données projet'!$B$88,BD54+BC55-BL54)))</f>
        <v>106.02564102564099</v>
      </c>
      <c r="BE55" s="13">
        <f>BD55*VLOOKUP('Données projet'!$B$11,Paramètres!$A$1:$I$89,3,0)*VLOOKUP('Données projet'!$B$11,Paramètres!$A$1:$I$89,5,0)</f>
        <v>92.623999999999981</v>
      </c>
      <c r="BF55" s="13">
        <f t="shared" si="37"/>
        <v>25.19700823637309</v>
      </c>
      <c r="BG55" s="20">
        <f t="shared" si="7"/>
        <v>205.20492267834979</v>
      </c>
      <c r="BH55" s="59">
        <f t="shared" si="8"/>
        <v>498.53825601168307</v>
      </c>
      <c r="BI55" s="59">
        <f ca="1">AVERAGE(OFFSET($BH$3,0,0,'Données projet'!$E$11+1,1))-AVERAGE(OFFSET($H$3,0,0,'Données projet'!$E$11+1,1))</f>
        <v>204.11804238362862</v>
      </c>
      <c r="BJ55" s="59">
        <f t="shared" si="38"/>
        <v>185.53854651509408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12.103672910167644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12.103672910167644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6.9862500000000018</v>
      </c>
      <c r="BY55" s="12">
        <f>IF('Données projet'!$A$114&gt;35,BY54+BX55-CG54,IF(A55&lt;'Données projet'!$A$114,$BV$205^A55,IF(A55='Données projet'!$A$114,'Données projet'!$B$114,BY54+BX55-CG54)))</f>
        <v>129.15125</v>
      </c>
      <c r="BZ55" s="13">
        <f>BY55*VLOOKUP('Données projet'!$B$12,Paramètres!$A$1:$I$89,3,0)*VLOOKUP('Données projet'!$B$12,Paramètres!$A$1:$I$89,5,0)</f>
        <v>128.94460800000002</v>
      </c>
      <c r="CA55" s="13">
        <f t="shared" si="39"/>
        <v>33.752373652204859</v>
      </c>
      <c r="CB55" s="20">
        <f t="shared" si="10"/>
        <v>283.36390971092345</v>
      </c>
      <c r="CC55" s="59">
        <f t="shared" si="11"/>
        <v>576.69724304425677</v>
      </c>
      <c r="CD55" s="59">
        <f ca="1">AVERAGE(OFFSET($CC$3,0,0,'Données projet'!$E$12+1,1))-AVERAGE(OFFSET($H$3,0,0,'Données projet'!$E$12+1,1))</f>
        <v>535.99935263833549</v>
      </c>
      <c r="CE55" s="59">
        <f t="shared" si="40"/>
        <v>245.89966477332644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5.5607899165746888</v>
      </c>
      <c r="CM55" s="21">
        <f>EXP(-LN(2)/2)*CM54+(1-EXP(-LN(2)/2))/(LN(2)/2)*CG55*CJ55*VLOOKUP('Données projet'!$B$12,Paramètres!$A$1:$I$89,3,0)*0.475*44/12</f>
        <v>2.2501920361221592</v>
      </c>
      <c r="CN55" s="22">
        <f t="shared" si="12"/>
        <v>7.8109819526968476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>
        <f>VLOOKUP(A55,'Données projet'!$A$139:$I$159,2,0)</f>
        <v>178.07</v>
      </c>
      <c r="CR55" s="12">
        <f>VLOOKUP(A55,'Données projet'!$A$139:$I$159,9,0)</f>
        <v>10.001428571428571</v>
      </c>
      <c r="CS55" s="12">
        <f t="array" ref="CS55">INDEX(CR:CR,MIN(IF(ISNUMBER(CR55:CR251),ROW(CR55:CR251),"")))</f>
        <v>10.001428571428571</v>
      </c>
      <c r="CT55" s="12">
        <f>IF('Données projet'!$A$140&gt;35,CT54+CS55-DB54,IF(A55&lt;'Données projet'!$A$140,$CQ$205^A55,IF(A55='Données projet'!$A$140,'Données projet'!$B$140,CT54+CS55-DB54)))</f>
        <v>178.06999999999996</v>
      </c>
      <c r="CU55" s="17">
        <f>CT55*VLOOKUP('Données projet'!$B$13,Paramètres!$A$1:$I$89,3,0)*VLOOKUP('Données projet'!$B$13,Paramètres!$A$1:$I$89,5,0)</f>
        <v>169.45141199999998</v>
      </c>
      <c r="CV55" s="13">
        <f t="shared" si="41"/>
        <v>42.967135019238462</v>
      </c>
      <c r="CW55" s="20">
        <f t="shared" si="13"/>
        <v>369.96230272517363</v>
      </c>
      <c r="CX55" s="59">
        <f t="shared" si="14"/>
        <v>663.29563605850694</v>
      </c>
      <c r="CY55" s="59">
        <f ca="1">AVERAGE(OFFSET($CX$3,0,0,'Données projet'!$E$13+1,1))-AVERAGE(OFFSET($H$3,0,0,'Données projet'!$E$13+1,1))</f>
        <v>449.28947235329758</v>
      </c>
      <c r="CZ55" s="59">
        <f t="shared" si="42"/>
        <v>289.36994109443964</v>
      </c>
      <c r="DA55" s="15">
        <f>IF(ISNA(VLOOKUP(A55,'Données projet'!$A$139:$I$159,3,0)),0,VLOOKUP(A55,'Données projet'!$A$139:$I$159,3,0))</f>
        <v>3</v>
      </c>
      <c r="DB55" s="15">
        <f>IF(ISNA(VLOOKUP(A55,'Données projet'!$A$139:$I$159,4,0)),0,VLOOKUP(A55,'Données projet'!$A$139:$I$159,4,0))</f>
        <v>44.400000000000006</v>
      </c>
      <c r="DC55" s="16">
        <f>IF(ISNA(VLOOKUP(A55,'Données projet'!$A$139:$I$159,5,0)),0%,VLOOKUP(A55,'Données projet'!$A$139:$I$159,5,0)*VLOOKUP('Données projet'!$B$13,Paramètres!$A$1:$I$89,7,0))</f>
        <v>0.1075</v>
      </c>
      <c r="DD55" s="16">
        <f>IF(ISNA(VLOOKUP(A55,'Données projet'!$A$139:$I$159,6,0)),0%,VLOOKUP(A55,'Données projet'!$A$139:$I$159,6,0)*VLOOKUP('Données projet'!$B$13,Paramètres!$A$1:$I$89,7,0))</f>
        <v>0.1075</v>
      </c>
      <c r="DE55" s="16">
        <f>IF(ISNA(VLOOKUP(A55,'Données projet'!$A$139:$I$159,7,0)),0%,VLOOKUP(A55,'Données projet'!$A$139:$I$159,7,0))</f>
        <v>0.25</v>
      </c>
      <c r="DF55" s="21">
        <f>EXP(-LN(2)/35)*DF54+(1-EXP(-LN(2)/35))/(LN(2)/35)*DB55*DC55*VLOOKUP('Données projet'!$B$13,Paramètres!$A$1:$I$89,3,0)*0.475*44/12</f>
        <v>5.02103187162965</v>
      </c>
      <c r="DG55" s="21">
        <f>EXP(-LN(2)/25)*DG54+(1-EXP(-LN(2)/25))/(LN(2)/25)*Calculateur!DB55*Calculateur!DD55*VLOOKUP('Données projet'!$B$13,Paramètres!$A$1:$I$89,3,0)*0.475*44/12</f>
        <v>14.337131217696948</v>
      </c>
      <c r="DH55" s="21">
        <f>EXP(-LN(2)/2)*DH54+(1-EXP(-LN(2)/2))/(LN(2)/2)*DB55*DE55*VLOOKUP('Données projet'!$B$13,Paramètres!$A$1:$I$89,3,0)*0.475*44/12</f>
        <v>10.918889448841206</v>
      </c>
      <c r="DI55" s="22">
        <f t="shared" si="15"/>
        <v>30.277052538167805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>
        <f>VLOOKUP(A55,'Données projet'!$A$165:$I$185,2,0)</f>
        <v>270</v>
      </c>
      <c r="DM55" s="12">
        <f>VLOOKUP(A55,'Données projet'!$A$165:$I$185,9,0)</f>
        <v>10.375</v>
      </c>
      <c r="DN55" s="12">
        <f t="array" ref="DN55">INDEX(DM:DM,MIN(IF(ISNUMBER(DM55:DM251),ROW(DM55:DM251),"")))</f>
        <v>10.375</v>
      </c>
      <c r="DO55" s="12">
        <f>IF('Données projet'!$A$166&gt;35,DO54+DN55-DW54,IF(A55&lt;'Données projet'!$A$166,$DL$205^A55,IF(A55='Données projet'!$A$166,'Données projet'!$B$166,DO54+DN55-DW54)))</f>
        <v>269.99999999999989</v>
      </c>
      <c r="DP55" s="17">
        <f>DO55*VLOOKUP('Données projet'!$B$14,Paramètres!$A$1:$I$89,3,0)*VLOOKUP('Données projet'!$B$14,Paramètres!$A$1:$I$89,5,0)</f>
        <v>210.59999999999991</v>
      </c>
      <c r="DQ55" s="13">
        <f t="shared" si="43"/>
        <v>52.066679014659961</v>
      </c>
      <c r="DR55" s="20">
        <f t="shared" si="16"/>
        <v>457.47779928386586</v>
      </c>
      <c r="DS55" s="59">
        <f t="shared" si="17"/>
        <v>750.81113261719918</v>
      </c>
      <c r="DT55" s="59">
        <f ca="1">AVERAGE(OFFSET($DS$3,0,0,'Données projet'!$E$14+1,1))-AVERAGE(OFFSET($H$3,0,0,'Données projet'!$E$14+1,1))</f>
        <v>288.82868507674738</v>
      </c>
      <c r="DU55" s="59">
        <f t="shared" si="44"/>
        <v>283.48738729114024</v>
      </c>
      <c r="DV55" s="15">
        <f>IF(ISNA(VLOOKUP(A55,'Données projet'!$A$165:$I$185,3,0)),0,VLOOKUP(A55,'Données projet'!$A$165:$I$185,3,0))</f>
        <v>7</v>
      </c>
      <c r="DW55" s="15">
        <f>IF(ISNA(VLOOKUP(A55,'Données projet'!$A$165:$I$185,4,0)),0,VLOOKUP(A55,'Données projet'!$A$165:$I$185,4,0))</f>
        <v>48</v>
      </c>
      <c r="DX55" s="16">
        <f>IF(ISNA(VLOOKUP(A55,'Données projet'!$A$165:$I$185,5,0)),0%,VLOOKUP(A55,'Données projet'!$A$165:$I$185,5,0)*VLOOKUP('Données projet'!$B$14,Paramètres!$A$1:$I$89,7,0))</f>
        <v>0.1075</v>
      </c>
      <c r="DY55" s="16">
        <f>IF(ISNA(VLOOKUP(A55,'Données projet'!$A$165:$I$185,6,0)),0%,VLOOKUP(A55,'Données projet'!$A$165:$I$185,6,0)*VLOOKUP('Données projet'!$B$14,Paramètres!$A$1:$I$89,7,0))</f>
        <v>0.1075</v>
      </c>
      <c r="DZ55" s="16">
        <f>IF(ISNA(VLOOKUP(A55,'Données projet'!$A$165:$I$185,7,0)),0%,VLOOKUP(A55,'Données projet'!$A$165:$I$185,7,0))</f>
        <v>0.25</v>
      </c>
      <c r="EA55" s="21">
        <f>EXP(-LN(2)/35)*EA54+(1-EXP(-LN(2)/35))/(LN(2)/35)*DW55*DX55*VLOOKUP('Données projet'!$B$14,Paramètres!$A$1:$I$89,3,0)*0.475*44/12</f>
        <v>12.532063070716259</v>
      </c>
      <c r="EB55" s="21">
        <f>EXP(-LN(2)/25)*EB54+(1-EXP(-LN(2)/25))/(LN(2)/25)*Calculateur!DW55*Calculateur!DY55*VLOOKUP('Données projet'!$B$14,Paramètres!$A$1:$I$89,3,0)*0.475*44/12</f>
        <v>13.890897428830943</v>
      </c>
      <c r="EC55" s="21">
        <f>EXP(-LN(2)/2)*EC54+(1-EXP(-LN(2)/2))/(LN(2)/2)*DW55*DZ55*VLOOKUP('Données projet'!$B$14,Paramètres!$A$1:$I$89,3,0)*0.475*44/12</f>
        <v>9.3675435938706659</v>
      </c>
      <c r="ED55" s="22">
        <f t="shared" si="18"/>
        <v>35.790504093417866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3.3603333333333336</v>
      </c>
      <c r="EJ55" s="12">
        <f>IF('Données projet'!$A$192&gt;35,EJ54+EI55-ER54,IF(A55&lt;'Données projet'!$A$192,$EG$205^A55,IF(A55='Données projet'!$A$192,'Données projet'!$B$192,EJ54+EI55-ER54)))</f>
        <v>174.73733333333325</v>
      </c>
      <c r="EK55" s="17">
        <f>EJ55*VLOOKUP('Données projet'!$B$15,Paramètres!$A$1:$I$89,3,0)*VLOOKUP('Données projet'!$B$15,Paramètres!$A$1:$I$89,5,0)</f>
        <v>169.00594879999991</v>
      </c>
      <c r="EL55" s="13">
        <f t="shared" si="45"/>
        <v>42.867313252762536</v>
      </c>
      <c r="EM55" s="20">
        <f t="shared" si="19"/>
        <v>369.01259807522791</v>
      </c>
      <c r="EN55" s="59">
        <f t="shared" si="20"/>
        <v>662.34593140856123</v>
      </c>
      <c r="EO55" s="59">
        <f ca="1">AVERAGE(OFFSET($EN$3,0,0,'Données projet'!$E$15+1,1))-AVERAGE(OFFSET($H$3,0,0,'Données projet'!$E$15+1,1))</f>
        <v>510.71380643466227</v>
      </c>
      <c r="EP55" s="59">
        <f t="shared" si="46"/>
        <v>252.40654099948841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6.9862500000000018</v>
      </c>
      <c r="N56" s="13">
        <f>IF('Données projet'!$A$36&gt;35,N55+M56-V55,IF(A56&lt;'Données projet'!$A$36,$K$205^A56,IF(A56='Données projet'!$A$36,'Données projet'!$B$36,N55+M56-V55)))</f>
        <v>136.13750000000002</v>
      </c>
      <c r="O56" s="13">
        <f>N56*VLOOKUP('Données projet'!$B$9,Paramètres!$A$1:$I$89,3,0)*VLOOKUP('Données projet'!$B$9,Paramètres!$A$1:$I$89,5,0)</f>
        <v>138.04342500000001</v>
      </c>
      <c r="P56" s="13">
        <f t="shared" si="33"/>
        <v>35.848415152819157</v>
      </c>
      <c r="Q56" s="20">
        <f t="shared" si="53"/>
        <v>302.86162159949333</v>
      </c>
      <c r="R56" s="59">
        <f t="shared" si="0"/>
        <v>596.1949549328267</v>
      </c>
      <c r="S56" s="59">
        <f ca="1">AVERAGE(OFFSET($R$3,0,0,'Données projet'!$E$9+1,1))-AVERAGE(OFFSET($H$3,0,0,'Données projet'!$E$9+1,1))</f>
        <v>543.67050511722618</v>
      </c>
      <c r="T56" s="59">
        <f t="shared" si="34"/>
        <v>249.0871389941106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17.578371927599342</v>
      </c>
      <c r="AB56" s="21">
        <f>EXP(-LN(2)/2)*AB55+(1-EXP(-LN(2)/2))/(LN(2)/2)*V56*Y56*VLOOKUP('Données projet'!$B$9,Paramètres!$A$1:$I$89,3,0)*0.475*44/12</f>
        <v>1.2927899137675785</v>
      </c>
      <c r="AC56" s="22">
        <f t="shared" si="3"/>
        <v>18.87116184136692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10.36375</v>
      </c>
      <c r="AI56" s="13">
        <f>IF('Données projet'!$A$62&gt;35,AI55+AH56-AQ55,IF(A56&lt;'Données projet'!$A$62,$AF$205^A56,IF(A56='Données projet'!$A$62,'Données projet'!$B$62,AI55+AH56-AQ55)))</f>
        <v>201.88125000000022</v>
      </c>
      <c r="AJ56" s="13">
        <f>AI56*VLOOKUP('Données projet'!$B$10,Paramètres!$A$1:$I$89,3,0)*VLOOKUP('Données projet'!$B$10,Paramètres!$A$1:$I$89,5,0)</f>
        <v>182.66215500000018</v>
      </c>
      <c r="AK56" s="13">
        <f t="shared" si="35"/>
        <v>45.913959577546748</v>
      </c>
      <c r="AL56" s="20">
        <f t="shared" si="4"/>
        <v>398.10339955589421</v>
      </c>
      <c r="AM56" s="59">
        <f t="shared" si="5"/>
        <v>691.43673288922753</v>
      </c>
      <c r="AN56" s="59">
        <f ca="1">AVERAGE(OFFSET($AM$3,0,0,'Données projet'!$E$10+1,1))-AVERAGE(OFFSET($H$3,0,0,'Données projet'!$E$10+1,1))</f>
        <v>635.71275911100679</v>
      </c>
      <c r="AO56" s="59">
        <f t="shared" si="36"/>
        <v>281.7776857269169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23.08374576688832</v>
      </c>
      <c r="AW56" s="21">
        <f>EXP(-LN(2)/2)*AW55+(1-EXP(-LN(2)/2))/(LN(2)/2)*AQ56*AT56*VLOOKUP('Données projet'!$B$10,Paramètres!$A$1:$I$89,3,0)*0.475*44/12</f>
        <v>2.4340674358824077</v>
      </c>
      <c r="AX56" s="21">
        <f t="shared" si="6"/>
        <v>25.517813202770729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3.3333333333333344</v>
      </c>
      <c r="BD56" s="12">
        <f>IF('Données projet'!$A$88&gt;35,BD55+BC56-BL55,IF(A56&lt;'Données projet'!$A$88,$BA$205^A56,IF(A56='Données projet'!$A$88,'Données projet'!$B$88,BD55+BC56-BL55)))</f>
        <v>109.35897435897432</v>
      </c>
      <c r="BE56" s="13">
        <f>BD56*VLOOKUP('Données projet'!$B$11,Paramètres!$A$1:$I$89,3,0)*VLOOKUP('Données projet'!$B$11,Paramètres!$A$1:$I$89,5,0)</f>
        <v>95.535999999999987</v>
      </c>
      <c r="BF56" s="13">
        <f t="shared" si="37"/>
        <v>25.895701102516686</v>
      </c>
      <c r="BG56" s="20">
        <f t="shared" si="7"/>
        <v>211.49354608688319</v>
      </c>
      <c r="BH56" s="59">
        <f t="shared" si="8"/>
        <v>504.82687942021653</v>
      </c>
      <c r="BI56" s="59">
        <f ca="1">AVERAGE(OFFSET($BH$3,0,0,'Données projet'!$E$11+1,1))-AVERAGE(OFFSET($H$3,0,0,'Données projet'!$E$11+1,1))</f>
        <v>204.11804238362862</v>
      </c>
      <c r="BJ56" s="59">
        <f t="shared" si="38"/>
        <v>185.53854651509408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11.772697337934614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11.772697337934614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6.9862500000000018</v>
      </c>
      <c r="BY56" s="12">
        <f>IF('Données projet'!$A$114&gt;35,BY55+BX56-CG55,IF(A56&lt;'Données projet'!$A$114,$BV$205^A56,IF(A56='Données projet'!$A$114,'Données projet'!$B$114,BY55+BX56-CG55)))</f>
        <v>136.13750000000002</v>
      </c>
      <c r="BZ56" s="13">
        <f>BY56*VLOOKUP('Données projet'!$B$12,Paramètres!$A$1:$I$89,3,0)*VLOOKUP('Données projet'!$B$12,Paramètres!$A$1:$I$89,5,0)</f>
        <v>135.91968000000003</v>
      </c>
      <c r="CA56" s="13">
        <f t="shared" si="39"/>
        <v>35.360658456859255</v>
      </c>
      <c r="CB56" s="20">
        <f t="shared" si="10"/>
        <v>298.31325614569658</v>
      </c>
      <c r="CC56" s="59">
        <f t="shared" si="11"/>
        <v>591.6465894790299</v>
      </c>
      <c r="CD56" s="59">
        <f ca="1">AVERAGE(OFFSET($CC$3,0,0,'Données projet'!$E$12+1,1))-AVERAGE(OFFSET($H$3,0,0,'Données projet'!$E$12+1,1))</f>
        <v>535.99935263833549</v>
      </c>
      <c r="CE56" s="59">
        <f t="shared" si="40"/>
        <v>245.89966477332644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5.4087298238767216</v>
      </c>
      <c r="CM56" s="21">
        <f>EXP(-LN(2)/2)*CM55+(1-EXP(-LN(2)/2))/(LN(2)/2)*CG56*CJ56*VLOOKUP('Données projet'!$B$12,Paramètres!$A$1:$I$89,3,0)*0.475*44/12</f>
        <v>1.5911260477139435</v>
      </c>
      <c r="CN56" s="22">
        <f t="shared" si="12"/>
        <v>6.9998558715906647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9.8828571428571443</v>
      </c>
      <c r="CT56" s="12">
        <f>IF('Données projet'!$A$140&gt;35,CT55+CS56-DB55,IF(A56&lt;'Données projet'!$A$140,$CQ$205^A56,IF(A56='Données projet'!$A$140,'Données projet'!$B$140,CT55+CS56-DB55)))</f>
        <v>143.55285714285711</v>
      </c>
      <c r="CU56" s="17">
        <f>CT56*VLOOKUP('Données projet'!$B$13,Paramètres!$A$1:$I$89,3,0)*VLOOKUP('Données projet'!$B$13,Paramètres!$A$1:$I$89,5,0)</f>
        <v>136.60489885714281</v>
      </c>
      <c r="CV56" s="13">
        <f t="shared" si="41"/>
        <v>35.518127724762081</v>
      </c>
      <c r="CW56" s="20">
        <f t="shared" si="13"/>
        <v>299.78093796348435</v>
      </c>
      <c r="CX56" s="59">
        <f t="shared" si="14"/>
        <v>593.11427129681761</v>
      </c>
      <c r="CY56" s="59">
        <f ca="1">AVERAGE(OFFSET($CX$3,0,0,'Données projet'!$E$13+1,1))-AVERAGE(OFFSET($H$3,0,0,'Données projet'!$E$13+1,1))</f>
        <v>449.28947235329758</v>
      </c>
      <c r="CZ56" s="59">
        <f t="shared" si="42"/>
        <v>289.36994109443964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4.9225724991540352</v>
      </c>
      <c r="DG56" s="21">
        <f>EXP(-LN(2)/25)*DG55+(1-EXP(-LN(2)/25))/(LN(2)/25)*Calculateur!DB56*Calculateur!DD56*VLOOKUP('Données projet'!$B$13,Paramètres!$A$1:$I$89,3,0)*0.475*44/12</f>
        <v>13.945081610592062</v>
      </c>
      <c r="DH56" s="21">
        <f>EXP(-LN(2)/2)*DH55+(1-EXP(-LN(2)/2))/(LN(2)/2)*DB56*DE56*VLOOKUP('Données projet'!$B$13,Paramètres!$A$1:$I$89,3,0)*0.475*44/12</f>
        <v>7.7208207723018614</v>
      </c>
      <c r="DI56" s="22">
        <f t="shared" si="15"/>
        <v>26.588474882047962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9.375</v>
      </c>
      <c r="DO56" s="12">
        <f>IF('Données projet'!$A$166&gt;35,DO55+DN56-DW55,IF(A56&lt;'Données projet'!$A$166,$DL$205^A56,IF(A56='Données projet'!$A$166,'Données projet'!$B$166,DO55+DN56-DW55)))</f>
        <v>231.37499999999989</v>
      </c>
      <c r="DP56" s="17">
        <f>DO56*VLOOKUP('Données projet'!$B$14,Paramètres!$A$1:$I$89,3,0)*VLOOKUP('Données projet'!$B$14,Paramètres!$A$1:$I$89,5,0)</f>
        <v>180.47249999999991</v>
      </c>
      <c r="DQ56" s="13">
        <f t="shared" si="43"/>
        <v>45.427292666837829</v>
      </c>
      <c r="DR56" s="20">
        <f t="shared" si="16"/>
        <v>393.44213889474241</v>
      </c>
      <c r="DS56" s="59">
        <f t="shared" si="17"/>
        <v>686.77547222807573</v>
      </c>
      <c r="DT56" s="59">
        <f ca="1">AVERAGE(OFFSET($DS$3,0,0,'Données projet'!$E$14+1,1))-AVERAGE(OFFSET($H$3,0,0,'Données projet'!$E$14+1,1))</f>
        <v>288.82868507674738</v>
      </c>
      <c r="DU56" s="59">
        <f t="shared" si="44"/>
        <v>283.48738729114024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12.286316957703223</v>
      </c>
      <c r="EB56" s="21">
        <f>EXP(-LN(2)/25)*EB55+(1-EXP(-LN(2)/25))/(LN(2)/25)*Calculateur!DW56*Calculateur!DY56*VLOOKUP('Données projet'!$B$14,Paramètres!$A$1:$I$89,3,0)*0.475*44/12</f>
        <v>13.511050108149012</v>
      </c>
      <c r="EC56" s="21">
        <f>EXP(-LN(2)/2)*EC55+(1-EXP(-LN(2)/2))/(LN(2)/2)*DW56*DZ56*VLOOKUP('Données projet'!$B$14,Paramètres!$A$1:$I$89,3,0)*0.475*44/12</f>
        <v>6.6238535982865505</v>
      </c>
      <c r="ED56" s="22">
        <f t="shared" si="18"/>
        <v>32.421220664138787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3.3603333333333336</v>
      </c>
      <c r="EJ56" s="12">
        <f>IF('Données projet'!$A$192&gt;35,EJ55+EI56-ER55,IF(A56&lt;'Données projet'!$A$192,$EG$205^A56,IF(A56='Données projet'!$A$192,'Données projet'!$B$192,EJ55+EI56-ER55)))</f>
        <v>178.09766666666658</v>
      </c>
      <c r="EK56" s="17">
        <f>EJ56*VLOOKUP('Données projet'!$B$15,Paramètres!$A$1:$I$89,3,0)*VLOOKUP('Données projet'!$B$15,Paramètres!$A$1:$I$89,5,0)</f>
        <v>172.25606319999994</v>
      </c>
      <c r="EL56" s="13">
        <f t="shared" si="45"/>
        <v>43.594918341190329</v>
      </c>
      <c r="EM56" s="20">
        <f t="shared" si="19"/>
        <v>375.94045951757306</v>
      </c>
      <c r="EN56" s="59">
        <f t="shared" si="20"/>
        <v>669.27379285090637</v>
      </c>
      <c r="EO56" s="59">
        <f ca="1">AVERAGE(OFFSET($EN$3,0,0,'Données projet'!$E$15+1,1))-AVERAGE(OFFSET($H$3,0,0,'Données projet'!$E$15+1,1))</f>
        <v>510.71380643466227</v>
      </c>
      <c r="EP56" s="59">
        <f t="shared" si="46"/>
        <v>252.40654099948841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6.9862500000000018</v>
      </c>
      <c r="N57" s="13">
        <f>IF('Données projet'!$A$36&gt;35,N56+M57-V56,IF(A57&lt;'Données projet'!$A$36,$K$205^A57,IF(A57='Données projet'!$A$36,'Données projet'!$B$36,N56+M57-V56)))</f>
        <v>143.12375000000003</v>
      </c>
      <c r="O57" s="13">
        <f>N57*VLOOKUP('Données projet'!$B$9,Paramètres!$A$1:$I$89,3,0)*VLOOKUP('Données projet'!$B$9,Paramètres!$A$1:$I$89,5,0)</f>
        <v>145.12748250000004</v>
      </c>
      <c r="P57" s="13">
        <f t="shared" si="33"/>
        <v>37.469169399592801</v>
      </c>
      <c r="Q57" s="20">
        <f t="shared" si="53"/>
        <v>318.02250205845752</v>
      </c>
      <c r="R57" s="59">
        <f t="shared" si="0"/>
        <v>611.35583539179083</v>
      </c>
      <c r="S57" s="59">
        <f ca="1">AVERAGE(OFFSET($R$3,0,0,'Données projet'!$E$9+1,1))-AVERAGE(OFFSET($H$3,0,0,'Données projet'!$E$9+1,1))</f>
        <v>543.67050511722618</v>
      </c>
      <c r="T57" s="59">
        <f t="shared" si="34"/>
        <v>249.0871389941106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17.097690422832734</v>
      </c>
      <c r="AB57" s="21">
        <f>EXP(-LN(2)/2)*AB56+(1-EXP(-LN(2)/2))/(LN(2)/2)*V57*Y57*VLOOKUP('Données projet'!$B$9,Paramètres!$A$1:$I$89,3,0)*0.475*44/12</f>
        <v>0.91414051467462676</v>
      </c>
      <c r="AC57" s="22">
        <f t="shared" si="3"/>
        <v>18.011830937507362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10.36375</v>
      </c>
      <c r="AI57" s="13">
        <f>IF('Données projet'!$A$62&gt;35,AI56+AH57-AQ56,IF(A57&lt;'Données projet'!$A$62,$AF$205^A57,IF(A57='Données projet'!$A$62,'Données projet'!$B$62,AI56+AH57-AQ56)))</f>
        <v>212.24500000000023</v>
      </c>
      <c r="AJ57" s="13">
        <f>AI57*VLOOKUP('Données projet'!$B$10,Paramètres!$A$1:$I$89,3,0)*VLOOKUP('Données projet'!$B$10,Paramètres!$A$1:$I$89,5,0)</f>
        <v>192.0392760000002</v>
      </c>
      <c r="AK57" s="13">
        <f t="shared" si="35"/>
        <v>47.990527307113453</v>
      </c>
      <c r="AL57" s="20">
        <f t="shared" si="4"/>
        <v>418.05190742655623</v>
      </c>
      <c r="AM57" s="59">
        <f t="shared" si="5"/>
        <v>711.38524075988948</v>
      </c>
      <c r="AN57" s="59">
        <f ca="1">AVERAGE(OFFSET($AM$3,0,0,'Données projet'!$E$10+1,1))-AVERAGE(OFFSET($H$3,0,0,'Données projet'!$E$10+1,1))</f>
        <v>635.71275911100679</v>
      </c>
      <c r="AO57" s="59">
        <f t="shared" si="36"/>
        <v>281.7776857269169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22.452519524971329</v>
      </c>
      <c r="AW57" s="21">
        <f>EXP(-LN(2)/2)*AW56+(1-EXP(-LN(2)/2))/(LN(2)/2)*AQ57*AT57*VLOOKUP('Données projet'!$B$10,Paramètres!$A$1:$I$89,3,0)*0.475*44/12</f>
        <v>1.7211455897778025</v>
      </c>
      <c r="AX57" s="21">
        <f t="shared" si="6"/>
        <v>24.173665114749131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3.3333333333333344</v>
      </c>
      <c r="BD57" s="12">
        <f>IF('Données projet'!$A$88&gt;35,BD56+BC57-BL56,IF(A57&lt;'Données projet'!$A$88,$BA$205^A57,IF(A57='Données projet'!$A$88,'Données projet'!$B$88,BD56+BC57-BL56)))</f>
        <v>112.69230769230765</v>
      </c>
      <c r="BE57" s="13">
        <f>BD57*VLOOKUP('Données projet'!$B$11,Paramètres!$A$1:$I$89,3,0)*VLOOKUP('Données projet'!$B$11,Paramètres!$A$1:$I$89,5,0)</f>
        <v>98.447999999999979</v>
      </c>
      <c r="BF57" s="13">
        <f t="shared" si="37"/>
        <v>26.591919029858307</v>
      </c>
      <c r="BG57" s="20">
        <f t="shared" si="7"/>
        <v>217.77785897700315</v>
      </c>
      <c r="BH57" s="59">
        <f t="shared" si="8"/>
        <v>511.11119231033649</v>
      </c>
      <c r="BI57" s="59">
        <f ca="1">AVERAGE(OFFSET($BH$3,0,0,'Données projet'!$E$11+1,1))-AVERAGE(OFFSET($H$3,0,0,'Données projet'!$E$11+1,1))</f>
        <v>204.11804238362862</v>
      </c>
      <c r="BJ57" s="59">
        <f t="shared" si="38"/>
        <v>185.53854651509408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11.450772310129546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11.450772310129546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6.9862500000000018</v>
      </c>
      <c r="BY57" s="12">
        <f>IF('Données projet'!$A$114&gt;35,BY56+BX57-CG56,IF(A57&lt;'Données projet'!$A$114,$BV$205^A57,IF(A57='Données projet'!$A$114,'Données projet'!$B$114,BY56+BX57-CG56)))</f>
        <v>143.12375000000003</v>
      </c>
      <c r="BZ57" s="13">
        <f>BY57*VLOOKUP('Données projet'!$B$12,Paramètres!$A$1:$I$89,3,0)*VLOOKUP('Données projet'!$B$12,Paramètres!$A$1:$I$89,5,0)</f>
        <v>142.89475200000004</v>
      </c>
      <c r="CA57" s="13">
        <f t="shared" si="39"/>
        <v>36.959360578511038</v>
      </c>
      <c r="CB57" s="20">
        <f t="shared" si="10"/>
        <v>313.24591274090682</v>
      </c>
      <c r="CC57" s="59">
        <f t="shared" si="11"/>
        <v>606.57924607424013</v>
      </c>
      <c r="CD57" s="59">
        <f ca="1">AVERAGE(OFFSET($CC$3,0,0,'Données projet'!$E$12+1,1))-AVERAGE(OFFSET($H$3,0,0,'Données projet'!$E$12+1,1))</f>
        <v>535.99935263833549</v>
      </c>
      <c r="CE57" s="59">
        <f t="shared" si="40"/>
        <v>245.89966477332644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5.2608278224100733</v>
      </c>
      <c r="CM57" s="21">
        <f>EXP(-LN(2)/2)*CM56+(1-EXP(-LN(2)/2))/(LN(2)/2)*CG57*CJ57*VLOOKUP('Données projet'!$B$12,Paramètres!$A$1:$I$89,3,0)*0.475*44/12</f>
        <v>1.1250960180610796</v>
      </c>
      <c r="CN57" s="22">
        <f t="shared" si="12"/>
        <v>6.3859238404711531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9.8828571428571443</v>
      </c>
      <c r="CT57" s="12">
        <f>IF('Données projet'!$A$140&gt;35,CT56+CS57-DB56,IF(A57&lt;'Données projet'!$A$140,$CQ$205^A57,IF(A57='Données projet'!$A$140,'Données projet'!$B$140,CT56+CS57-DB56)))</f>
        <v>153.43571428571425</v>
      </c>
      <c r="CU57" s="17">
        <f>CT57*VLOOKUP('Données projet'!$B$13,Paramètres!$A$1:$I$89,3,0)*VLOOKUP('Données projet'!$B$13,Paramètres!$A$1:$I$89,5,0)</f>
        <v>146.0094257142857</v>
      </c>
      <c r="CV57" s="13">
        <f t="shared" si="41"/>
        <v>37.670295045235548</v>
      </c>
      <c r="CW57" s="20">
        <f t="shared" si="13"/>
        <v>319.90884698949952</v>
      </c>
      <c r="CX57" s="59">
        <f t="shared" si="14"/>
        <v>613.24218032283284</v>
      </c>
      <c r="CY57" s="59">
        <f ca="1">AVERAGE(OFFSET($CX$3,0,0,'Données projet'!$E$13+1,1))-AVERAGE(OFFSET($H$3,0,0,'Données projet'!$E$13+1,1))</f>
        <v>449.28947235329758</v>
      </c>
      <c r="CZ57" s="59">
        <f t="shared" si="42"/>
        <v>289.36994109443964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4.8260438549183791</v>
      </c>
      <c r="DG57" s="21">
        <f>EXP(-LN(2)/25)*DG56+(1-EXP(-LN(2)/25))/(LN(2)/25)*Calculateur!DB57*Calculateur!DD57*VLOOKUP('Données projet'!$B$13,Paramètres!$A$1:$I$89,3,0)*0.475*44/12</f>
        <v>13.563752620610453</v>
      </c>
      <c r="DH57" s="21">
        <f>EXP(-LN(2)/2)*DH56+(1-EXP(-LN(2)/2))/(LN(2)/2)*DB57*DE57*VLOOKUP('Données projet'!$B$13,Paramètres!$A$1:$I$89,3,0)*0.475*44/12</f>
        <v>5.4594447244206039</v>
      </c>
      <c r="DI57" s="22">
        <f t="shared" si="15"/>
        <v>23.849241199949436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9.375</v>
      </c>
      <c r="DO57" s="12">
        <f>IF('Données projet'!$A$166&gt;35,DO56+DN57-DW56,IF(A57&lt;'Données projet'!$A$166,$DL$205^A57,IF(A57='Données projet'!$A$166,'Données projet'!$B$166,DO56+DN57-DW56)))</f>
        <v>240.74999999999989</v>
      </c>
      <c r="DP57" s="17">
        <f>DO57*VLOOKUP('Données projet'!$B$14,Paramètres!$A$1:$I$89,3,0)*VLOOKUP('Données projet'!$B$14,Paramètres!$A$1:$I$89,5,0)</f>
        <v>187.78499999999991</v>
      </c>
      <c r="DQ57" s="13">
        <f t="shared" si="43"/>
        <v>47.049914090154054</v>
      </c>
      <c r="DR57" s="20">
        <f t="shared" si="16"/>
        <v>409.0041420403515</v>
      </c>
      <c r="DS57" s="59">
        <f t="shared" si="17"/>
        <v>702.33747537368481</v>
      </c>
      <c r="DT57" s="59">
        <f ca="1">AVERAGE(OFFSET($DS$3,0,0,'Données projet'!$E$14+1,1))-AVERAGE(OFFSET($H$3,0,0,'Données projet'!$E$14+1,1))</f>
        <v>288.82868507674738</v>
      </c>
      <c r="DU57" s="59">
        <f t="shared" si="44"/>
        <v>283.48738729114024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12.045389776076044</v>
      </c>
      <c r="EB57" s="21">
        <f>EXP(-LN(2)/25)*EB56+(1-EXP(-LN(2)/25))/(LN(2)/25)*Calculateur!DW57*Calculateur!DY57*VLOOKUP('Données projet'!$B$14,Paramètres!$A$1:$I$89,3,0)*0.475*44/12</f>
        <v>13.141589732426432</v>
      </c>
      <c r="EC57" s="21">
        <f>EXP(-LN(2)/2)*EC56+(1-EXP(-LN(2)/2))/(LN(2)/2)*DW57*DZ57*VLOOKUP('Données projet'!$B$14,Paramètres!$A$1:$I$89,3,0)*0.475*44/12</f>
        <v>4.6837717969353339</v>
      </c>
      <c r="ED57" s="22">
        <f t="shared" si="18"/>
        <v>29.870751305437807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3.3603333333333336</v>
      </c>
      <c r="EJ57" s="12">
        <f>IF('Données projet'!$A$192&gt;35,EJ56+EI57-ER56,IF(A57&lt;'Données projet'!$A$192,$EG$205^A57,IF(A57='Données projet'!$A$192,'Données projet'!$B$192,EJ56+EI57-ER56)))</f>
        <v>181.45799999999991</v>
      </c>
      <c r="EK57" s="17">
        <f>EJ57*VLOOKUP('Données projet'!$B$15,Paramètres!$A$1:$I$89,3,0)*VLOOKUP('Données projet'!$B$15,Paramètres!$A$1:$I$89,5,0)</f>
        <v>175.50617759999992</v>
      </c>
      <c r="EL57" s="13">
        <f t="shared" si="45"/>
        <v>44.320927097461883</v>
      </c>
      <c r="EM57" s="20">
        <f t="shared" si="19"/>
        <v>382.8655406814126</v>
      </c>
      <c r="EN57" s="59">
        <f t="shared" si="20"/>
        <v>676.19887401474591</v>
      </c>
      <c r="EO57" s="59">
        <f ca="1">AVERAGE(OFFSET($EN$3,0,0,'Données projet'!$E$15+1,1))-AVERAGE(OFFSET($H$3,0,0,'Données projet'!$E$15+1,1))</f>
        <v>510.71380643466227</v>
      </c>
      <c r="EP57" s="59">
        <f t="shared" si="46"/>
        <v>252.40654099948841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150.11000000000001</v>
      </c>
      <c r="L58" s="12">
        <f>VLOOKUP(A58,'Données projet'!$A$35:$I$55,9,0)</f>
        <v>6.9862500000000018</v>
      </c>
      <c r="M58" s="12">
        <f t="array" ref="M58">INDEX(L:L,MIN(IF(ISNUMBER(L58:L254),ROW(L58:L254),"")))</f>
        <v>6.9862500000000018</v>
      </c>
      <c r="N58" s="13">
        <f>IF('Données projet'!$A$36&gt;35,N57+M58-V57,IF(A58&lt;'Données projet'!$A$36,$K$205^A58,IF(A58='Données projet'!$A$36,'Données projet'!$B$36,N57+M58-V57)))</f>
        <v>150.11000000000004</v>
      </c>
      <c r="O58" s="13">
        <f>N58*VLOOKUP('Données projet'!$B$9,Paramètres!$A$1:$I$89,3,0)*VLOOKUP('Données projet'!$B$9,Paramètres!$A$1:$I$89,5,0)</f>
        <v>152.21154000000004</v>
      </c>
      <c r="P58" s="13">
        <f t="shared" si="33"/>
        <v>39.080737116536334</v>
      </c>
      <c r="Q58" s="20">
        <f t="shared" si="53"/>
        <v>333.16738264463419</v>
      </c>
      <c r="R58" s="59">
        <f t="shared" si="0"/>
        <v>626.5007159779675</v>
      </c>
      <c r="S58" s="59">
        <f ca="1">AVERAGE(OFFSET($R$3,0,0,'Données projet'!$E$9+1,1))-AVERAGE(OFFSET($H$3,0,0,'Données projet'!$E$9+1,1))</f>
        <v>543.67050511722618</v>
      </c>
      <c r="T58" s="59">
        <f t="shared" si="34"/>
        <v>249.0871389941106</v>
      </c>
      <c r="U58" s="15">
        <f>IF(ISNA(VLOOKUP(A58,'Données projet'!$A$35:$I$55,3,0)),0,VLOOKUP(A58,'Données projet'!$A$35:$I$55,3,0))</f>
        <v>2</v>
      </c>
      <c r="V58" s="15">
        <f>IF(ISNA(VLOOKUP(A58,'Données projet'!$A$35:$I$55,4,0)),0,VLOOKUP(A58,'Données projet'!$A$35:$I$55,4,0))</f>
        <v>37.430000000000007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0.34400000000000003</v>
      </c>
      <c r="Y58" s="16">
        <f>IF(ISNA(VLOOKUP(A58,'Données projet'!$A$35:$I$55,7,0)),0%,VLOOKUP(A58,'Données projet'!$A$35:$I$55,7,0))</f>
        <v>0.2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31.00654752251036</v>
      </c>
      <c r="AB58" s="21">
        <f>EXP(-LN(2)/2)*AB57+(1-EXP(-LN(2)/2))/(LN(2)/2)*V58*Y58*VLOOKUP('Données projet'!$B$9,Paramètres!$A$1:$I$89,3,0)*0.475*44/12</f>
        <v>7.8085228343780306</v>
      </c>
      <c r="AC58" s="22">
        <f t="shared" si="3"/>
        <v>38.815070356888391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10.36375</v>
      </c>
      <c r="AI58" s="13">
        <f>IF('Données projet'!$A$62&gt;35,AI57+AH58-AQ57,IF(A58&lt;'Données projet'!$A$62,$AF$205^A58,IF(A58='Données projet'!$A$62,'Données projet'!$B$62,AI57+AH58-AQ57)))</f>
        <v>222.60875000000024</v>
      </c>
      <c r="AJ58" s="13">
        <f>AI58*VLOOKUP('Données projet'!$B$10,Paramètres!$A$1:$I$89,3,0)*VLOOKUP('Données projet'!$B$10,Paramètres!$A$1:$I$89,5,0)</f>
        <v>201.41639700000019</v>
      </c>
      <c r="AK58" s="13">
        <f t="shared" si="35"/>
        <v>50.055320951535919</v>
      </c>
      <c r="AL58" s="20">
        <f t="shared" si="4"/>
        <v>437.97990876559203</v>
      </c>
      <c r="AM58" s="59">
        <f t="shared" si="5"/>
        <v>731.31324209892534</v>
      </c>
      <c r="AN58" s="59">
        <f ca="1">AVERAGE(OFFSET($AM$3,0,0,'Données projet'!$E$10+1,1))-AVERAGE(OFFSET($H$3,0,0,'Données projet'!$E$10+1,1))</f>
        <v>635.71275911100679</v>
      </c>
      <c r="AO58" s="59">
        <f t="shared" si="36"/>
        <v>281.7776857269169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21.838554197834302</v>
      </c>
      <c r="AW58" s="21">
        <f>EXP(-LN(2)/2)*AW57+(1-EXP(-LN(2)/2))/(LN(2)/2)*AQ58*AT58*VLOOKUP('Données projet'!$B$10,Paramètres!$A$1:$I$89,3,0)*0.475*44/12</f>
        <v>1.2170337179412041</v>
      </c>
      <c r="AX58" s="21">
        <f t="shared" si="6"/>
        <v>23.055587915775504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116.02564102564102</v>
      </c>
      <c r="BB58" s="12">
        <f>VLOOKUP(A58,'Données projet'!$A$87:$I$107,9,0)</f>
        <v>3.3333333333333344</v>
      </c>
      <c r="BC58" s="12">
        <f t="array" ref="BC58">INDEX(BB:BB,MIN(IF(ISNUMBER(BB58:BB254),ROW(BB58:BB254),"")))</f>
        <v>3.3333333333333344</v>
      </c>
      <c r="BD58" s="12">
        <f>IF('Données projet'!$A$88&gt;35,BD57+BC58-BL57,IF(A58&lt;'Données projet'!$A$88,$BA$205^A58,IF(A58='Données projet'!$A$88,'Données projet'!$B$88,BD57+BC58-BL57)))</f>
        <v>116.02564102564098</v>
      </c>
      <c r="BE58" s="13">
        <f>BD58*VLOOKUP('Données projet'!$B$11,Paramètres!$A$1:$I$89,3,0)*VLOOKUP('Données projet'!$B$11,Paramètres!$A$1:$I$89,5,0)</f>
        <v>101.35999999999997</v>
      </c>
      <c r="BF58" s="13">
        <f t="shared" si="37"/>
        <v>27.285743629596691</v>
      </c>
      <c r="BG58" s="20">
        <f t="shared" si="7"/>
        <v>224.05800348821421</v>
      </c>
      <c r="BH58" s="59">
        <f t="shared" si="8"/>
        <v>517.3913368215475</v>
      </c>
      <c r="BI58" s="59">
        <f ca="1">AVERAGE(OFFSET($BH$3,0,0,'Données projet'!$E$11+1,1))-AVERAGE(OFFSET($H$3,0,0,'Données projet'!$E$11+1,1))</f>
        <v>204.11804238362862</v>
      </c>
      <c r="BJ58" s="59">
        <f t="shared" si="38"/>
        <v>185.53854651509408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10.897435897435898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0.215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13.391418091365086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13.391418091365086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150.11000000000001</v>
      </c>
      <c r="BW58" s="12">
        <f>VLOOKUP(A58,'Données projet'!$A$113:$I$133,9,0)</f>
        <v>6.9862500000000018</v>
      </c>
      <c r="BX58" s="12">
        <f t="array" ref="BX58">INDEX(BW:BW,MIN(IF(ISNUMBER(BW58:BW254),ROW(BW58:BW254),"")))</f>
        <v>6.9862500000000018</v>
      </c>
      <c r="BY58" s="12">
        <f>IF('Données projet'!$A$114&gt;35,BY57+BX58-CG57,IF(A58&lt;'Données projet'!$A$114,$BV$205^A58,IF(A58='Données projet'!$A$114,'Données projet'!$B$114,BY57+BX58-CG57)))</f>
        <v>150.11000000000004</v>
      </c>
      <c r="BZ58" s="13">
        <f>BY58*VLOOKUP('Données projet'!$B$12,Paramètres!$A$1:$I$89,3,0)*VLOOKUP('Données projet'!$B$12,Paramètres!$A$1:$I$89,5,0)</f>
        <v>149.86982400000005</v>
      </c>
      <c r="CA58" s="13">
        <f t="shared" si="39"/>
        <v>38.549001163067231</v>
      </c>
      <c r="CB58" s="20">
        <f t="shared" si="10"/>
        <v>328.16278715900881</v>
      </c>
      <c r="CC58" s="59">
        <f t="shared" si="11"/>
        <v>621.49612049234213</v>
      </c>
      <c r="CD58" s="59">
        <f ca="1">AVERAGE(OFFSET($CC$3,0,0,'Données projet'!$E$12+1,1))-AVERAGE(OFFSET($H$3,0,0,'Données projet'!$E$12+1,1))</f>
        <v>535.99935263833549</v>
      </c>
      <c r="CE58" s="59">
        <f t="shared" si="40"/>
        <v>245.89966477332644</v>
      </c>
      <c r="CF58" s="15">
        <f>IF(ISNA(VLOOKUP(A58,'Données projet'!$A$113:$I$133,3,0)),0,VLOOKUP(A58,'Données projet'!$A$113:$I$133,3,0))</f>
        <v>2</v>
      </c>
      <c r="CG58" s="15">
        <f>IF(ISNA(VLOOKUP(A58,'Données projet'!$A$113:$I$133,4,0)),0,VLOOKUP(A58,'Données projet'!$A$113:$I$133,4,0))</f>
        <v>37.430000000000007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0.1075</v>
      </c>
      <c r="CJ58" s="16">
        <f>IF(ISNA(VLOOKUP(A58,'Données projet'!$A$113:$I$133,7,0)),0%,VLOOKUP(A58,'Données projet'!$A$113:$I$133,7,0))</f>
        <v>0.25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9.5404761607724193</v>
      </c>
      <c r="CM58" s="21">
        <f>EXP(-LN(2)/2)*CM57+(1-EXP(-LN(2)/2))/(LN(2)/2)*CG58*CJ58*VLOOKUP('Données projet'!$B$12,Paramètres!$A$1:$I$89,3,0)*0.475*44/12</f>
        <v>9.6104896423114212</v>
      </c>
      <c r="CN58" s="22">
        <f t="shared" si="12"/>
        <v>19.150965803083842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9.8828571428571443</v>
      </c>
      <c r="CT58" s="12">
        <f>IF('Données projet'!$A$140&gt;35,CT57+CS58-DB57,IF(A58&lt;'Données projet'!$A$140,$CQ$205^A58,IF(A58='Données projet'!$A$140,'Données projet'!$B$140,CT57+CS58-DB57)))</f>
        <v>163.3185714285714</v>
      </c>
      <c r="CU58" s="17">
        <f>CT58*VLOOKUP('Données projet'!$B$13,Paramètres!$A$1:$I$89,3,0)*VLOOKUP('Données projet'!$B$13,Paramètres!$A$1:$I$89,5,0)</f>
        <v>155.41395257142855</v>
      </c>
      <c r="CV58" s="13">
        <f t="shared" si="41"/>
        <v>39.806375365418063</v>
      </c>
      <c r="CW58" s="20">
        <f t="shared" si="13"/>
        <v>340.00873782334116</v>
      </c>
      <c r="CX58" s="59">
        <f t="shared" si="14"/>
        <v>633.34207115667448</v>
      </c>
      <c r="CY58" s="59">
        <f ca="1">AVERAGE(OFFSET($CX$3,0,0,'Données projet'!$E$13+1,1))-AVERAGE(OFFSET($H$3,0,0,'Données projet'!$E$13+1,1))</f>
        <v>449.28947235329758</v>
      </c>
      <c r="CZ58" s="59">
        <f t="shared" si="42"/>
        <v>289.36994109443964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4.7314080785195252</v>
      </c>
      <c r="DG58" s="21">
        <f>EXP(-LN(2)/25)*DG57+(1-EXP(-LN(2)/25))/(LN(2)/25)*Calculateur!DB58*Calculateur!DD58*VLOOKUP('Données projet'!$B$13,Paramètres!$A$1:$I$89,3,0)*0.475*44/12</f>
        <v>13.192851091913109</v>
      </c>
      <c r="DH58" s="21">
        <f>EXP(-LN(2)/2)*DH57+(1-EXP(-LN(2)/2))/(LN(2)/2)*DB58*DE58*VLOOKUP('Données projet'!$B$13,Paramètres!$A$1:$I$89,3,0)*0.475*44/12</f>
        <v>3.8604103861509316</v>
      </c>
      <c r="DI58" s="22">
        <f t="shared" si="15"/>
        <v>21.784669556583566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9.375</v>
      </c>
      <c r="DO58" s="12">
        <f>IF('Données projet'!$A$166&gt;35,DO57+DN58-DW57,IF(A58&lt;'Données projet'!$A$166,$DL$205^A58,IF(A58='Données projet'!$A$166,'Données projet'!$B$166,DO57+DN58-DW57)))</f>
        <v>250.12499999999989</v>
      </c>
      <c r="DP58" s="17">
        <f>DO58*VLOOKUP('Données projet'!$B$14,Paramètres!$A$1:$I$89,3,0)*VLOOKUP('Données projet'!$B$14,Paramètres!$A$1:$I$89,5,0)</f>
        <v>195.09749999999991</v>
      </c>
      <c r="DQ58" s="13">
        <f t="shared" si="43"/>
        <v>48.66519532492579</v>
      </c>
      <c r="DR58" s="20">
        <f t="shared" si="16"/>
        <v>424.55336102424553</v>
      </c>
      <c r="DS58" s="59">
        <f t="shared" si="17"/>
        <v>717.88669435757879</v>
      </c>
      <c r="DT58" s="59">
        <f ca="1">AVERAGE(OFFSET($DS$3,0,0,'Données projet'!$E$14+1,1))-AVERAGE(OFFSET($H$3,0,0,'Données projet'!$E$14+1,1))</f>
        <v>288.82868507674738</v>
      </c>
      <c r="DU58" s="59">
        <f t="shared" si="44"/>
        <v>283.48738729114024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11.809187029529504</v>
      </c>
      <c r="EB58" s="21">
        <f>EXP(-LN(2)/25)*EB57+(1-EXP(-LN(2)/25))/(LN(2)/25)*Calculateur!DW58*Calculateur!DY58*VLOOKUP('Données projet'!$B$14,Paramètres!$A$1:$I$89,3,0)*0.475*44/12</f>
        <v>12.782232270107063</v>
      </c>
      <c r="EC58" s="21">
        <f>EXP(-LN(2)/2)*EC57+(1-EXP(-LN(2)/2))/(LN(2)/2)*DW58*DZ58*VLOOKUP('Données projet'!$B$14,Paramètres!$A$1:$I$89,3,0)*0.475*44/12</f>
        <v>3.3119267991432757</v>
      </c>
      <c r="ED58" s="22">
        <f t="shared" si="18"/>
        <v>27.903346098779842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3.3603333333333336</v>
      </c>
      <c r="EJ58" s="12">
        <f>IF('Données projet'!$A$192&gt;35,EJ57+EI58-ER57,IF(A58&lt;'Données projet'!$A$192,$EG$205^A58,IF(A58='Données projet'!$A$192,'Données projet'!$B$192,EJ57+EI58-ER57)))</f>
        <v>184.81833333333324</v>
      </c>
      <c r="EK58" s="17">
        <f>EJ58*VLOOKUP('Données projet'!$B$15,Paramètres!$A$1:$I$89,3,0)*VLOOKUP('Données projet'!$B$15,Paramètres!$A$1:$I$89,5,0)</f>
        <v>178.75629199999992</v>
      </c>
      <c r="EL58" s="13">
        <f t="shared" si="45"/>
        <v>45.045372492523107</v>
      </c>
      <c r="EM58" s="20">
        <f t="shared" si="19"/>
        <v>389.78789899114423</v>
      </c>
      <c r="EN58" s="59">
        <f t="shared" si="20"/>
        <v>683.12123232447755</v>
      </c>
      <c r="EO58" s="59">
        <f ca="1">AVERAGE(OFFSET($EN$3,0,0,'Données projet'!$E$15+1,1))-AVERAGE(OFFSET($H$3,0,0,'Données projet'!$E$15+1,1))</f>
        <v>510.71380643466227</v>
      </c>
      <c r="EP58" s="59">
        <f t="shared" si="46"/>
        <v>252.40654099948841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6.8699999999999974</v>
      </c>
      <c r="N59" s="13">
        <f>IF('Données projet'!$A$36&gt;35,N58+M59-V58,IF(A59&lt;'Données projet'!$A$36,$K$205^A59,IF(A59='Données projet'!$A$36,'Données projet'!$B$36,N58+M59-V58)))</f>
        <v>119.55000000000004</v>
      </c>
      <c r="O59" s="13">
        <f>N59*VLOOKUP('Données projet'!$B$9,Paramètres!$A$1:$I$89,3,0)*VLOOKUP('Données projet'!$B$9,Paramètres!$A$1:$I$89,5,0)</f>
        <v>121.22370000000004</v>
      </c>
      <c r="P59" s="13">
        <f t="shared" si="33"/>
        <v>31.960238475003706</v>
      </c>
      <c r="Q59" s="20">
        <f t="shared" si="53"/>
        <v>266.7953595106315</v>
      </c>
      <c r="R59" s="59">
        <f t="shared" si="0"/>
        <v>560.12869284396481</v>
      </c>
      <c r="S59" s="59">
        <f ca="1">AVERAGE(OFFSET($R$3,0,0,'Données projet'!$E$9+1,1))-AVERAGE(OFFSET($H$3,0,0,'Données projet'!$E$9+1,1))</f>
        <v>543.67050511722618</v>
      </c>
      <c r="T59" s="59">
        <f t="shared" si="34"/>
        <v>249.0871389941106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30.158671849943847</v>
      </c>
      <c r="AB59" s="21">
        <f>EXP(-LN(2)/2)*AB58+(1-EXP(-LN(2)/2))/(LN(2)/2)*V59*Y59*VLOOKUP('Données projet'!$B$9,Paramètres!$A$1:$I$89,3,0)*0.475*44/12</f>
        <v>5.5214594472387066</v>
      </c>
      <c r="AC59" s="22">
        <f t="shared" si="3"/>
        <v>35.680131297182555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10.36375</v>
      </c>
      <c r="AI59" s="13">
        <f>IF('Données projet'!$A$62&gt;35,AI58+AH59-AQ58,IF(A59&lt;'Données projet'!$A$62,$AF$205^A59,IF(A59='Données projet'!$A$62,'Données projet'!$B$62,AI58+AH59-AQ58)))</f>
        <v>232.97250000000025</v>
      </c>
      <c r="AJ59" s="13">
        <f>AI59*VLOOKUP('Données projet'!$B$10,Paramètres!$A$1:$I$89,3,0)*VLOOKUP('Données projet'!$B$10,Paramètres!$A$1:$I$89,5,0)</f>
        <v>210.7935180000002</v>
      </c>
      <c r="AK59" s="13">
        <f t="shared" si="35"/>
        <v>52.108951264882847</v>
      </c>
      <c r="AL59" s="20">
        <f t="shared" si="4"/>
        <v>457.88846730300457</v>
      </c>
      <c r="AM59" s="59">
        <f t="shared" si="5"/>
        <v>751.22180063633789</v>
      </c>
      <c r="AN59" s="59">
        <f ca="1">AVERAGE(OFFSET($AM$3,0,0,'Données projet'!$E$10+1,1))-AVERAGE(OFFSET($H$3,0,0,'Données projet'!$E$10+1,1))</f>
        <v>635.71275911100679</v>
      </c>
      <c r="AO59" s="59">
        <f t="shared" si="36"/>
        <v>281.7776857269169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21.241377784854869</v>
      </c>
      <c r="AW59" s="21">
        <f>EXP(-LN(2)/2)*AW58+(1-EXP(-LN(2)/2))/(LN(2)/2)*AQ59*AT59*VLOOKUP('Données projet'!$B$10,Paramètres!$A$1:$I$89,3,0)*0.475*44/12</f>
        <v>0.86057279488890148</v>
      </c>
      <c r="AX59" s="21">
        <f t="shared" si="6"/>
        <v>22.101950579743772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3.2051282051282071</v>
      </c>
      <c r="BD59" s="12">
        <f>IF('Données projet'!$A$88&gt;35,BD58+BC59-BL58,IF(A59&lt;'Données projet'!$A$88,$BA$205^A59,IF(A59='Données projet'!$A$88,'Données projet'!$B$88,BD58+BC59-BL58)))</f>
        <v>108.33333333333329</v>
      </c>
      <c r="BE59" s="13">
        <f>BD59*VLOOKUP('Données projet'!$B$11,Paramètres!$A$1:$I$89,3,0)*VLOOKUP('Données projet'!$B$11,Paramètres!$A$1:$I$89,5,0)</f>
        <v>94.639999999999972</v>
      </c>
      <c r="BF59" s="13">
        <f t="shared" si="37"/>
        <v>25.680986215135576</v>
      </c>
      <c r="BG59" s="20">
        <f t="shared" si="7"/>
        <v>209.55905099136109</v>
      </c>
      <c r="BH59" s="59">
        <f t="shared" si="8"/>
        <v>502.89238432469438</v>
      </c>
      <c r="BI59" s="59">
        <f ca="1">AVERAGE(OFFSET($BH$3,0,0,'Données projet'!$E$11+1,1))-AVERAGE(OFFSET($H$3,0,0,'Données projet'!$E$11+1,1))</f>
        <v>204.11804238362862</v>
      </c>
      <c r="BJ59" s="59">
        <f t="shared" si="38"/>
        <v>185.53854651509408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13.025229059432636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13.025229059432636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6.8699999999999974</v>
      </c>
      <c r="BY59" s="12">
        <f>IF('Données projet'!$A$114&gt;35,BY58+BX59-CG58,IF(A59&lt;'Données projet'!$A$114,$BV$205^A59,IF(A59='Données projet'!$A$114,'Données projet'!$B$114,BY58+BX59-CG58)))</f>
        <v>119.55000000000004</v>
      </c>
      <c r="BZ59" s="13">
        <f>BY59*VLOOKUP('Données projet'!$B$12,Paramètres!$A$1:$I$89,3,0)*VLOOKUP('Données projet'!$B$12,Paramètres!$A$1:$I$89,5,0)</f>
        <v>119.35872000000005</v>
      </c>
      <c r="CA59" s="13">
        <f t="shared" si="39"/>
        <v>31.525384653594745</v>
      </c>
      <c r="CB59" s="20">
        <f t="shared" si="10"/>
        <v>262.78981560501092</v>
      </c>
      <c r="CC59" s="59">
        <f t="shared" si="11"/>
        <v>556.12314893834423</v>
      </c>
      <c r="CD59" s="59">
        <f ca="1">AVERAGE(OFFSET($CC$3,0,0,'Données projet'!$E$12+1,1))-AVERAGE(OFFSET($H$3,0,0,'Données projet'!$E$12+1,1))</f>
        <v>535.99935263833549</v>
      </c>
      <c r="CE59" s="59">
        <f t="shared" si="40"/>
        <v>245.89966477332644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9.279591338444261</v>
      </c>
      <c r="CM59" s="21">
        <f>EXP(-LN(2)/2)*CM58+(1-EXP(-LN(2)/2))/(LN(2)/2)*CG59*CJ59*VLOOKUP('Données projet'!$B$12,Paramètres!$A$1:$I$89,3,0)*0.475*44/12</f>
        <v>6.7956423966014841</v>
      </c>
      <c r="CN59" s="22">
        <f t="shared" si="12"/>
        <v>16.075233735045746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9.8828571428571443</v>
      </c>
      <c r="CT59" s="12">
        <f>IF('Données projet'!$A$140&gt;35,CT58+CS59-DB58,IF(A59&lt;'Données projet'!$A$140,$CQ$205^A59,IF(A59='Données projet'!$A$140,'Données projet'!$B$140,CT58+CS59-DB58)))</f>
        <v>173.20142857142855</v>
      </c>
      <c r="CU59" s="17">
        <f>CT59*VLOOKUP('Données projet'!$B$13,Paramètres!$A$1:$I$89,3,0)*VLOOKUP('Données projet'!$B$13,Paramètres!$A$1:$I$89,5,0)</f>
        <v>164.81847942857141</v>
      </c>
      <c r="CV59" s="13">
        <f t="shared" si="41"/>
        <v>41.927453010205141</v>
      </c>
      <c r="CW59" s="20">
        <f t="shared" si="13"/>
        <v>360.08249899753582</v>
      </c>
      <c r="CX59" s="59">
        <f t="shared" si="14"/>
        <v>653.41583233086908</v>
      </c>
      <c r="CY59" s="59">
        <f ca="1">AVERAGE(OFFSET($CX$3,0,0,'Données projet'!$E$13+1,1))-AVERAGE(OFFSET($H$3,0,0,'Données projet'!$E$13+1,1))</f>
        <v>449.28947235329758</v>
      </c>
      <c r="CZ59" s="59">
        <f t="shared" si="42"/>
        <v>289.36994109443964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4.6386280519737291</v>
      </c>
      <c r="DG59" s="21">
        <f>EXP(-LN(2)/25)*DG58+(1-EXP(-LN(2)/25))/(LN(2)/25)*Calculateur!DB59*Calculateur!DD59*VLOOKUP('Données projet'!$B$13,Paramètres!$A$1:$I$89,3,0)*0.475*44/12</f>
        <v>12.832091885022859</v>
      </c>
      <c r="DH59" s="21">
        <f>EXP(-LN(2)/2)*DH58+(1-EXP(-LN(2)/2))/(LN(2)/2)*DB59*DE59*VLOOKUP('Données projet'!$B$13,Paramètres!$A$1:$I$89,3,0)*0.475*44/12</f>
        <v>2.7297223622103024</v>
      </c>
      <c r="DI59" s="22">
        <f t="shared" si="15"/>
        <v>20.200442299206891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9.375</v>
      </c>
      <c r="DO59" s="12">
        <f>IF('Données projet'!$A$166&gt;35,DO58+DN59-DW58,IF(A59&lt;'Données projet'!$A$166,$DL$205^A59,IF(A59='Données projet'!$A$166,'Données projet'!$B$166,DO58+DN59-DW58)))</f>
        <v>259.49999999999989</v>
      </c>
      <c r="DP59" s="17">
        <f>DO59*VLOOKUP('Données projet'!$B$14,Paramètres!$A$1:$I$89,3,0)*VLOOKUP('Données projet'!$B$14,Paramètres!$A$1:$I$89,5,0)</f>
        <v>202.40999999999991</v>
      </c>
      <c r="DQ59" s="13">
        <f t="shared" si="43"/>
        <v>50.273442991661817</v>
      </c>
      <c r="DR59" s="20">
        <f t="shared" si="16"/>
        <v>440.09032987714414</v>
      </c>
      <c r="DS59" s="59">
        <f t="shared" si="17"/>
        <v>733.42366321047746</v>
      </c>
      <c r="DT59" s="59">
        <f ca="1">AVERAGE(OFFSET($DS$3,0,0,'Données projet'!$E$14+1,1))-AVERAGE(OFFSET($H$3,0,0,'Données projet'!$E$14+1,1))</f>
        <v>288.82868507674738</v>
      </c>
      <c r="DU59" s="59">
        <f t="shared" si="44"/>
        <v>283.48738729114024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11.577616074773292</v>
      </c>
      <c r="EB59" s="21">
        <f>EXP(-LN(2)/25)*EB58+(1-EXP(-LN(2)/25))/(LN(2)/25)*Calculateur!DW59*Calculateur!DY59*VLOOKUP('Données projet'!$B$14,Paramètres!$A$1:$I$89,3,0)*0.475*44/12</f>
        <v>12.432701456492603</v>
      </c>
      <c r="EC59" s="21">
        <f>EXP(-LN(2)/2)*EC58+(1-EXP(-LN(2)/2))/(LN(2)/2)*DW59*DZ59*VLOOKUP('Données projet'!$B$14,Paramètres!$A$1:$I$89,3,0)*0.475*44/12</f>
        <v>2.3418858984676669</v>
      </c>
      <c r="ED59" s="22">
        <f t="shared" si="18"/>
        <v>26.352203429733564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3.3603333333333336</v>
      </c>
      <c r="EJ59" s="12">
        <f>IF('Données projet'!$A$192&gt;35,EJ58+EI59-ER58,IF(A59&lt;'Données projet'!$A$192,$EG$205^A59,IF(A59='Données projet'!$A$192,'Données projet'!$B$192,EJ58+EI59-ER58)))</f>
        <v>188.17866666666657</v>
      </c>
      <c r="EK59" s="17">
        <f>EJ59*VLOOKUP('Données projet'!$B$15,Paramètres!$A$1:$I$89,3,0)*VLOOKUP('Données projet'!$B$15,Paramètres!$A$1:$I$89,5,0)</f>
        <v>182.00640639999992</v>
      </c>
      <c r="EL59" s="13">
        <f t="shared" si="45"/>
        <v>45.768286229730428</v>
      </c>
      <c r="EM59" s="20">
        <f t="shared" si="19"/>
        <v>396.70758966344698</v>
      </c>
      <c r="EN59" s="59">
        <f t="shared" si="20"/>
        <v>690.0409229967803</v>
      </c>
      <c r="EO59" s="59">
        <f ca="1">AVERAGE(OFFSET($EN$3,0,0,'Données projet'!$E$15+1,1))-AVERAGE(OFFSET($H$3,0,0,'Données projet'!$E$15+1,1))</f>
        <v>510.71380643466227</v>
      </c>
      <c r="EP59" s="59">
        <f t="shared" si="46"/>
        <v>252.40654099948841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6.8699999999999974</v>
      </c>
      <c r="N60" s="13">
        <f>IF('Données projet'!$A$36&gt;35,N59+M60-V59,IF(A60&lt;'Données projet'!$A$36,$K$205^A60,IF(A60='Données projet'!$A$36,'Données projet'!$B$36,N59+M60-V59)))</f>
        <v>126.42000000000004</v>
      </c>
      <c r="O60" s="13">
        <f>N60*VLOOKUP('Données projet'!$B$9,Paramètres!$A$1:$I$89,3,0)*VLOOKUP('Données projet'!$B$9,Paramètres!$A$1:$I$89,5,0)</f>
        <v>128.18988000000004</v>
      </c>
      <c r="P60" s="13">
        <f t="shared" si="33"/>
        <v>33.577753024689486</v>
      </c>
      <c r="Q60" s="20">
        <f t="shared" si="53"/>
        <v>281.74529418466761</v>
      </c>
      <c r="R60" s="59">
        <f t="shared" si="0"/>
        <v>575.07862751800099</v>
      </c>
      <c r="S60" s="59">
        <f ca="1">AVERAGE(OFFSET($R$3,0,0,'Données projet'!$E$9+1,1))-AVERAGE(OFFSET($H$3,0,0,'Données projet'!$E$9+1,1))</f>
        <v>543.67050511722618</v>
      </c>
      <c r="T60" s="59">
        <f t="shared" si="34"/>
        <v>249.0871389941106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29.33398138223151</v>
      </c>
      <c r="AB60" s="21">
        <f>EXP(-LN(2)/2)*AB59+(1-EXP(-LN(2)/2))/(LN(2)/2)*V60*Y60*VLOOKUP('Données projet'!$B$9,Paramètres!$A$1:$I$89,3,0)*0.475*44/12</f>
        <v>3.9042614171890162</v>
      </c>
      <c r="AC60" s="22">
        <f t="shared" si="3"/>
        <v>33.238242799420526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10.36375</v>
      </c>
      <c r="AI60" s="13">
        <f>IF('Données projet'!$A$62&gt;35,AI59+AH60-AQ59,IF(A60&lt;'Données projet'!$A$62,$AF$205^A60,IF(A60='Données projet'!$A$62,'Données projet'!$B$62,AI59+AH60-AQ59)))</f>
        <v>243.33625000000026</v>
      </c>
      <c r="AJ60" s="13">
        <f>AI60*VLOOKUP('Données projet'!$B$10,Paramètres!$A$1:$I$89,3,0)*VLOOKUP('Données projet'!$B$10,Paramètres!$A$1:$I$89,5,0)</f>
        <v>220.17063900000025</v>
      </c>
      <c r="AK60" s="13">
        <f t="shared" si="35"/>
        <v>54.151971590437505</v>
      </c>
      <c r="AL60" s="20">
        <f t="shared" si="4"/>
        <v>477.7785467783458</v>
      </c>
      <c r="AM60" s="59">
        <f t="shared" si="5"/>
        <v>771.11188011167906</v>
      </c>
      <c r="AN60" s="59">
        <f ca="1">AVERAGE(OFFSET($AM$3,0,0,'Données projet'!$E$10+1,1))-AVERAGE(OFFSET($H$3,0,0,'Données projet'!$E$10+1,1))</f>
        <v>635.71275911100679</v>
      </c>
      <c r="AO60" s="59">
        <f t="shared" si="36"/>
        <v>281.7776857269169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20.660531192292503</v>
      </c>
      <c r="AW60" s="21">
        <f>EXP(-LN(2)/2)*AW59+(1-EXP(-LN(2)/2))/(LN(2)/2)*AQ60*AT60*VLOOKUP('Données projet'!$B$10,Paramètres!$A$1:$I$89,3,0)*0.475*44/12</f>
        <v>0.60851685897060215</v>
      </c>
      <c r="AX60" s="21">
        <f t="shared" si="6"/>
        <v>21.269048051263105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3.2051282051282071</v>
      </c>
      <c r="BD60" s="12">
        <f>IF('Données projet'!$A$88&gt;35,BD59+BC60-BL59,IF(A60&lt;'Données projet'!$A$88,$BA$205^A60,IF(A60='Données projet'!$A$88,'Données projet'!$B$88,BD59+BC60-BL59)))</f>
        <v>111.53846153846149</v>
      </c>
      <c r="BE60" s="13">
        <f>BD60*VLOOKUP('Données projet'!$B$11,Paramètres!$A$1:$I$89,3,0)*VLOOKUP('Données projet'!$B$11,Paramètres!$A$1:$I$89,5,0)</f>
        <v>97.439999999999969</v>
      </c>
      <c r="BF60" s="13">
        <f t="shared" si="37"/>
        <v>26.351195394682179</v>
      </c>
      <c r="BG60" s="20">
        <f t="shared" si="7"/>
        <v>215.60299864573804</v>
      </c>
      <c r="BH60" s="59">
        <f t="shared" si="8"/>
        <v>508.93633197907138</v>
      </c>
      <c r="BI60" s="59">
        <f ca="1">AVERAGE(OFFSET($BH$3,0,0,'Données projet'!$E$11+1,1))-AVERAGE(OFFSET($H$3,0,0,'Données projet'!$E$11+1,1))</f>
        <v>204.11804238362862</v>
      </c>
      <c r="BJ60" s="59">
        <f t="shared" si="38"/>
        <v>185.53854651509408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12.669053485835423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12.669053485835423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6.8699999999999974</v>
      </c>
      <c r="BY60" s="12">
        <f>IF('Données projet'!$A$114&gt;35,BY59+BX60-CG59,IF(A60&lt;'Données projet'!$A$114,$BV$205^A60,IF(A60='Données projet'!$A$114,'Données projet'!$B$114,BY59+BX60-CG59)))</f>
        <v>126.42000000000004</v>
      </c>
      <c r="BZ60" s="13">
        <f>BY60*VLOOKUP('Données projet'!$B$12,Paramètres!$A$1:$I$89,3,0)*VLOOKUP('Données projet'!$B$12,Paramètres!$A$1:$I$89,5,0)</f>
        <v>126.21772800000005</v>
      </c>
      <c r="CA60" s="13">
        <f t="shared" si="39"/>
        <v>33.120891157762763</v>
      </c>
      <c r="CB60" s="20">
        <f t="shared" si="10"/>
        <v>277.51476169977025</v>
      </c>
      <c r="CC60" s="59">
        <f t="shared" si="11"/>
        <v>570.84809503310362</v>
      </c>
      <c r="CD60" s="59">
        <f ca="1">AVERAGE(OFFSET($CC$3,0,0,'Données projet'!$E$12+1,1))-AVERAGE(OFFSET($H$3,0,0,'Données projet'!$E$12+1,1))</f>
        <v>535.99935263833549</v>
      </c>
      <c r="CE60" s="59">
        <f t="shared" si="40"/>
        <v>245.89966477332644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9.0258404253020021</v>
      </c>
      <c r="CM60" s="21">
        <f>EXP(-LN(2)/2)*CM59+(1-EXP(-LN(2)/2))/(LN(2)/2)*CG60*CJ60*VLOOKUP('Données projet'!$B$12,Paramètres!$A$1:$I$89,3,0)*0.475*44/12</f>
        <v>4.8052448211557115</v>
      </c>
      <c r="CN60" s="22">
        <f t="shared" si="12"/>
        <v>13.831085246457715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9.8828571428571443</v>
      </c>
      <c r="CT60" s="12">
        <f>IF('Données projet'!$A$140&gt;35,CT59+CS60-DB59,IF(A60&lt;'Données projet'!$A$140,$CQ$205^A60,IF(A60='Données projet'!$A$140,'Données projet'!$B$140,CT59+CS60-DB59)))</f>
        <v>183.0842857142857</v>
      </c>
      <c r="CU60" s="17">
        <f>CT60*VLOOKUP('Données projet'!$B$13,Paramètres!$A$1:$I$89,3,0)*VLOOKUP('Données projet'!$B$13,Paramètres!$A$1:$I$89,5,0)</f>
        <v>174.22300628571426</v>
      </c>
      <c r="CV60" s="13">
        <f t="shared" si="41"/>
        <v>44.034481572204157</v>
      </c>
      <c r="CW60" s="20">
        <f t="shared" si="13"/>
        <v>380.13179135254126</v>
      </c>
      <c r="CX60" s="59">
        <f t="shared" si="14"/>
        <v>673.46512468587457</v>
      </c>
      <c r="CY60" s="59">
        <f ca="1">AVERAGE(OFFSET($CX$3,0,0,'Données projet'!$E$13+1,1))-AVERAGE(OFFSET($H$3,0,0,'Données projet'!$E$13+1,1))</f>
        <v>449.28947235329758</v>
      </c>
      <c r="CZ60" s="59">
        <f t="shared" si="42"/>
        <v>289.36994109443964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4.5476673851582676</v>
      </c>
      <c r="DG60" s="21">
        <f>EXP(-LN(2)/25)*DG59+(1-EXP(-LN(2)/25))/(LN(2)/25)*Calculateur!DB60*Calculateur!DD60*VLOOKUP('Données projet'!$B$13,Paramètres!$A$1:$I$89,3,0)*0.475*44/12</f>
        <v>12.481197657616525</v>
      </c>
      <c r="DH60" s="21">
        <f>EXP(-LN(2)/2)*DH59+(1-EXP(-LN(2)/2))/(LN(2)/2)*DB60*DE60*VLOOKUP('Données projet'!$B$13,Paramètres!$A$1:$I$89,3,0)*0.475*44/12</f>
        <v>1.930205193075466</v>
      </c>
      <c r="DI60" s="22">
        <f t="shared" si="15"/>
        <v>18.959070235850259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9.375</v>
      </c>
      <c r="DO60" s="12">
        <f>IF('Données projet'!$A$166&gt;35,DO59+DN60-DW59,IF(A60&lt;'Données projet'!$A$166,$DL$205^A60,IF(A60='Données projet'!$A$166,'Données projet'!$B$166,DO59+DN60-DW59)))</f>
        <v>268.87499999999989</v>
      </c>
      <c r="DP60" s="17">
        <f>DO60*VLOOKUP('Données projet'!$B$14,Paramètres!$A$1:$I$89,3,0)*VLOOKUP('Données projet'!$B$14,Paramètres!$A$1:$I$89,5,0)</f>
        <v>209.72249999999991</v>
      </c>
      <c r="DQ60" s="13">
        <f t="shared" si="43"/>
        <v>51.874940300502246</v>
      </c>
      <c r="DR60" s="20">
        <f t="shared" si="16"/>
        <v>455.61554185670792</v>
      </c>
      <c r="DS60" s="59">
        <f t="shared" si="17"/>
        <v>748.94887519004124</v>
      </c>
      <c r="DT60" s="59">
        <f ca="1">AVERAGE(OFFSET($DS$3,0,0,'Données projet'!$E$14+1,1))-AVERAGE(OFFSET($H$3,0,0,'Données projet'!$E$14+1,1))</f>
        <v>288.82868507674738</v>
      </c>
      <c r="DU60" s="59">
        <f t="shared" si="44"/>
        <v>283.48738729114024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11.350586085195514</v>
      </c>
      <c r="EB60" s="21">
        <f>EXP(-LN(2)/25)*EB59+(1-EXP(-LN(2)/25))/(LN(2)/25)*Calculateur!DW60*Calculateur!DY60*VLOOKUP('Données projet'!$B$14,Paramètres!$A$1:$I$89,3,0)*0.475*44/12</f>
        <v>12.092728581357459</v>
      </c>
      <c r="EC60" s="21">
        <f>EXP(-LN(2)/2)*EC59+(1-EXP(-LN(2)/2))/(LN(2)/2)*DW60*DZ60*VLOOKUP('Données projet'!$B$14,Paramètres!$A$1:$I$89,3,0)*0.475*44/12</f>
        <v>1.6559633995716379</v>
      </c>
      <c r="ED60" s="22">
        <f t="shared" si="18"/>
        <v>25.099278066124612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3.3603333333333336</v>
      </c>
      <c r="EJ60" s="12">
        <f>IF('Données projet'!$A$192&gt;35,EJ59+EI60-ER59,IF(A60&lt;'Données projet'!$A$192,$EG$205^A60,IF(A60='Données projet'!$A$192,'Données projet'!$B$192,EJ59+EI60-ER59)))</f>
        <v>191.5389999999999</v>
      </c>
      <c r="EK60" s="17">
        <f>EJ60*VLOOKUP('Données projet'!$B$15,Paramètres!$A$1:$I$89,3,0)*VLOOKUP('Données projet'!$B$15,Paramètres!$A$1:$I$89,5,0)</f>
        <v>185.25652079999989</v>
      </c>
      <c r="EL60" s="13">
        <f t="shared" si="45"/>
        <v>46.489698815333881</v>
      </c>
      <c r="EM60" s="20">
        <f t="shared" si="19"/>
        <v>403.62466583003965</v>
      </c>
      <c r="EN60" s="59">
        <f t="shared" si="20"/>
        <v>696.95799916337296</v>
      </c>
      <c r="EO60" s="59">
        <f ca="1">AVERAGE(OFFSET($EN$3,0,0,'Données projet'!$E$15+1,1))-AVERAGE(OFFSET($H$3,0,0,'Données projet'!$E$15+1,1))</f>
        <v>510.71380643466227</v>
      </c>
      <c r="EP60" s="59">
        <f t="shared" si="46"/>
        <v>252.40654099948841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6.8699999999999974</v>
      </c>
      <c r="N61" s="13">
        <f>IF('Données projet'!$A$36&gt;35,N60+M61-V60,IF(A61&lt;'Données projet'!$A$36,$K$205^A61,IF(A61='Données projet'!$A$36,'Données projet'!$B$36,N60+M61-V60)))</f>
        <v>133.29000000000005</v>
      </c>
      <c r="O61" s="13">
        <f>N61*VLOOKUP('Données projet'!$B$9,Paramètres!$A$1:$I$89,3,0)*VLOOKUP('Données projet'!$B$9,Paramètres!$A$1:$I$89,5,0)</f>
        <v>135.15606000000005</v>
      </c>
      <c r="P61" s="13">
        <f t="shared" si="33"/>
        <v>35.185062997779987</v>
      </c>
      <c r="Q61" s="20">
        <f t="shared" si="53"/>
        <v>296.67745588780025</v>
      </c>
      <c r="R61" s="59">
        <f t="shared" si="0"/>
        <v>590.01078922113356</v>
      </c>
      <c r="S61" s="59">
        <f ca="1">AVERAGE(OFFSET($R$3,0,0,'Données projet'!$E$9+1,1))-AVERAGE(OFFSET($H$3,0,0,'Données projet'!$E$9+1,1))</f>
        <v>543.67050511722618</v>
      </c>
      <c r="T61" s="59">
        <f t="shared" si="34"/>
        <v>249.0871389941106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28.531842118727351</v>
      </c>
      <c r="AB61" s="21">
        <f>EXP(-LN(2)/2)*AB60+(1-EXP(-LN(2)/2))/(LN(2)/2)*V61*Y61*VLOOKUP('Données projet'!$B$9,Paramètres!$A$1:$I$89,3,0)*0.475*44/12</f>
        <v>2.7607297236193538</v>
      </c>
      <c r="AC61" s="22">
        <f t="shared" si="3"/>
        <v>31.292571842346703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10.36375</v>
      </c>
      <c r="AH61" s="12">
        <f t="array" ref="AH61">INDEX(AG:AG,MIN(IF(ISNUMBER(AG61:AG257),ROW(AG61:AG257),"")))</f>
        <v>10.36375</v>
      </c>
      <c r="AI61" s="13">
        <f>IF('Données projet'!$A$62&gt;35,AI60+AH61-AQ60,IF(A61&lt;'Données projet'!$A$62,$AF$205^A61,IF(A61='Données projet'!$A$62,'Données projet'!$B$62,AI60+AH61-AQ60)))</f>
        <v>253.70000000000027</v>
      </c>
      <c r="AJ61" s="13">
        <f>AI61*VLOOKUP('Données projet'!$B$10,Paramètres!$A$1:$I$89,3,0)*VLOOKUP('Données projet'!$B$10,Paramètres!$A$1:$I$89,5,0)</f>
        <v>229.54776000000027</v>
      </c>
      <c r="AK61" s="13">
        <f t="shared" si="35"/>
        <v>56.184885471425758</v>
      </c>
      <c r="AL61" s="20">
        <f t="shared" si="4"/>
        <v>497.651024196067</v>
      </c>
      <c r="AM61" s="59">
        <f t="shared" si="5"/>
        <v>790.98435752940031</v>
      </c>
      <c r="AN61" s="59">
        <f ca="1">AVERAGE(OFFSET($AM$3,0,0,'Données projet'!$E$10+1,1))-AVERAGE(OFFSET($H$3,0,0,'Données projet'!$E$10+1,1))</f>
        <v>635.71275911100679</v>
      </c>
      <c r="AO61" s="59">
        <f t="shared" si="36"/>
        <v>281.7776857269169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47.789999999999992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0.34400000000000003</v>
      </c>
      <c r="AT61" s="16">
        <f>IF(ISNA(VLOOKUP(A61,'Données projet'!$A$61:$I$81,7,0)),0%,VLOOKUP(A61,'Données projet'!$A$61:$I$81,7,0))</f>
        <v>0.2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36.474357978367649</v>
      </c>
      <c r="AW61" s="21">
        <f>EXP(-LN(2)/2)*AW60+(1-EXP(-LN(2)/2))/(LN(2)/2)*AQ61*AT61*VLOOKUP('Données projet'!$B$10,Paramètres!$A$1:$I$89,3,0)*0.475*44/12</f>
        <v>8.589981127461952</v>
      </c>
      <c r="AX61" s="21">
        <f t="shared" si="6"/>
        <v>45.064339105829603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3.2051282051282071</v>
      </c>
      <c r="BD61" s="12">
        <f>IF('Données projet'!$A$88&gt;35,BD60+BC61-BL60,IF(A61&lt;'Données projet'!$A$88,$BA$205^A61,IF(A61='Données projet'!$A$88,'Données projet'!$B$88,BD60+BC61-BL60)))</f>
        <v>114.74358974358969</v>
      </c>
      <c r="BE61" s="13">
        <f>BD61*VLOOKUP('Données projet'!$B$11,Paramètres!$A$1:$I$89,3,0)*VLOOKUP('Données projet'!$B$11,Paramètres!$A$1:$I$89,5,0)</f>
        <v>100.23999999999997</v>
      </c>
      <c r="BF61" s="13">
        <f t="shared" si="37"/>
        <v>27.019166259515604</v>
      </c>
      <c r="BG61" s="20">
        <f t="shared" si="7"/>
        <v>221.6430479019896</v>
      </c>
      <c r="BH61" s="59">
        <f t="shared" si="8"/>
        <v>514.97638123532295</v>
      </c>
      <c r="BI61" s="59">
        <f ca="1">AVERAGE(OFFSET($BH$3,0,0,'Données projet'!$E$11+1,1))-AVERAGE(OFFSET($H$3,0,0,'Données projet'!$E$11+1,1))</f>
        <v>204.11804238362862</v>
      </c>
      <c r="BJ61" s="59">
        <f t="shared" si="38"/>
        <v>185.53854651509408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12.322617552028687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12.322617552028687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6.8699999999999974</v>
      </c>
      <c r="BY61" s="12">
        <f>IF('Données projet'!$A$114&gt;35,BY60+BX61-CG60,IF(A61&lt;'Données projet'!$A$114,$BV$205^A61,IF(A61='Données projet'!$A$114,'Données projet'!$B$114,BY60+BX61-CG60)))</f>
        <v>133.29000000000005</v>
      </c>
      <c r="BZ61" s="13">
        <f>BY61*VLOOKUP('Données projet'!$B$12,Paramètres!$A$1:$I$89,3,0)*VLOOKUP('Données projet'!$B$12,Paramètres!$A$1:$I$89,5,0)</f>
        <v>133.07673600000004</v>
      </c>
      <c r="CA61" s="13">
        <f t="shared" si="39"/>
        <v>34.706331929704071</v>
      </c>
      <c r="CB61" s="20">
        <f t="shared" si="10"/>
        <v>292.22217664423465</v>
      </c>
      <c r="CC61" s="59">
        <f t="shared" si="11"/>
        <v>585.55550997756791</v>
      </c>
      <c r="CD61" s="59">
        <f ca="1">AVERAGE(OFFSET($CC$3,0,0,'Données projet'!$E$12+1,1))-AVERAGE(OFFSET($H$3,0,0,'Données projet'!$E$12+1,1))</f>
        <v>535.99935263833549</v>
      </c>
      <c r="CE61" s="59">
        <f t="shared" si="40"/>
        <v>245.89966477332644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8.7790283442238</v>
      </c>
      <c r="CM61" s="21">
        <f>EXP(-LN(2)/2)*CM60+(1-EXP(-LN(2)/2))/(LN(2)/2)*CG61*CJ61*VLOOKUP('Données projet'!$B$12,Paramètres!$A$1:$I$89,3,0)*0.475*44/12</f>
        <v>3.3978211983007425</v>
      </c>
      <c r="CN61" s="22">
        <f t="shared" si="12"/>
        <v>12.176849542524543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9.8828571428571443</v>
      </c>
      <c r="CT61" s="12">
        <f>IF('Données projet'!$A$140&gt;35,CT60+CS61-DB60,IF(A61&lt;'Données projet'!$A$140,$CQ$205^A61,IF(A61='Données projet'!$A$140,'Données projet'!$B$140,CT60+CS61-DB60)))</f>
        <v>192.96714285714285</v>
      </c>
      <c r="CU61" s="17">
        <f>CT61*VLOOKUP('Données projet'!$B$13,Paramètres!$A$1:$I$89,3,0)*VLOOKUP('Données projet'!$B$13,Paramètres!$A$1:$I$89,5,0)</f>
        <v>183.62753314285715</v>
      </c>
      <c r="CV61" s="13">
        <f t="shared" si="41"/>
        <v>46.128305880116194</v>
      </c>
      <c r="CW61" s="20">
        <f t="shared" si="13"/>
        <v>400.15808629834527</v>
      </c>
      <c r="CX61" s="59">
        <f t="shared" si="14"/>
        <v>693.49141963167858</v>
      </c>
      <c r="CY61" s="59">
        <f ca="1">AVERAGE(OFFSET($CX$3,0,0,'Données projet'!$E$13+1,1))-AVERAGE(OFFSET($H$3,0,0,'Données projet'!$E$13+1,1))</f>
        <v>449.28947235329758</v>
      </c>
      <c r="CZ61" s="59">
        <f t="shared" si="42"/>
        <v>289.36994109443964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4.4584904015385289</v>
      </c>
      <c r="DG61" s="21">
        <f>EXP(-LN(2)/25)*DG60+(1-EXP(-LN(2)/25))/(LN(2)/25)*Calculateur!DB61*Calculateur!DD61*VLOOKUP('Données projet'!$B$13,Paramètres!$A$1:$I$89,3,0)*0.475*44/12</f>
        <v>12.139898651311341</v>
      </c>
      <c r="DH61" s="21">
        <f>EXP(-LN(2)/2)*DH60+(1-EXP(-LN(2)/2))/(LN(2)/2)*DB61*DE61*VLOOKUP('Données projet'!$B$13,Paramètres!$A$1:$I$89,3,0)*0.475*44/12</f>
        <v>1.3648611811051514</v>
      </c>
      <c r="DI61" s="22">
        <f t="shared" si="15"/>
        <v>17.963250233955023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9.375</v>
      </c>
      <c r="DO61" s="12">
        <f>IF('Données projet'!$A$166&gt;35,DO60+DN61-DW60,IF(A61&lt;'Données projet'!$A$166,$DL$205^A61,IF(A61='Données projet'!$A$166,'Données projet'!$B$166,DO60+DN61-DW60)))</f>
        <v>278.24999999999989</v>
      </c>
      <c r="DP61" s="17">
        <f>DO61*VLOOKUP('Données projet'!$B$14,Paramètres!$A$1:$I$89,3,0)*VLOOKUP('Données projet'!$B$14,Paramètres!$A$1:$I$89,5,0)</f>
        <v>217.03499999999991</v>
      </c>
      <c r="DQ61" s="13">
        <f t="shared" si="43"/>
        <v>53.469949591969474</v>
      </c>
      <c r="DR61" s="20">
        <f t="shared" si="16"/>
        <v>471.12945387267996</v>
      </c>
      <c r="DS61" s="59">
        <f t="shared" si="17"/>
        <v>764.46278720601322</v>
      </c>
      <c r="DT61" s="59">
        <f ca="1">AVERAGE(OFFSET($DS$3,0,0,'Données projet'!$E$14+1,1))-AVERAGE(OFFSET($H$3,0,0,'Données projet'!$E$14+1,1))</f>
        <v>288.82868507674738</v>
      </c>
      <c r="DU61" s="59">
        <f t="shared" si="44"/>
        <v>283.48738729114024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11.128008015238736</v>
      </c>
      <c r="EB61" s="21">
        <f>EXP(-LN(2)/25)*EB60+(1-EXP(-LN(2)/25))/(LN(2)/25)*Calculateur!DW61*Calculateur!DY61*VLOOKUP('Données projet'!$B$14,Paramètres!$A$1:$I$89,3,0)*0.475*44/12</f>
        <v>11.762052282371283</v>
      </c>
      <c r="EC61" s="21">
        <f>EXP(-LN(2)/2)*EC60+(1-EXP(-LN(2)/2))/(LN(2)/2)*DW61*DZ61*VLOOKUP('Données projet'!$B$14,Paramètres!$A$1:$I$89,3,0)*0.475*44/12</f>
        <v>1.1709429492338335</v>
      </c>
      <c r="ED61" s="22">
        <f t="shared" si="18"/>
        <v>24.061003246843853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3.3603333333333336</v>
      </c>
      <c r="EJ61" s="12">
        <f>IF('Données projet'!$A$192&gt;35,EJ60+EI61-ER60,IF(A61&lt;'Données projet'!$A$192,$EG$205^A61,IF(A61='Données projet'!$A$192,'Données projet'!$B$192,EJ60+EI61-ER60)))</f>
        <v>194.89933333333323</v>
      </c>
      <c r="EK61" s="17">
        <f>EJ61*VLOOKUP('Données projet'!$B$15,Paramètres!$A$1:$I$89,3,0)*VLOOKUP('Données projet'!$B$15,Paramètres!$A$1:$I$89,5,0)</f>
        <v>188.50663519999989</v>
      </c>
      <c r="EL61" s="13">
        <f t="shared" si="45"/>
        <v>47.209639623873699</v>
      </c>
      <c r="EM61" s="20">
        <f t="shared" si="19"/>
        <v>410.53917865157979</v>
      </c>
      <c r="EN61" s="59">
        <f t="shared" si="20"/>
        <v>703.8725119849131</v>
      </c>
      <c r="EO61" s="59">
        <f ca="1">AVERAGE(OFFSET($EN$3,0,0,'Données projet'!$E$15+1,1))-AVERAGE(OFFSET($H$3,0,0,'Données projet'!$E$15+1,1))</f>
        <v>510.71380643466227</v>
      </c>
      <c r="EP61" s="59">
        <f t="shared" si="46"/>
        <v>252.40654099948841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6.8699999999999974</v>
      </c>
      <c r="N62" s="13">
        <f>IF('Données projet'!$A$36&gt;35,N61+M62-V61,IF(A62&lt;'Données projet'!$A$36,$K$205^A62,IF(A62='Données projet'!$A$36,'Données projet'!$B$36,N61+M62-V61)))</f>
        <v>140.16000000000005</v>
      </c>
      <c r="O62" s="13">
        <f>N62*VLOOKUP('Données projet'!$B$9,Paramètres!$A$1:$I$89,3,0)*VLOOKUP('Données projet'!$B$9,Paramètres!$A$1:$I$89,5,0)</f>
        <v>142.12224000000006</v>
      </c>
      <c r="P62" s="13">
        <f t="shared" si="33"/>
        <v>36.782754351894333</v>
      </c>
      <c r="Q62" s="20">
        <f t="shared" si="53"/>
        <v>311.59286516288279</v>
      </c>
      <c r="R62" s="59">
        <f t="shared" si="0"/>
        <v>604.9261984962161</v>
      </c>
      <c r="S62" s="59">
        <f ca="1">AVERAGE(OFFSET($R$3,0,0,'Données projet'!$E$9+1,1))-AVERAGE(OFFSET($H$3,0,0,'Données projet'!$E$9+1,1))</f>
        <v>543.67050511722618</v>
      </c>
      <c r="T62" s="59">
        <f t="shared" si="34"/>
        <v>249.0871389941106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27.751637395566384</v>
      </c>
      <c r="AB62" s="21">
        <f>EXP(-LN(2)/2)*AB61+(1-EXP(-LN(2)/2))/(LN(2)/2)*V62*Y62*VLOOKUP('Données projet'!$B$9,Paramètres!$A$1:$I$89,3,0)*0.475*44/12</f>
        <v>1.9521307085945083</v>
      </c>
      <c r="AC62" s="22">
        <f t="shared" si="3"/>
        <v>29.703768104160893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10.107499999999998</v>
      </c>
      <c r="AI62" s="13">
        <f>IF('Données projet'!$A$62&gt;35,AI61+AH62-AQ61,IF(A62&lt;'Données projet'!$A$62,$AF$205^A62,IF(A62='Données projet'!$A$62,'Données projet'!$B$62,AI61+AH62-AQ61)))</f>
        <v>216.0175000000003</v>
      </c>
      <c r="AJ62" s="13">
        <f>AI62*VLOOKUP('Données projet'!$B$10,Paramètres!$A$1:$I$89,3,0)*VLOOKUP('Données projet'!$B$10,Paramètres!$A$1:$I$89,5,0)</f>
        <v>195.45263400000027</v>
      </c>
      <c r="AK62" s="13">
        <f t="shared" si="35"/>
        <v>48.743460533300031</v>
      </c>
      <c r="AL62" s="20">
        <f t="shared" si="4"/>
        <v>425.3081979788314</v>
      </c>
      <c r="AM62" s="59">
        <f t="shared" si="5"/>
        <v>718.64153131216472</v>
      </c>
      <c r="AN62" s="59">
        <f ca="1">AVERAGE(OFFSET($AM$3,0,0,'Données projet'!$E$10+1,1))-AVERAGE(OFFSET($H$3,0,0,'Données projet'!$E$10+1,1))</f>
        <v>635.71275911100679</v>
      </c>
      <c r="AO62" s="59">
        <f t="shared" si="36"/>
        <v>281.7776857269169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35.476964741346066</v>
      </c>
      <c r="AW62" s="21">
        <f>EXP(-LN(2)/2)*AW61+(1-EXP(-LN(2)/2))/(LN(2)/2)*AQ62*AT62*VLOOKUP('Données projet'!$B$10,Paramètres!$A$1:$I$89,3,0)*0.475*44/12</f>
        <v>6.0740339054928114</v>
      </c>
      <c r="AX62" s="21">
        <f t="shared" si="6"/>
        <v>41.550998646838877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3.2051282051282071</v>
      </c>
      <c r="BD62" s="12">
        <f>IF('Données projet'!$A$88&gt;35,BD61+BC62-BL61,IF(A62&lt;'Données projet'!$A$88,$BA$205^A62,IF(A62='Données projet'!$A$88,'Données projet'!$B$88,BD61+BC62-BL61)))</f>
        <v>117.9487179487179</v>
      </c>
      <c r="BE62" s="13">
        <f>BD62*VLOOKUP('Données projet'!$B$11,Paramètres!$A$1:$I$89,3,0)*VLOOKUP('Données projet'!$B$11,Paramètres!$A$1:$I$89,5,0)</f>
        <v>103.03999999999996</v>
      </c>
      <c r="BF62" s="13">
        <f t="shared" si="37"/>
        <v>27.68496851505423</v>
      </c>
      <c r="BG62" s="20">
        <f t="shared" si="7"/>
        <v>227.67932016371938</v>
      </c>
      <c r="BH62" s="59">
        <f t="shared" si="8"/>
        <v>521.01265349705272</v>
      </c>
      <c r="BI62" s="59">
        <f ca="1">AVERAGE(OFFSET($BH$3,0,0,'Données projet'!$E$11+1,1))-AVERAGE(OFFSET($H$3,0,0,'Données projet'!$E$11+1,1))</f>
        <v>204.11804238362862</v>
      </c>
      <c r="BJ62" s="59">
        <f t="shared" si="38"/>
        <v>185.53854651509408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11.985654927050168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11.985654927050168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6.8699999999999974</v>
      </c>
      <c r="BY62" s="12">
        <f>IF('Données projet'!$A$114&gt;35,BY61+BX62-CG61,IF(A62&lt;'Données projet'!$A$114,$BV$205^A62,IF(A62='Données projet'!$A$114,'Données projet'!$B$114,BY61+BX62-CG61)))</f>
        <v>140.16000000000005</v>
      </c>
      <c r="BZ62" s="13">
        <f>BY62*VLOOKUP('Données projet'!$B$12,Paramètres!$A$1:$I$89,3,0)*VLOOKUP('Données projet'!$B$12,Paramètres!$A$1:$I$89,5,0)</f>
        <v>139.93574400000006</v>
      </c>
      <c r="CA62" s="13">
        <f t="shared" si="39"/>
        <v>36.282284954446652</v>
      </c>
      <c r="CB62" s="20">
        <f t="shared" si="10"/>
        <v>306.91306709566135</v>
      </c>
      <c r="CC62" s="59">
        <f t="shared" si="11"/>
        <v>600.24640042899466</v>
      </c>
      <c r="CD62" s="59">
        <f ca="1">AVERAGE(OFFSET($CC$3,0,0,'Données projet'!$E$12+1,1))-AVERAGE(OFFSET($H$3,0,0,'Données projet'!$E$12+1,1))</f>
        <v>535.99935263833549</v>
      </c>
      <c r="CE62" s="59">
        <f t="shared" si="40"/>
        <v>245.89966477332644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8.5389653524819646</v>
      </c>
      <c r="CM62" s="21">
        <f>EXP(-LN(2)/2)*CM61+(1-EXP(-LN(2)/2))/(LN(2)/2)*CG62*CJ62*VLOOKUP('Données projet'!$B$12,Paramètres!$A$1:$I$89,3,0)*0.475*44/12</f>
        <v>2.4026224105778562</v>
      </c>
      <c r="CN62" s="22">
        <f t="shared" si="12"/>
        <v>10.941587763059822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>
        <f>VLOOKUP(A62,'Données projet'!$A$139:$I$159,2,0)</f>
        <v>202.85</v>
      </c>
      <c r="CR62" s="12">
        <f>VLOOKUP(A62,'Données projet'!$A$139:$I$159,9,0)</f>
        <v>9.8828571428571443</v>
      </c>
      <c r="CS62" s="12">
        <f t="array" ref="CS62">INDEX(CR:CR,MIN(IF(ISNUMBER(CR62:CR258),ROW(CR62:CR258),"")))</f>
        <v>9.8828571428571443</v>
      </c>
      <c r="CT62" s="12">
        <f>IF('Données projet'!$A$140&gt;35,CT61+CS62-DB61,IF(A62&lt;'Données projet'!$A$140,$CQ$205^A62,IF(A62='Données projet'!$A$140,'Données projet'!$B$140,CT61+CS62-DB61)))</f>
        <v>202.85</v>
      </c>
      <c r="CU62" s="17">
        <f>CT62*VLOOKUP('Données projet'!$B$13,Paramètres!$A$1:$I$89,3,0)*VLOOKUP('Données projet'!$B$13,Paramètres!$A$1:$I$89,5,0)</f>
        <v>193.03206</v>
      </c>
      <c r="CV62" s="13">
        <f t="shared" si="41"/>
        <v>48.20967933854056</v>
      </c>
      <c r="CW62" s="20">
        <f t="shared" si="13"/>
        <v>420.16269601462477</v>
      </c>
      <c r="CX62" s="59">
        <f t="shared" si="14"/>
        <v>713.49602934795803</v>
      </c>
      <c r="CY62" s="59">
        <f ca="1">AVERAGE(OFFSET($CX$3,0,0,'Données projet'!$E$13+1,1))-AVERAGE(OFFSET($H$3,0,0,'Données projet'!$E$13+1,1))</f>
        <v>449.28947235329758</v>
      </c>
      <c r="CZ62" s="59">
        <f t="shared" si="42"/>
        <v>289.36994109443964</v>
      </c>
      <c r="DA62" s="15">
        <f>IF(ISNA(VLOOKUP(A62,'Données projet'!$A$139:$I$159,3,0)),0,VLOOKUP(A62,'Données projet'!$A$139:$I$159,3,0))</f>
        <v>4</v>
      </c>
      <c r="DB62" s="15">
        <f>IF(ISNA(VLOOKUP(A62,'Données projet'!$A$139:$I$159,4,0)),0,VLOOKUP(A62,'Données projet'!$A$139:$I$159,4,0))</f>
        <v>41.81</v>
      </c>
      <c r="DC62" s="16">
        <f>IF(ISNA(VLOOKUP(A62,'Données projet'!$A$139:$I$159,5,0)),0%,VLOOKUP(A62,'Données projet'!$A$139:$I$159,5,0)*VLOOKUP('Données projet'!$B$13,Paramètres!$A$1:$I$89,7,0))</f>
        <v>0.1075</v>
      </c>
      <c r="DD62" s="16">
        <f>IF(ISNA(VLOOKUP(A62,'Données projet'!$A$139:$I$159,6,0)),0%,VLOOKUP(A62,'Données projet'!$A$139:$I$159,6,0)*VLOOKUP('Données projet'!$B$13,Paramètres!$A$1:$I$89,7,0))</f>
        <v>0.1075</v>
      </c>
      <c r="DE62" s="16">
        <f>IF(ISNA(VLOOKUP(A62,'Données projet'!$A$139:$I$159,7,0)),0%,VLOOKUP(A62,'Données projet'!$A$139:$I$159,7,0))</f>
        <v>0.25</v>
      </c>
      <c r="DF62" s="21">
        <f>EXP(-LN(2)/35)*DF61+(1-EXP(-LN(2)/35))/(LN(2)/35)*DB62*DC62*VLOOKUP('Données projet'!$B$13,Paramètres!$A$1:$I$89,3,0)*0.475*44/12</f>
        <v>9.0992004699595697</v>
      </c>
      <c r="DG62" s="21">
        <f>EXP(-LN(2)/25)*DG61+(1-EXP(-LN(2)/25))/(LN(2)/25)*Calculateur!DB62*Calculateur!DD62*VLOOKUP('Données projet'!$B$13,Paramètres!$A$1:$I$89,3,0)*0.475*44/12</f>
        <v>16.517454347836992</v>
      </c>
      <c r="DH62" s="21">
        <f>EXP(-LN(2)/2)*DH61+(1-EXP(-LN(2)/2))/(LN(2)/2)*DB62*DE62*VLOOKUP('Données projet'!$B$13,Paramètres!$A$1:$I$89,3,0)*0.475*44/12</f>
        <v>10.349986461824772</v>
      </c>
      <c r="DI62" s="22">
        <f t="shared" si="15"/>
        <v>35.966641279621335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9.375</v>
      </c>
      <c r="DO62" s="12">
        <f>IF('Données projet'!$A$166&gt;35,DO61+DN62-DW61,IF(A62&lt;'Données projet'!$A$166,$DL$205^A62,IF(A62='Données projet'!$A$166,'Données projet'!$B$166,DO61+DN62-DW61)))</f>
        <v>287.62499999999989</v>
      </c>
      <c r="DP62" s="17">
        <f>DO62*VLOOKUP('Données projet'!$B$14,Paramètres!$A$1:$I$89,3,0)*VLOOKUP('Données projet'!$B$14,Paramètres!$A$1:$I$89,5,0)</f>
        <v>224.34749999999991</v>
      </c>
      <c r="DQ62" s="13">
        <f t="shared" si="43"/>
        <v>55.058714525680429</v>
      </c>
      <c r="DR62" s="20">
        <f t="shared" si="16"/>
        <v>486.63249029889329</v>
      </c>
      <c r="DS62" s="59">
        <f t="shared" si="17"/>
        <v>779.9658236322266</v>
      </c>
      <c r="DT62" s="59">
        <f ca="1">AVERAGE(OFFSET($DS$3,0,0,'Données projet'!$E$14+1,1))-AVERAGE(OFFSET($H$3,0,0,'Données projet'!$E$14+1,1))</f>
        <v>288.82868507674738</v>
      </c>
      <c r="DU62" s="59">
        <f t="shared" si="44"/>
        <v>283.48738729114024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10.909794565474591</v>
      </c>
      <c r="EB62" s="21">
        <f>EXP(-LN(2)/25)*EB61+(1-EXP(-LN(2)/25))/(LN(2)/25)*Calculateur!DW62*Calculateur!DY62*VLOOKUP('Données projet'!$B$14,Paramètres!$A$1:$I$89,3,0)*0.475*44/12</f>
        <v>11.440418344170393</v>
      </c>
      <c r="EC62" s="21">
        <f>EXP(-LN(2)/2)*EC61+(1-EXP(-LN(2)/2))/(LN(2)/2)*DW62*DZ62*VLOOKUP('Données projet'!$B$14,Paramètres!$A$1:$I$89,3,0)*0.475*44/12</f>
        <v>0.82798169978581893</v>
      </c>
      <c r="ED62" s="22">
        <f t="shared" si="18"/>
        <v>23.178194609430804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3.3603333333333336</v>
      </c>
      <c r="EJ62" s="12">
        <f>IF('Données projet'!$A$192&gt;35,EJ61+EI62-ER61,IF(A62&lt;'Données projet'!$A$192,$EG$205^A62,IF(A62='Données projet'!$A$192,'Données projet'!$B$192,EJ61+EI62-ER61)))</f>
        <v>198.25966666666656</v>
      </c>
      <c r="EK62" s="17">
        <f>EJ62*VLOOKUP('Données projet'!$B$15,Paramètres!$A$1:$I$89,3,0)*VLOOKUP('Données projet'!$B$15,Paramètres!$A$1:$I$89,5,0)</f>
        <v>191.75674959999992</v>
      </c>
      <c r="EL62" s="13">
        <f t="shared" si="45"/>
        <v>47.928136958939533</v>
      </c>
      <c r="EM62" s="20">
        <f t="shared" si="19"/>
        <v>417.45117742348617</v>
      </c>
      <c r="EN62" s="59">
        <f t="shared" si="20"/>
        <v>710.78451075681949</v>
      </c>
      <c r="EO62" s="59">
        <f ca="1">AVERAGE(OFFSET($EN$3,0,0,'Données projet'!$E$15+1,1))-AVERAGE(OFFSET($H$3,0,0,'Données projet'!$E$15+1,1))</f>
        <v>510.71380643466227</v>
      </c>
      <c r="EP62" s="59">
        <f t="shared" si="46"/>
        <v>252.40654099948841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6.8699999999999974</v>
      </c>
      <c r="N63" s="13">
        <f>IF('Données projet'!$A$36&gt;35,N62+M63-V62,IF(A63&lt;'Données projet'!$A$36,$K$205^A63,IF(A63='Données projet'!$A$36,'Données projet'!$B$36,N62+M63-V62)))</f>
        <v>147.03000000000006</v>
      </c>
      <c r="O63" s="13">
        <f>N63*VLOOKUP('Données projet'!$B$9,Paramètres!$A$1:$I$89,3,0)*VLOOKUP('Données projet'!$B$9,Paramètres!$A$1:$I$89,5,0)</f>
        <v>149.08842000000007</v>
      </c>
      <c r="P63" s="13">
        <f t="shared" si="33"/>
        <v>38.371352357544986</v>
      </c>
      <c r="Q63" s="20">
        <f t="shared" si="53"/>
        <v>326.49243685605762</v>
      </c>
      <c r="R63" s="59">
        <f t="shared" si="0"/>
        <v>619.82577018939094</v>
      </c>
      <c r="S63" s="59">
        <f ca="1">AVERAGE(OFFSET($R$3,0,0,'Données projet'!$E$9+1,1))-AVERAGE(OFFSET($H$3,0,0,'Données projet'!$E$9+1,1))</f>
        <v>543.67050511722618</v>
      </c>
      <c r="T63" s="59">
        <f t="shared" si="34"/>
        <v>249.0871389941106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26.992767411589437</v>
      </c>
      <c r="AB63" s="21">
        <f>EXP(-LN(2)/2)*AB62+(1-EXP(-LN(2)/2))/(LN(2)/2)*V63*Y63*VLOOKUP('Données projet'!$B$9,Paramètres!$A$1:$I$89,3,0)*0.475*44/12</f>
        <v>1.3803648618096771</v>
      </c>
      <c r="AC63" s="22">
        <f t="shared" si="3"/>
        <v>28.373132273399115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10.107499999999998</v>
      </c>
      <c r="AI63" s="13">
        <f>IF('Données projet'!$A$62&gt;35,AI62+AH63-AQ62,IF(A63&lt;'Données projet'!$A$62,$AF$205^A63,IF(A63='Données projet'!$A$62,'Données projet'!$B$62,AI62+AH63-AQ62)))</f>
        <v>226.12500000000028</v>
      </c>
      <c r="AJ63" s="13">
        <f>AI63*VLOOKUP('Données projet'!$B$10,Paramètres!$A$1:$I$89,3,0)*VLOOKUP('Données projet'!$B$10,Paramètres!$A$1:$I$89,5,0)</f>
        <v>204.59790000000024</v>
      </c>
      <c r="AK63" s="13">
        <f t="shared" si="35"/>
        <v>50.753306398717811</v>
      </c>
      <c r="AL63" s="20">
        <f t="shared" si="4"/>
        <v>444.73668447776726</v>
      </c>
      <c r="AM63" s="59">
        <f t="shared" si="5"/>
        <v>738.07001781110057</v>
      </c>
      <c r="AN63" s="59">
        <f ca="1">AVERAGE(OFFSET($AM$3,0,0,'Données projet'!$E$10+1,1))-AVERAGE(OFFSET($H$3,0,0,'Données projet'!$E$10+1,1))</f>
        <v>635.71275911100679</v>
      </c>
      <c r="AO63" s="59">
        <f t="shared" si="36"/>
        <v>281.7776857269169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34.506845274841467</v>
      </c>
      <c r="AW63" s="21">
        <f>EXP(-LN(2)/2)*AW62+(1-EXP(-LN(2)/2))/(LN(2)/2)*AQ63*AT63*VLOOKUP('Données projet'!$B$10,Paramètres!$A$1:$I$89,3,0)*0.475*44/12</f>
        <v>4.294990563730976</v>
      </c>
      <c r="AX63" s="21">
        <f t="shared" si="6"/>
        <v>38.801835838572444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121.15384615384616</v>
      </c>
      <c r="BB63" s="12">
        <f>VLOOKUP(A63,'Données projet'!$A$87:$I$107,9,0)</f>
        <v>3.2051282051282071</v>
      </c>
      <c r="BC63" s="12">
        <f t="array" ref="BC63">INDEX(BB:BB,MIN(IF(ISNUMBER(BB63:BB259),ROW(BB63:BB259),"")))</f>
        <v>3.2051282051282071</v>
      </c>
      <c r="BD63" s="12">
        <f>IF('Données projet'!$A$88&gt;35,BD62+BC63-BL62,IF(A63&lt;'Données projet'!$A$88,$BA$205^A63,IF(A63='Données projet'!$A$88,'Données projet'!$B$88,BD62+BC63-BL62)))</f>
        <v>121.1538461538461</v>
      </c>
      <c r="BE63" s="13">
        <f>BD63*VLOOKUP('Données projet'!$B$11,Paramètres!$A$1:$I$89,3,0)*VLOOKUP('Données projet'!$B$11,Paramètres!$A$1:$I$89,5,0)</f>
        <v>105.83999999999997</v>
      </c>
      <c r="BF63" s="13">
        <f t="shared" si="37"/>
        <v>28.34866786274176</v>
      </c>
      <c r="BG63" s="20">
        <f t="shared" si="7"/>
        <v>233.71192986094184</v>
      </c>
      <c r="BH63" s="59">
        <f t="shared" si="8"/>
        <v>527.04526319427509</v>
      </c>
      <c r="BI63" s="59">
        <f ca="1">AVERAGE(OFFSET($BH$3,0,0,'Données projet'!$E$11+1,1))-AVERAGE(OFFSET($H$3,0,0,'Données projet'!$E$11+1,1))</f>
        <v>204.11804238362862</v>
      </c>
      <c r="BJ63" s="59">
        <f t="shared" si="38"/>
        <v>185.53854651509408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10.256410256410255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0.215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13.779099741337406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13.779099741337406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6.8699999999999974</v>
      </c>
      <c r="BY63" s="12">
        <f>IF('Données projet'!$A$114&gt;35,BY62+BX63-CG62,IF(A63&lt;'Données projet'!$A$114,$BV$205^A63,IF(A63='Données projet'!$A$114,'Données projet'!$B$114,BY62+BX63-CG62)))</f>
        <v>147.03000000000006</v>
      </c>
      <c r="BZ63" s="13">
        <f>BY63*VLOOKUP('Données projet'!$B$12,Paramètres!$A$1:$I$89,3,0)*VLOOKUP('Données projet'!$B$12,Paramètres!$A$1:$I$89,5,0)</f>
        <v>146.79475200000007</v>
      </c>
      <c r="CA63" s="13">
        <f t="shared" si="39"/>
        <v>37.849268355626187</v>
      </c>
      <c r="CB63" s="20">
        <f t="shared" si="10"/>
        <v>321.58833545271574</v>
      </c>
      <c r="CC63" s="59">
        <f t="shared" si="11"/>
        <v>614.92166878604905</v>
      </c>
      <c r="CD63" s="59">
        <f ca="1">AVERAGE(OFFSET($CC$3,0,0,'Données projet'!$E$12+1,1))-AVERAGE(OFFSET($H$3,0,0,'Données projet'!$E$12+1,1))</f>
        <v>535.99935263833549</v>
      </c>
      <c r="CE63" s="59">
        <f t="shared" si="40"/>
        <v>245.89966477332644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8.305466895873673</v>
      </c>
      <c r="CM63" s="21">
        <f>EXP(-LN(2)/2)*CM62+(1-EXP(-LN(2)/2))/(LN(2)/2)*CG63*CJ63*VLOOKUP('Données projet'!$B$12,Paramètres!$A$1:$I$89,3,0)*0.475*44/12</f>
        <v>1.6989105991503717</v>
      </c>
      <c r="CN63" s="22">
        <f t="shared" si="12"/>
        <v>10.004377495024045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9.7525000000000013</v>
      </c>
      <c r="CT63" s="12">
        <f>IF('Données projet'!$A$140&gt;35,CT62+CS63-DB62,IF(A63&lt;'Données projet'!$A$140,$CQ$205^A63,IF(A63='Données projet'!$A$140,'Données projet'!$B$140,CT62+CS63-DB62)))</f>
        <v>170.79249999999999</v>
      </c>
      <c r="CU63" s="17">
        <f>CT63*VLOOKUP('Données projet'!$B$13,Paramètres!$A$1:$I$89,3,0)*VLOOKUP('Données projet'!$B$13,Paramètres!$A$1:$I$89,5,0)</f>
        <v>162.52614299999999</v>
      </c>
      <c r="CV63" s="13">
        <f t="shared" si="41"/>
        <v>41.411773501591178</v>
      </c>
      <c r="CW63" s="20">
        <f t="shared" si="13"/>
        <v>355.19187124027127</v>
      </c>
      <c r="CX63" s="59">
        <f t="shared" si="14"/>
        <v>648.52520457360458</v>
      </c>
      <c r="CY63" s="59">
        <f ca="1">AVERAGE(OFFSET($CX$3,0,0,'Données projet'!$E$13+1,1))-AVERAGE(OFFSET($H$3,0,0,'Données projet'!$E$13+1,1))</f>
        <v>449.28947235329758</v>
      </c>
      <c r="CZ63" s="59">
        <f t="shared" si="42"/>
        <v>289.36994109443964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8.9207706987079352</v>
      </c>
      <c r="DG63" s="21">
        <f>EXP(-LN(2)/25)*DG62+(1-EXP(-LN(2)/25))/(LN(2)/25)*Calculateur!DB63*Calculateur!DD63*VLOOKUP('Données projet'!$B$13,Paramètres!$A$1:$I$89,3,0)*0.475*44/12</f>
        <v>16.065783690080217</v>
      </c>
      <c r="DH63" s="21">
        <f>EXP(-LN(2)/2)*DH62+(1-EXP(-LN(2)/2))/(LN(2)/2)*DB63*DE63*VLOOKUP('Données projet'!$B$13,Paramètres!$A$1:$I$89,3,0)*0.475*44/12</f>
        <v>7.3185456123452584</v>
      </c>
      <c r="DI63" s="22">
        <f t="shared" si="15"/>
        <v>32.305100001133411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297</v>
      </c>
      <c r="DM63" s="12">
        <f>VLOOKUP(A63,'Données projet'!$A$165:$I$185,9,0)</f>
        <v>9.375</v>
      </c>
      <c r="DN63" s="12">
        <f t="array" ref="DN63">INDEX(DM:DM,MIN(IF(ISNUMBER(DM63:DM259),ROW(DM63:DM259),"")))</f>
        <v>9.375</v>
      </c>
      <c r="DO63" s="12">
        <f>IF('Données projet'!$A$166&gt;35,DO62+DN63-DW62,IF(A63&lt;'Données projet'!$A$166,$DL$205^A63,IF(A63='Données projet'!$A$166,'Données projet'!$B$166,DO62+DN63-DW62)))</f>
        <v>296.99999999999989</v>
      </c>
      <c r="DP63" s="17">
        <f>DO63*VLOOKUP('Données projet'!$B$14,Paramètres!$A$1:$I$89,3,0)*VLOOKUP('Données projet'!$B$14,Paramètres!$A$1:$I$89,5,0)</f>
        <v>231.65999999999991</v>
      </c>
      <c r="DQ63" s="13">
        <f t="shared" si="43"/>
        <v>56.641461975682766</v>
      </c>
      <c r="DR63" s="20">
        <f t="shared" si="16"/>
        <v>502.125046274314</v>
      </c>
      <c r="DS63" s="59">
        <f t="shared" si="17"/>
        <v>795.45837960764732</v>
      </c>
      <c r="DT63" s="59">
        <f ca="1">AVERAGE(OFFSET($DS$3,0,0,'Données projet'!$E$14+1,1))-AVERAGE(OFFSET($H$3,0,0,'Données projet'!$E$14+1,1))</f>
        <v>288.82868507674738</v>
      </c>
      <c r="DU63" s="59">
        <f t="shared" si="44"/>
        <v>283.48738729114024</v>
      </c>
      <c r="DV63" s="15">
        <f>IF(ISNA(VLOOKUP(A63,'Données projet'!$A$165:$I$185,3,0)),0,VLOOKUP(A63,'Données projet'!$A$165:$I$185,3,0))</f>
        <v>8</v>
      </c>
      <c r="DW63" s="15">
        <f>IF(ISNA(VLOOKUP(A63,'Données projet'!$A$165:$I$185,4,0)),0,VLOOKUP(A63,'Données projet'!$A$165:$I$185,4,0))</f>
        <v>47</v>
      </c>
      <c r="DX63" s="16">
        <f>IF(ISNA(VLOOKUP(A63,'Données projet'!$A$165:$I$185,5,0)),0%,VLOOKUP(A63,'Données projet'!$A$165:$I$185,5,0)*VLOOKUP('Données projet'!$B$14,Paramètres!$A$1:$I$89,7,0))</f>
        <v>0.1075</v>
      </c>
      <c r="DY63" s="16">
        <f>IF(ISNA(VLOOKUP(A63,'Données projet'!$A$165:$I$185,6,0)),0%,VLOOKUP(A63,'Données projet'!$A$165:$I$185,6,0)*VLOOKUP('Données projet'!$B$14,Paramètres!$A$1:$I$89,7,0))</f>
        <v>0.1075</v>
      </c>
      <c r="DZ63" s="16">
        <f>IF(ISNA(VLOOKUP(A63,'Données projet'!$A$165:$I$185,7,0)),0%,VLOOKUP(A63,'Données projet'!$A$165:$I$185,7,0))</f>
        <v>0.25</v>
      </c>
      <c r="EA63" s="21">
        <f>EXP(-LN(2)/35)*EA62+(1-EXP(-LN(2)/35))/(LN(2)/35)*DW63*DX63*VLOOKUP('Données projet'!$B$14,Paramètres!$A$1:$I$89,3,0)*0.475*44/12</f>
        <v>15.052463640583639</v>
      </c>
      <c r="EB63" s="21">
        <f>EXP(-LN(2)/25)*EB62+(1-EXP(-LN(2)/25))/(LN(2)/25)*Calculateur!DW63*Calculateur!DY63*VLOOKUP('Données projet'!$B$14,Paramètres!$A$1:$I$89,3,0)*0.475*44/12</f>
        <v>15.467029387199036</v>
      </c>
      <c r="EC63" s="21">
        <f>EXP(-LN(2)/2)*EC62+(1-EXP(-LN(2)/2))/(LN(2)/2)*DW63*DZ63*VLOOKUP('Données projet'!$B$14,Paramètres!$A$1:$I$89,3,0)*0.475*44/12</f>
        <v>9.2328956469752992</v>
      </c>
      <c r="ED63" s="22">
        <f t="shared" si="18"/>
        <v>39.752388674757974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201.62</v>
      </c>
      <c r="EH63" s="12">
        <f>VLOOKUP(A63,'Données projet'!$A$191:$I$211,9,0)</f>
        <v>3.3603333333333336</v>
      </c>
      <c r="EI63" s="12">
        <f t="array" ref="EI63">INDEX(EH:EH,MIN(IF(ISNUMBER(EH63:EH259),ROW(EH63:EH259),"")))</f>
        <v>3.3603333333333336</v>
      </c>
      <c r="EJ63" s="12">
        <f>IF('Données projet'!$A$192&gt;35,EJ62+EI63-ER62,IF(A63&lt;'Données projet'!$A$192,$EG$205^A63,IF(A63='Données projet'!$A$192,'Données projet'!$B$192,EJ62+EI63-ER62)))</f>
        <v>201.61999999999989</v>
      </c>
      <c r="EK63" s="17">
        <f>EJ63*VLOOKUP('Données projet'!$B$15,Paramètres!$A$1:$I$89,3,0)*VLOOKUP('Données projet'!$B$15,Paramètres!$A$1:$I$89,5,0)</f>
        <v>195.00686399999989</v>
      </c>
      <c r="EL63" s="13">
        <f t="shared" si="45"/>
        <v>48.645218109693126</v>
      </c>
      <c r="EM63" s="20">
        <f t="shared" si="19"/>
        <v>424.36070967438195</v>
      </c>
      <c r="EN63" s="59">
        <f t="shared" si="20"/>
        <v>717.69404300771521</v>
      </c>
      <c r="EO63" s="59">
        <f ca="1">AVERAGE(OFFSET($EN$3,0,0,'Données projet'!$E$15+1,1))-AVERAGE(OFFSET($H$3,0,0,'Données projet'!$E$15+1,1))</f>
        <v>510.71380643466227</v>
      </c>
      <c r="EP63" s="59">
        <f t="shared" si="46"/>
        <v>252.40654099948841</v>
      </c>
      <c r="EQ63" s="15">
        <f>IF(ISNA(VLOOKUP(A63,'Données projet'!$A$191:$I$211,3,0)),0,VLOOKUP(A63,'Données projet'!$A$191:$I$211,3,0))</f>
        <v>1</v>
      </c>
      <c r="ER63" s="15">
        <f>IF(ISNA(VLOOKUP(A63,'Données projet'!$A$191:$I$211,4,0)),0,VLOOKUP(A63,'Données projet'!$A$191:$I$211,4,0))</f>
        <v>72.87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0.1075</v>
      </c>
      <c r="EU63" s="16">
        <f>IF(ISNA(VLOOKUP(A63,'Données projet'!$A$191:$I$211,7,0)),0%,VLOOKUP(A63,'Données projet'!$A$191:$I$211,7,0))</f>
        <v>0.25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8.3427124298567517</v>
      </c>
      <c r="EX63" s="21">
        <f>EXP(-LN(2)/2)*EX62+(1-EXP(-LN(2)/2))/(LN(2)/2)*ER63*EU63*VLOOKUP('Données projet'!$B$15,Paramètres!$A$1:$I$89,3,0)*0.475*44/12</f>
        <v>16.624912155431847</v>
      </c>
      <c r="EY63" s="22">
        <f t="shared" si="21"/>
        <v>24.967624585288597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6.8699999999999974</v>
      </c>
      <c r="N64" s="13">
        <f>IF('Données projet'!$A$36&gt;35,N63+M64-V63,IF(A64&lt;'Données projet'!$A$36,$K$205^A64,IF(A64='Données projet'!$A$36,'Données projet'!$B$36,N63+M64-V63)))</f>
        <v>153.90000000000006</v>
      </c>
      <c r="O64" s="13">
        <f>N64*VLOOKUP('Données projet'!$B$9,Paramètres!$A$1:$I$89,3,0)*VLOOKUP('Données projet'!$B$9,Paramètres!$A$1:$I$89,5,0)</f>
        <v>156.05460000000008</v>
      </c>
      <c r="P64" s="13">
        <f t="shared" si="33"/>
        <v>39.951330424489583</v>
      </c>
      <c r="Q64" s="20">
        <f t="shared" si="53"/>
        <v>341.37699548931954</v>
      </c>
      <c r="R64" s="59">
        <f t="shared" si="0"/>
        <v>634.71032882265285</v>
      </c>
      <c r="S64" s="59">
        <f ca="1">AVERAGE(OFFSET($R$3,0,0,'Données projet'!$E$9+1,1))-AVERAGE(OFFSET($H$3,0,0,'Données projet'!$E$9+1,1))</f>
        <v>543.67050511722618</v>
      </c>
      <c r="T64" s="59">
        <f t="shared" si="34"/>
        <v>249.0871389941106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26.254648767231579</v>
      </c>
      <c r="AB64" s="21">
        <f>EXP(-LN(2)/2)*AB63+(1-EXP(-LN(2)/2))/(LN(2)/2)*V64*Y64*VLOOKUP('Données projet'!$B$9,Paramètres!$A$1:$I$89,3,0)*0.475*44/12</f>
        <v>0.97606535429725427</v>
      </c>
      <c r="AC64" s="22">
        <f t="shared" si="3"/>
        <v>27.230714121528834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10.107499999999998</v>
      </c>
      <c r="AI64" s="13">
        <f>IF('Données projet'!$A$62&gt;35,AI63+AH64-AQ63,IF(A64&lt;'Données projet'!$A$62,$AF$205^A64,IF(A64='Données projet'!$A$62,'Données projet'!$B$62,AI63+AH64-AQ63)))</f>
        <v>236.23250000000027</v>
      </c>
      <c r="AJ64" s="13">
        <f>AI64*VLOOKUP('Données projet'!$B$10,Paramètres!$A$1:$I$89,3,0)*VLOOKUP('Données projet'!$B$10,Paramètres!$A$1:$I$89,5,0)</f>
        <v>213.74316600000023</v>
      </c>
      <c r="AK64" s="13">
        <f t="shared" si="35"/>
        <v>52.752718660626023</v>
      </c>
      <c r="AL64" s="20">
        <f t="shared" si="4"/>
        <v>464.14699911725734</v>
      </c>
      <c r="AM64" s="59">
        <f t="shared" si="5"/>
        <v>757.48033245059059</v>
      </c>
      <c r="AN64" s="59">
        <f ca="1">AVERAGE(OFFSET($AM$3,0,0,'Données projet'!$E$10+1,1))-AVERAGE(OFFSET($H$3,0,0,'Données projet'!$E$10+1,1))</f>
        <v>635.71275911100679</v>
      </c>
      <c r="AO64" s="59">
        <f t="shared" si="36"/>
        <v>281.7776857269169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33.5632537761648</v>
      </c>
      <c r="AW64" s="21">
        <f>EXP(-LN(2)/2)*AW63+(1-EXP(-LN(2)/2))/(LN(2)/2)*AQ64*AT64*VLOOKUP('Données projet'!$B$10,Paramètres!$A$1:$I$89,3,0)*0.475*44/12</f>
        <v>3.0370169527464057</v>
      </c>
      <c r="AX64" s="21">
        <f t="shared" si="6"/>
        <v>36.600270728911205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2.8205128205128176</v>
      </c>
      <c r="BD64" s="12">
        <f>IF('Données projet'!$A$88&gt;35,BD63+BC64-BL63,IF(A64&lt;'Données projet'!$A$88,$BA$205^A64,IF(A64='Données projet'!$A$88,'Données projet'!$B$88,BD63+BC64-BL63)))</f>
        <v>113.71794871794867</v>
      </c>
      <c r="BE64" s="13">
        <f>BD64*VLOOKUP('Données projet'!$B$11,Paramètres!$A$1:$I$89,3,0)*VLOOKUP('Données projet'!$B$11,Paramètres!$A$1:$I$89,5,0)</f>
        <v>99.343999999999966</v>
      </c>
      <c r="BF64" s="13">
        <f t="shared" si="37"/>
        <v>26.805654780620351</v>
      </c>
      <c r="BG64" s="20">
        <f t="shared" si="7"/>
        <v>219.71064874291372</v>
      </c>
      <c r="BH64" s="59">
        <f t="shared" si="8"/>
        <v>513.04398207624706</v>
      </c>
      <c r="BI64" s="59">
        <f ca="1">AVERAGE(OFFSET($BH$3,0,0,'Données projet'!$E$11+1,1))-AVERAGE(OFFSET($H$3,0,0,'Données projet'!$E$11+1,1))</f>
        <v>204.11804238362862</v>
      </c>
      <c r="BJ64" s="59">
        <f t="shared" si="38"/>
        <v>185.53854651509408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13.402309534299173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13.402309534299173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6.8699999999999974</v>
      </c>
      <c r="BY64" s="12">
        <f>IF('Données projet'!$A$114&gt;35,BY63+BX64-CG63,IF(A64&lt;'Données projet'!$A$114,$BV$205^A64,IF(A64='Données projet'!$A$114,'Données projet'!$B$114,BY63+BX64-CG63)))</f>
        <v>153.90000000000006</v>
      </c>
      <c r="BZ64" s="13">
        <f>BY64*VLOOKUP('Données projet'!$B$12,Paramètres!$A$1:$I$89,3,0)*VLOOKUP('Données projet'!$B$12,Paramètres!$A$1:$I$89,5,0)</f>
        <v>153.65376000000006</v>
      </c>
      <c r="CA64" s="13">
        <f t="shared" si="39"/>
        <v>39.407749101745424</v>
      </c>
      <c r="CB64" s="20">
        <f t="shared" si="10"/>
        <v>336.24879501887341</v>
      </c>
      <c r="CC64" s="59">
        <f t="shared" si="11"/>
        <v>629.58212835220672</v>
      </c>
      <c r="CD64" s="59">
        <f ca="1">AVERAGE(OFFSET($CC$3,0,0,'Données projet'!$E$12+1,1))-AVERAGE(OFFSET($H$3,0,0,'Données projet'!$E$12+1,1))</f>
        <v>535.99935263833549</v>
      </c>
      <c r="CE64" s="59">
        <f t="shared" si="40"/>
        <v>245.89966477332644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8.0783534668404862</v>
      </c>
      <c r="CM64" s="21">
        <f>EXP(-LN(2)/2)*CM63+(1-EXP(-LN(2)/2))/(LN(2)/2)*CG64*CJ64*VLOOKUP('Données projet'!$B$12,Paramètres!$A$1:$I$89,3,0)*0.475*44/12</f>
        <v>1.2013112052889283</v>
      </c>
      <c r="CN64" s="22">
        <f t="shared" si="12"/>
        <v>9.2796646721294138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9.7525000000000013</v>
      </c>
      <c r="CT64" s="12">
        <f>IF('Données projet'!$A$140&gt;35,CT63+CS64-DB63,IF(A64&lt;'Données projet'!$A$140,$CQ$205^A64,IF(A64='Données projet'!$A$140,'Données projet'!$B$140,CT63+CS64-DB63)))</f>
        <v>180.54499999999999</v>
      </c>
      <c r="CU64" s="17">
        <f>CT64*VLOOKUP('Données projet'!$B$13,Paramètres!$A$1:$I$89,3,0)*VLOOKUP('Données projet'!$B$13,Paramètres!$A$1:$I$89,5,0)</f>
        <v>171.806622</v>
      </c>
      <c r="CV64" s="13">
        <f t="shared" si="41"/>
        <v>43.494397538625861</v>
      </c>
      <c r="CW64" s="20">
        <f t="shared" si="13"/>
        <v>374.98260902977336</v>
      </c>
      <c r="CX64" s="59">
        <f t="shared" si="14"/>
        <v>668.31594236310661</v>
      </c>
      <c r="CY64" s="59">
        <f ca="1">AVERAGE(OFFSET($CX$3,0,0,'Données projet'!$E$13+1,1))-AVERAGE(OFFSET($H$3,0,0,'Données projet'!$E$13+1,1))</f>
        <v>449.28947235329758</v>
      </c>
      <c r="CZ64" s="59">
        <f t="shared" si="42"/>
        <v>289.36994109443964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8.7458398264391324</v>
      </c>
      <c r="DG64" s="21">
        <f>EXP(-LN(2)/25)*DG63+(1-EXP(-LN(2)/25))/(LN(2)/25)*Calculateur!DB64*Calculateur!DD64*VLOOKUP('Données projet'!$B$13,Paramètres!$A$1:$I$89,3,0)*0.475*44/12</f>
        <v>15.626463990212129</v>
      </c>
      <c r="DH64" s="21">
        <f>EXP(-LN(2)/2)*DH63+(1-EXP(-LN(2)/2))/(LN(2)/2)*DB64*DE64*VLOOKUP('Données projet'!$B$13,Paramètres!$A$1:$I$89,3,0)*0.475*44/12</f>
        <v>5.1749932309123867</v>
      </c>
      <c r="DI64" s="22">
        <f t="shared" si="15"/>
        <v>29.547297047563646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8.6666666666666661</v>
      </c>
      <c r="DO64" s="12">
        <f>IF('Données projet'!$A$166&gt;35,DO63+DN64-DW63,IF(A64&lt;'Données projet'!$A$166,$DL$205^A64,IF(A64='Données projet'!$A$166,'Données projet'!$B$166,DO63+DN64-DW63)))</f>
        <v>258.66666666666657</v>
      </c>
      <c r="DP64" s="17">
        <f>DO64*VLOOKUP('Données projet'!$B$14,Paramètres!$A$1:$I$89,3,0)*VLOOKUP('Données projet'!$B$14,Paramètres!$A$1:$I$89,5,0)</f>
        <v>201.75999999999993</v>
      </c>
      <c r="DQ64" s="13">
        <f t="shared" si="43"/>
        <v>50.130765000424169</v>
      </c>
      <c r="DR64" s="20">
        <f t="shared" si="16"/>
        <v>438.70974904240529</v>
      </c>
      <c r="DS64" s="59">
        <f t="shared" si="17"/>
        <v>732.04308237573855</v>
      </c>
      <c r="DT64" s="59">
        <f ca="1">AVERAGE(OFFSET($DS$3,0,0,'Données projet'!$E$14+1,1))-AVERAGE(OFFSET($H$3,0,0,'Données projet'!$E$14+1,1))</f>
        <v>288.82868507674738</v>
      </c>
      <c r="DU64" s="59">
        <f t="shared" si="44"/>
        <v>283.48738729114024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14.757294009688056</v>
      </c>
      <c r="EB64" s="21">
        <f>EXP(-LN(2)/25)*EB63+(1-EXP(-LN(2)/25))/(LN(2)/25)*Calculateur!DW64*Calculateur!DY64*VLOOKUP('Données projet'!$B$14,Paramètres!$A$1:$I$89,3,0)*0.475*44/12</f>
        <v>15.044082655230353</v>
      </c>
      <c r="EC64" s="21">
        <f>EXP(-LN(2)/2)*EC63+(1-EXP(-LN(2)/2))/(LN(2)/2)*DW64*DZ64*VLOOKUP('Données projet'!$B$14,Paramètres!$A$1:$I$89,3,0)*0.475*44/12</f>
        <v>6.5286431219639907</v>
      </c>
      <c r="ED64" s="22">
        <f t="shared" si="18"/>
        <v>36.330019786882396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6.8933333333333326</v>
      </c>
      <c r="EJ64" s="12">
        <f>IF('Données projet'!$A$192&gt;35,EJ63+EI64-ER63,IF(A64&lt;'Données projet'!$A$192,$EG$205^A64,IF(A64='Données projet'!$A$192,'Données projet'!$B$192,EJ63+EI64-ER63)))</f>
        <v>135.64333333333323</v>
      </c>
      <c r="EK64" s="17">
        <f>EJ64*VLOOKUP('Données projet'!$B$15,Paramètres!$A$1:$I$89,3,0)*VLOOKUP('Données projet'!$B$15,Paramètres!$A$1:$I$89,5,0)</f>
        <v>131.19423199999991</v>
      </c>
      <c r="EL64" s="13">
        <f t="shared" si="45"/>
        <v>34.272164248672141</v>
      </c>
      <c r="EM64" s="20">
        <f t="shared" si="19"/>
        <v>288.18730679977051</v>
      </c>
      <c r="EN64" s="59">
        <f t="shared" si="20"/>
        <v>581.52064013310383</v>
      </c>
      <c r="EO64" s="59">
        <f ca="1">AVERAGE(OFFSET($EN$3,0,0,'Données projet'!$E$15+1,1))-AVERAGE(OFFSET($H$3,0,0,'Données projet'!$E$15+1,1))</f>
        <v>510.71380643466227</v>
      </c>
      <c r="EP64" s="59">
        <f t="shared" si="46"/>
        <v>252.40654099948841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8.1145805197381389</v>
      </c>
      <c r="EX64" s="21">
        <f>EXP(-LN(2)/2)*EX63+(1-EXP(-LN(2)/2))/(LN(2)/2)*ER64*EU64*VLOOKUP('Données projet'!$B$15,Paramètres!$A$1:$I$89,3,0)*0.475*44/12</f>
        <v>11.755588121736523</v>
      </c>
      <c r="EY64" s="22">
        <f t="shared" si="21"/>
        <v>19.870168641474663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6.8699999999999974</v>
      </c>
      <c r="N65" s="13">
        <f>IF('Données projet'!$A$36&gt;35,N64+M65-V64,IF(A65&lt;'Données projet'!$A$36,$K$205^A65,IF(A65='Données projet'!$A$36,'Données projet'!$B$36,N64+M65-V64)))</f>
        <v>160.77000000000007</v>
      </c>
      <c r="O65" s="13">
        <f>N65*VLOOKUP('Données projet'!$B$9,Paramètres!$A$1:$I$89,3,0)*VLOOKUP('Données projet'!$B$9,Paramètres!$A$1:$I$89,5,0)</f>
        <v>163.02078000000009</v>
      </c>
      <c r="P65" s="13">
        <f t="shared" si="33"/>
        <v>41.52311730755536</v>
      </c>
      <c r="Q65" s="20">
        <f t="shared" si="53"/>
        <v>356.24728781065909</v>
      </c>
      <c r="R65" s="59">
        <f t="shared" si="0"/>
        <v>649.5806211439924</v>
      </c>
      <c r="S65" s="59">
        <f ca="1">AVERAGE(OFFSET($R$3,0,0,'Données projet'!$E$9+1,1))-AVERAGE(OFFSET($H$3,0,0,'Données projet'!$E$9+1,1))</f>
        <v>543.67050511722618</v>
      </c>
      <c r="T65" s="59">
        <f t="shared" si="34"/>
        <v>249.0871389941106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25.536714016019658</v>
      </c>
      <c r="AB65" s="21">
        <f>EXP(-LN(2)/2)*AB64+(1-EXP(-LN(2)/2))/(LN(2)/2)*V65*Y65*VLOOKUP('Données projet'!$B$9,Paramètres!$A$1:$I$89,3,0)*0.475*44/12</f>
        <v>0.69018243090483866</v>
      </c>
      <c r="AC65" s="22">
        <f t="shared" si="3"/>
        <v>26.226896446924496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10.107499999999998</v>
      </c>
      <c r="AI65" s="13">
        <f>IF('Données projet'!$A$62&gt;35,AI64+AH65-AQ64,IF(A65&lt;'Données projet'!$A$62,$AF$205^A65,IF(A65='Données projet'!$A$62,'Données projet'!$B$62,AI64+AH65-AQ64)))</f>
        <v>246.34000000000026</v>
      </c>
      <c r="AJ65" s="13">
        <f>AI65*VLOOKUP('Données projet'!$B$10,Paramètres!$A$1:$I$89,3,0)*VLOOKUP('Données projet'!$B$10,Paramètres!$A$1:$I$89,5,0)</f>
        <v>222.88843200000022</v>
      </c>
      <c r="AK65" s="13">
        <f t="shared" si="35"/>
        <v>54.74219476708182</v>
      </c>
      <c r="AL65" s="20">
        <f t="shared" si="4"/>
        <v>483.54000828600118</v>
      </c>
      <c r="AM65" s="59">
        <f t="shared" si="5"/>
        <v>776.8733416193345</v>
      </c>
      <c r="AN65" s="59">
        <f ca="1">AVERAGE(OFFSET($AM$3,0,0,'Données projet'!$E$10+1,1))-AVERAGE(OFFSET($H$3,0,0,'Données projet'!$E$10+1,1))</f>
        <v>635.71275911100679</v>
      </c>
      <c r="AO65" s="59">
        <f t="shared" si="36"/>
        <v>281.7776857269169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32.64546483664077</v>
      </c>
      <c r="AW65" s="21">
        <f>EXP(-LN(2)/2)*AW64+(1-EXP(-LN(2)/2))/(LN(2)/2)*AQ65*AT65*VLOOKUP('Données projet'!$B$10,Paramètres!$A$1:$I$89,3,0)*0.475*44/12</f>
        <v>2.147495281865488</v>
      </c>
      <c r="AX65" s="21">
        <f t="shared" si="6"/>
        <v>34.792960118506258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2.8205128205128176</v>
      </c>
      <c r="BD65" s="12">
        <f>IF('Données projet'!$A$88&gt;35,BD64+BC65-BL64,IF(A65&lt;'Données projet'!$A$88,$BA$205^A65,IF(A65='Données projet'!$A$88,'Données projet'!$B$88,BD64+BC65-BL64)))</f>
        <v>116.53846153846149</v>
      </c>
      <c r="BE65" s="13">
        <f>BD65*VLOOKUP('Données projet'!$B$11,Paramètres!$A$1:$I$89,3,0)*VLOOKUP('Données projet'!$B$11,Paramètres!$A$1:$I$89,5,0)</f>
        <v>101.80799999999996</v>
      </c>
      <c r="BF65" s="13">
        <f t="shared" si="37"/>
        <v>27.392278397914477</v>
      </c>
      <c r="BG65" s="20">
        <f t="shared" si="7"/>
        <v>225.02381820970098</v>
      </c>
      <c r="BH65" s="59">
        <f t="shared" si="8"/>
        <v>518.35715154303432</v>
      </c>
      <c r="BI65" s="59">
        <f ca="1">AVERAGE(OFFSET($BH$3,0,0,'Données projet'!$E$11+1,1))-AVERAGE(OFFSET($H$3,0,0,'Données projet'!$E$11+1,1))</f>
        <v>204.11804238362862</v>
      </c>
      <c r="BJ65" s="59">
        <f t="shared" si="38"/>
        <v>185.53854651509408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13.035822675286935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13.035822675286935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6.8699999999999974</v>
      </c>
      <c r="BY65" s="12">
        <f>IF('Données projet'!$A$114&gt;35,BY64+BX65-CG64,IF(A65&lt;'Données projet'!$A$114,$BV$205^A65,IF(A65='Données projet'!$A$114,'Données projet'!$B$114,BY64+BX65-CG64)))</f>
        <v>160.77000000000007</v>
      </c>
      <c r="BZ65" s="13">
        <f>BY65*VLOOKUP('Données projet'!$B$12,Paramètres!$A$1:$I$89,3,0)*VLOOKUP('Données projet'!$B$12,Paramètres!$A$1:$I$89,5,0)</f>
        <v>160.51276800000008</v>
      </c>
      <c r="CA65" s="13">
        <f t="shared" si="39"/>
        <v>40.958150113955568</v>
      </c>
      <c r="CB65" s="20">
        <f t="shared" si="10"/>
        <v>350.89518238180608</v>
      </c>
      <c r="CC65" s="59">
        <f t="shared" si="11"/>
        <v>644.22851571513934</v>
      </c>
      <c r="CD65" s="59">
        <f ca="1">AVERAGE(OFFSET($CC$3,0,0,'Données projet'!$E$12+1,1))-AVERAGE(OFFSET($H$3,0,0,'Données projet'!$E$12+1,1))</f>
        <v>535.99935263833549</v>
      </c>
      <c r="CE65" s="59">
        <f t="shared" si="40"/>
        <v>245.89966477332644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7.8574504664675873</v>
      </c>
      <c r="CM65" s="21">
        <f>EXP(-LN(2)/2)*CM64+(1-EXP(-LN(2)/2))/(LN(2)/2)*CG65*CJ65*VLOOKUP('Données projet'!$B$12,Paramètres!$A$1:$I$89,3,0)*0.475*44/12</f>
        <v>0.84945529957518595</v>
      </c>
      <c r="CN65" s="22">
        <f t="shared" si="12"/>
        <v>8.7069057660427731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9.7525000000000013</v>
      </c>
      <c r="CT65" s="12">
        <f>IF('Données projet'!$A$140&gt;35,CT64+CS65-DB64,IF(A65&lt;'Données projet'!$A$140,$CQ$205^A65,IF(A65='Données projet'!$A$140,'Données projet'!$B$140,CT64+CS65-DB64)))</f>
        <v>190.29749999999999</v>
      </c>
      <c r="CU65" s="17">
        <f>CT65*VLOOKUP('Données projet'!$B$13,Paramètres!$A$1:$I$89,3,0)*VLOOKUP('Données projet'!$B$13,Paramètres!$A$1:$I$89,5,0)</f>
        <v>181.08710099999999</v>
      </c>
      <c r="CV65" s="13">
        <f t="shared" si="41"/>
        <v>45.563961288072498</v>
      </c>
      <c r="CW65" s="20">
        <f t="shared" si="13"/>
        <v>394.7506001517263</v>
      </c>
      <c r="CX65" s="59">
        <f t="shared" si="14"/>
        <v>688.08393348505956</v>
      </c>
      <c r="CY65" s="59">
        <f ca="1">AVERAGE(OFFSET($CX$3,0,0,'Données projet'!$E$13+1,1))-AVERAGE(OFFSET($H$3,0,0,'Données projet'!$E$13+1,1))</f>
        <v>449.28947235329758</v>
      </c>
      <c r="CZ65" s="59">
        <f t="shared" si="42"/>
        <v>289.36994109443964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8.5743392418782225</v>
      </c>
      <c r="DG65" s="21">
        <f>EXP(-LN(2)/25)*DG64+(1-EXP(-LN(2)/25))/(LN(2)/25)*Calculateur!DB65*Calculateur!DD65*VLOOKUP('Données projet'!$B$13,Paramètres!$A$1:$I$89,3,0)*0.475*44/12</f>
        <v>15.199157510639751</v>
      </c>
      <c r="DH65" s="21">
        <f>EXP(-LN(2)/2)*DH64+(1-EXP(-LN(2)/2))/(LN(2)/2)*DB65*DE65*VLOOKUP('Données projet'!$B$13,Paramètres!$A$1:$I$89,3,0)*0.475*44/12</f>
        <v>3.6592728061726301</v>
      </c>
      <c r="DI65" s="22">
        <f t="shared" si="15"/>
        <v>27.432769558690602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8.6666666666666661</v>
      </c>
      <c r="DO65" s="12">
        <f>IF('Données projet'!$A$166&gt;35,DO64+DN65-DW64,IF(A65&lt;'Données projet'!$A$166,$DL$205^A65,IF(A65='Données projet'!$A$166,'Données projet'!$B$166,DO64+DN65-DW64)))</f>
        <v>267.33333333333326</v>
      </c>
      <c r="DP65" s="17">
        <f>DO65*VLOOKUP('Données projet'!$B$14,Paramètres!$A$1:$I$89,3,0)*VLOOKUP('Données projet'!$B$14,Paramètres!$A$1:$I$89,5,0)</f>
        <v>208.51999999999995</v>
      </c>
      <c r="DQ65" s="13">
        <f t="shared" si="43"/>
        <v>51.612035456318459</v>
      </c>
      <c r="DR65" s="20">
        <f t="shared" si="16"/>
        <v>453.06329508642119</v>
      </c>
      <c r="DS65" s="59">
        <f t="shared" si="17"/>
        <v>746.39662841975451</v>
      </c>
      <c r="DT65" s="59">
        <f ca="1">AVERAGE(OFFSET($DS$3,0,0,'Données projet'!$E$14+1,1))-AVERAGE(OFFSET($H$3,0,0,'Données projet'!$E$14+1,1))</f>
        <v>288.82868507674738</v>
      </c>
      <c r="DU65" s="59">
        <f t="shared" si="44"/>
        <v>283.48738729114024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14.467912475218638</v>
      </c>
      <c r="EB65" s="21">
        <f>EXP(-LN(2)/25)*EB64+(1-EXP(-LN(2)/25))/(LN(2)/25)*Calculateur!DW65*Calculateur!DY65*VLOOKUP('Données projet'!$B$14,Paramètres!$A$1:$I$89,3,0)*0.475*44/12</f>
        <v>14.632701423889156</v>
      </c>
      <c r="EC65" s="21">
        <f>EXP(-LN(2)/2)*EC64+(1-EXP(-LN(2)/2))/(LN(2)/2)*DW65*DZ65*VLOOKUP('Données projet'!$B$14,Paramètres!$A$1:$I$89,3,0)*0.475*44/12</f>
        <v>4.6164478234876505</v>
      </c>
      <c r="ED65" s="22">
        <f t="shared" si="18"/>
        <v>33.717061722595446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6.8933333333333326</v>
      </c>
      <c r="EJ65" s="12">
        <f>IF('Données projet'!$A$192&gt;35,EJ64+EI65-ER64,IF(A65&lt;'Données projet'!$A$192,$EG$205^A65,IF(A65='Données projet'!$A$192,'Données projet'!$B$192,EJ64+EI65-ER64)))</f>
        <v>142.53666666666658</v>
      </c>
      <c r="EK65" s="17">
        <f>EJ65*VLOOKUP('Données projet'!$B$15,Paramètres!$A$1:$I$89,3,0)*VLOOKUP('Données projet'!$B$15,Paramètres!$A$1:$I$89,5,0)</f>
        <v>137.8614639999999</v>
      </c>
      <c r="EL65" s="13">
        <f t="shared" si="45"/>
        <v>35.806658893228409</v>
      </c>
      <c r="EM65" s="20">
        <f t="shared" si="19"/>
        <v>302.47198070570596</v>
      </c>
      <c r="EN65" s="59">
        <f t="shared" si="20"/>
        <v>595.80531403903933</v>
      </c>
      <c r="EO65" s="59">
        <f ca="1">AVERAGE(OFFSET($EN$3,0,0,'Données projet'!$E$15+1,1))-AVERAGE(OFFSET($H$3,0,0,'Données projet'!$E$15+1,1))</f>
        <v>510.71380643466227</v>
      </c>
      <c r="EP65" s="59">
        <f t="shared" si="46"/>
        <v>252.40654099948841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7.8926868886986563</v>
      </c>
      <c r="EX65" s="21">
        <f>EXP(-LN(2)/2)*EX64+(1-EXP(-LN(2)/2))/(LN(2)/2)*ER65*EU65*VLOOKUP('Données projet'!$B$15,Paramètres!$A$1:$I$89,3,0)*0.475*44/12</f>
        <v>8.3124560777159253</v>
      </c>
      <c r="EY65" s="22">
        <f t="shared" si="21"/>
        <v>16.205142966414581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167.64</v>
      </c>
      <c r="L66" s="12">
        <f>VLOOKUP(A66,'Données projet'!$A$35:$I$55,9,0)</f>
        <v>6.8699999999999974</v>
      </c>
      <c r="M66" s="12">
        <f t="array" ref="M66">INDEX(L:L,MIN(IF(ISNUMBER(L66:L262),ROW(L66:L262),"")))</f>
        <v>6.8699999999999974</v>
      </c>
      <c r="N66" s="13">
        <f>IF('Données projet'!$A$36&gt;35,N65+M66-V65,IF(A66&lt;'Données projet'!$A$36,$K$205^A66,IF(A66='Données projet'!$A$36,'Données projet'!$B$36,N65+M66-V65)))</f>
        <v>167.64000000000007</v>
      </c>
      <c r="O66" s="13">
        <f>N66*VLOOKUP('Données projet'!$B$9,Paramètres!$A$1:$I$89,3,0)*VLOOKUP('Données projet'!$B$9,Paramètres!$A$1:$I$89,5,0)</f>
        <v>169.9869600000001</v>
      </c>
      <c r="P66" s="13">
        <f t="shared" si="33"/>
        <v>43.087103046057784</v>
      </c>
      <c r="Q66" s="20">
        <f t="shared" si="53"/>
        <v>371.10399313855078</v>
      </c>
      <c r="R66" s="59">
        <f t="shared" si="0"/>
        <v>664.43732647188403</v>
      </c>
      <c r="S66" s="59">
        <f ca="1">AVERAGE(OFFSET($R$3,0,0,'Données projet'!$E$9+1,1))-AVERAGE(OFFSET($H$3,0,0,'Données projet'!$E$9+1,1))</f>
        <v>543.67050511722618</v>
      </c>
      <c r="T66" s="59">
        <f t="shared" si="34"/>
        <v>249.0871389941106</v>
      </c>
      <c r="U66" s="15">
        <f>IF(ISNA(VLOOKUP(A66,'Données projet'!$A$35:$I$55,3,0)),0,VLOOKUP(A66,'Données projet'!$A$35:$I$55,3,0))</f>
        <v>3</v>
      </c>
      <c r="V66" s="15">
        <f>IF(ISNA(VLOOKUP(A66,'Données projet'!$A$35:$I$55,4,0)),0,VLOOKUP(A66,'Données projet'!$A$35:$I$55,4,0))</f>
        <v>35.169999999999987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0.34400000000000003</v>
      </c>
      <c r="Y66" s="16">
        <f>IF(ISNA(VLOOKUP(A66,'Données projet'!$A$35:$I$55,7,0)),0%,VLOOKUP(A66,'Données projet'!$A$35:$I$55,7,0))</f>
        <v>0.2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38.346767868944028</v>
      </c>
      <c r="AB66" s="21">
        <f>EXP(-LN(2)/2)*AB65+(1-EXP(-LN(2)/2))/(LN(2)/2)*V66*Y66*VLOOKUP('Données projet'!$B$9,Paramètres!$A$1:$I$89,3,0)*0.475*44/12</f>
        <v>7.2177157509256062</v>
      </c>
      <c r="AC66" s="22">
        <f t="shared" si="3"/>
        <v>45.564483619869634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10.107499999999998</v>
      </c>
      <c r="AI66" s="13">
        <f>IF('Données projet'!$A$62&gt;35,AI65+AH66-AQ65,IF(A66&lt;'Données projet'!$A$62,$AF$205^A66,IF(A66='Données projet'!$A$62,'Données projet'!$B$62,AI65+AH66-AQ65)))</f>
        <v>256.44750000000028</v>
      </c>
      <c r="AJ66" s="13">
        <f>AI66*VLOOKUP('Données projet'!$B$10,Paramètres!$A$1:$I$89,3,0)*VLOOKUP('Données projet'!$B$10,Paramètres!$A$1:$I$89,5,0)</f>
        <v>232.03369800000024</v>
      </c>
      <c r="AK66" s="13">
        <f t="shared" si="35"/>
        <v>56.722189034958802</v>
      </c>
      <c r="AL66" s="20">
        <f t="shared" si="4"/>
        <v>502.91650325255364</v>
      </c>
      <c r="AM66" s="59">
        <f t="shared" si="5"/>
        <v>796.2498365858869</v>
      </c>
      <c r="AN66" s="59">
        <f ca="1">AVERAGE(OFFSET($AM$3,0,0,'Données projet'!$E$10+1,1))-AVERAGE(OFFSET($H$3,0,0,'Données projet'!$E$10+1,1))</f>
        <v>635.71275911100679</v>
      </c>
      <c r="AO66" s="59">
        <f t="shared" si="36"/>
        <v>281.7776857269169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31.752772883932444</v>
      </c>
      <c r="AW66" s="21">
        <f>EXP(-LN(2)/2)*AW65+(1-EXP(-LN(2)/2))/(LN(2)/2)*AQ66*AT66*VLOOKUP('Données projet'!$B$10,Paramètres!$A$1:$I$89,3,0)*0.475*44/12</f>
        <v>1.5185084763732029</v>
      </c>
      <c r="AX66" s="21">
        <f t="shared" si="6"/>
        <v>33.27128136030565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2.8205128205128176</v>
      </c>
      <c r="BD66" s="12">
        <f>IF('Données projet'!$A$88&gt;35,BD65+BC66-BL65,IF(A66&lt;'Données projet'!$A$88,$BA$205^A66,IF(A66='Données projet'!$A$88,'Données projet'!$B$88,BD65+BC66-BL65)))</f>
        <v>119.35897435897431</v>
      </c>
      <c r="BE66" s="13">
        <f>BD66*VLOOKUP('Données projet'!$B$11,Paramètres!$A$1:$I$89,3,0)*VLOOKUP('Données projet'!$B$11,Paramètres!$A$1:$I$89,5,0)</f>
        <v>104.27199999999998</v>
      </c>
      <c r="BF66" s="13">
        <f t="shared" si="37"/>
        <v>27.977251556977873</v>
      </c>
      <c r="BG66" s="20">
        <f t="shared" si="7"/>
        <v>230.33411312840303</v>
      </c>
      <c r="BH66" s="59">
        <f t="shared" si="8"/>
        <v>523.66744646173629</v>
      </c>
      <c r="BI66" s="59">
        <f ca="1">AVERAGE(OFFSET($BH$3,0,0,'Données projet'!$E$11+1,1))-AVERAGE(OFFSET($H$3,0,0,'Données projet'!$E$11+1,1))</f>
        <v>204.11804238362862</v>
      </c>
      <c r="BJ66" s="59">
        <f t="shared" si="38"/>
        <v>185.53854651509408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12.679357418707093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12.679357418707093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>
        <f>VLOOKUP(A66,'Données projet'!$A$113:$I$133,2,0)</f>
        <v>167.64</v>
      </c>
      <c r="BW66" s="12">
        <f>VLOOKUP(A66,'Données projet'!$A$113:$I$133,9,0)</f>
        <v>6.8699999999999974</v>
      </c>
      <c r="BX66" s="12">
        <f t="array" ref="BX66">INDEX(BW:BW,MIN(IF(ISNUMBER(BW66:BW262),ROW(BW66:BW262),"")))</f>
        <v>6.8699999999999974</v>
      </c>
      <c r="BY66" s="12">
        <f>IF('Données projet'!$A$114&gt;35,BY65+BX66-CG65,IF(A66&lt;'Données projet'!$A$114,$BV$205^A66,IF(A66='Données projet'!$A$114,'Données projet'!$B$114,BY65+BX66-CG65)))</f>
        <v>167.64000000000007</v>
      </c>
      <c r="BZ66" s="13">
        <f>BY66*VLOOKUP('Données projet'!$B$12,Paramètres!$A$1:$I$89,3,0)*VLOOKUP('Données projet'!$B$12,Paramètres!$A$1:$I$89,5,0)</f>
        <v>167.3717760000001</v>
      </c>
      <c r="CA66" s="13">
        <f t="shared" si="39"/>
        <v>42.500856124662782</v>
      </c>
      <c r="CB66" s="20">
        <f t="shared" si="10"/>
        <v>365.5281676171212</v>
      </c>
      <c r="CC66" s="59">
        <f t="shared" si="11"/>
        <v>658.86150095045446</v>
      </c>
      <c r="CD66" s="59">
        <f ca="1">AVERAGE(OFFSET($CC$3,0,0,'Données projet'!$E$12+1,1))-AVERAGE(OFFSET($H$3,0,0,'Données projet'!$E$12+1,1))</f>
        <v>535.99935263833549</v>
      </c>
      <c r="CE66" s="59">
        <f t="shared" si="40"/>
        <v>245.89966477332644</v>
      </c>
      <c r="CF66" s="15">
        <f>IF(ISNA(VLOOKUP(A66,'Données projet'!$A$113:$I$133,3,0)),0,VLOOKUP(A66,'Données projet'!$A$113:$I$133,3,0))</f>
        <v>3</v>
      </c>
      <c r="CG66" s="15">
        <f>IF(ISNA(VLOOKUP(A66,'Données projet'!$A$113:$I$133,4,0)),0,VLOOKUP(A66,'Données projet'!$A$113:$I$133,4,0))</f>
        <v>35.169999999999987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0.1075</v>
      </c>
      <c r="CJ66" s="16">
        <f>IF(ISNA(VLOOKUP(A66,'Données projet'!$A$113:$I$133,7,0)),0%,VLOOKUP(A66,'Données projet'!$A$113:$I$133,7,0))</f>
        <v>0.25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11.799005498136623</v>
      </c>
      <c r="CM66" s="21">
        <f>EXP(-LN(2)/2)*CM65+(1-EXP(-LN(2)/2))/(LN(2)/2)*CG66*CJ66*VLOOKUP('Données projet'!$B$12,Paramètres!$A$1:$I$89,3,0)*0.475*44/12</f>
        <v>8.8833424626776676</v>
      </c>
      <c r="CN66" s="22">
        <f t="shared" si="12"/>
        <v>20.68234796081429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9.7525000000000013</v>
      </c>
      <c r="CT66" s="12">
        <f>IF('Données projet'!$A$140&gt;35,CT65+CS66-DB65,IF(A66&lt;'Données projet'!$A$140,$CQ$205^A66,IF(A66='Données projet'!$A$140,'Données projet'!$B$140,CT65+CS66-DB65)))</f>
        <v>200.04999999999998</v>
      </c>
      <c r="CU66" s="17">
        <f>CT66*VLOOKUP('Données projet'!$B$13,Paramètres!$A$1:$I$89,3,0)*VLOOKUP('Données projet'!$B$13,Paramètres!$A$1:$I$89,5,0)</f>
        <v>190.36758</v>
      </c>
      <c r="CV66" s="13">
        <f t="shared" si="41"/>
        <v>47.621210426557901</v>
      </c>
      <c r="CW66" s="20">
        <f t="shared" si="13"/>
        <v>414.49714332625496</v>
      </c>
      <c r="CX66" s="59">
        <f t="shared" si="14"/>
        <v>707.83047665958827</v>
      </c>
      <c r="CY66" s="59">
        <f ca="1">AVERAGE(OFFSET($CX$3,0,0,'Données projet'!$E$13+1,1))-AVERAGE(OFFSET($H$3,0,0,'Données projet'!$E$13+1,1))</f>
        <v>449.28947235329758</v>
      </c>
      <c r="CZ66" s="59">
        <f t="shared" si="42"/>
        <v>289.36994109443964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8.4062016791755259</v>
      </c>
      <c r="DG66" s="21">
        <f>EXP(-LN(2)/25)*DG65+(1-EXP(-LN(2)/25))/(LN(2)/25)*Calculateur!DB66*Calculateur!DD66*VLOOKUP('Données projet'!$B$13,Paramètres!$A$1:$I$89,3,0)*0.475*44/12</f>
        <v>14.78353574922235</v>
      </c>
      <c r="DH66" s="21">
        <f>EXP(-LN(2)/2)*DH65+(1-EXP(-LN(2)/2))/(LN(2)/2)*DB66*DE66*VLOOKUP('Données projet'!$B$13,Paramètres!$A$1:$I$89,3,0)*0.475*44/12</f>
        <v>2.5874966154561938</v>
      </c>
      <c r="DI66" s="22">
        <f t="shared" si="15"/>
        <v>25.777234043854069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8.6666666666666661</v>
      </c>
      <c r="DO66" s="12">
        <f>IF('Données projet'!$A$166&gt;35,DO65+DN66-DW65,IF(A66&lt;'Données projet'!$A$166,$DL$205^A66,IF(A66='Données projet'!$A$166,'Données projet'!$B$166,DO65+DN66-DW65)))</f>
        <v>275.99999999999994</v>
      </c>
      <c r="DP66" s="17">
        <f>DO66*VLOOKUP('Données projet'!$B$14,Paramètres!$A$1:$I$89,3,0)*VLOOKUP('Données projet'!$B$14,Paramètres!$A$1:$I$89,5,0)</f>
        <v>215.27999999999997</v>
      </c>
      <c r="DQ66" s="13">
        <f t="shared" si="43"/>
        <v>53.087725740853138</v>
      </c>
      <c r="DR66" s="20">
        <f t="shared" si="16"/>
        <v>467.40712233198587</v>
      </c>
      <c r="DS66" s="59">
        <f t="shared" si="17"/>
        <v>760.74045566531913</v>
      </c>
      <c r="DT66" s="59">
        <f ca="1">AVERAGE(OFFSET($DS$3,0,0,'Données projet'!$E$14+1,1))-AVERAGE(OFFSET($H$3,0,0,'Données projet'!$E$14+1,1))</f>
        <v>288.82868507674738</v>
      </c>
      <c r="DU66" s="59">
        <f t="shared" si="44"/>
        <v>283.48738729114024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14.184205536134858</v>
      </c>
      <c r="EB66" s="21">
        <f>EXP(-LN(2)/25)*EB65+(1-EXP(-LN(2)/25))/(LN(2)/25)*Calculateur!DW66*Calculateur!DY66*VLOOKUP('Données projet'!$B$14,Paramètres!$A$1:$I$89,3,0)*0.475*44/12</f>
        <v>14.232569433952582</v>
      </c>
      <c r="EC66" s="21">
        <f>EXP(-LN(2)/2)*EC65+(1-EXP(-LN(2)/2))/(LN(2)/2)*DW66*DZ66*VLOOKUP('Données projet'!$B$14,Paramètres!$A$1:$I$89,3,0)*0.475*44/12</f>
        <v>3.2643215609819958</v>
      </c>
      <c r="ED66" s="22">
        <f t="shared" si="18"/>
        <v>31.681096531069436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6.8933333333333326</v>
      </c>
      <c r="EJ66" s="12">
        <f>IF('Données projet'!$A$192&gt;35,EJ65+EI66-ER65,IF(A66&lt;'Données projet'!$A$192,$EG$205^A66,IF(A66='Données projet'!$A$192,'Données projet'!$B$192,EJ65+EI66-ER65)))</f>
        <v>149.42999999999992</v>
      </c>
      <c r="EK66" s="17">
        <f>EJ66*VLOOKUP('Données projet'!$B$15,Paramètres!$A$1:$I$89,3,0)*VLOOKUP('Données projet'!$B$15,Paramètres!$A$1:$I$89,5,0)</f>
        <v>144.52869599999994</v>
      </c>
      <c r="EL66" s="13">
        <f t="shared" si="45"/>
        <v>37.332536103072727</v>
      </c>
      <c r="EM66" s="20">
        <f t="shared" si="19"/>
        <v>316.74164591285154</v>
      </c>
      <c r="EN66" s="59">
        <f t="shared" si="20"/>
        <v>610.07497924618485</v>
      </c>
      <c r="EO66" s="59">
        <f ca="1">AVERAGE(OFFSET($EN$3,0,0,'Données projet'!$E$15+1,1))-AVERAGE(OFFSET($H$3,0,0,'Données projet'!$E$15+1,1))</f>
        <v>510.71380643466227</v>
      </c>
      <c r="EP66" s="59">
        <f t="shared" si="46"/>
        <v>252.40654099948841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7.6768609506688268</v>
      </c>
      <c r="EX66" s="21">
        <f>EXP(-LN(2)/2)*EX65+(1-EXP(-LN(2)/2))/(LN(2)/2)*ER66*EU66*VLOOKUP('Données projet'!$B$15,Paramètres!$A$1:$I$89,3,0)*0.475*44/12</f>
        <v>5.8777940608682622</v>
      </c>
      <c r="EY66" s="22">
        <f t="shared" si="21"/>
        <v>13.55465501153709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6.8770000000000007</v>
      </c>
      <c r="N67" s="13">
        <f>IF('Données projet'!$A$36&gt;35,N66+M67-V66,IF(A67&lt;'Données projet'!$A$36,$K$205^A67,IF(A67='Données projet'!$A$36,'Données projet'!$B$36,N66+M67-V66)))</f>
        <v>139.34700000000009</v>
      </c>
      <c r="O67" s="13">
        <f>N67*VLOOKUP('Données projet'!$B$9,Paramètres!$A$1:$I$89,3,0)*VLOOKUP('Données projet'!$B$9,Paramètres!$A$1:$I$89,5,0)</f>
        <v>141.2978580000001</v>
      </c>
      <c r="P67" s="13">
        <f t="shared" si="33"/>
        <v>36.594166672362377</v>
      </c>
      <c r="Q67" s="20">
        <f t="shared" ref="Q67:Q98" si="54">(O67+P67)*0.475*44/12</f>
        <v>309.82860963769798</v>
      </c>
      <c r="R67" s="59">
        <f t="shared" ref="R67:R130" si="55">Q67+(I67+J67)*44/12</f>
        <v>603.16194297103129</v>
      </c>
      <c r="S67" s="59">
        <f ca="1">AVERAGE(OFFSET($R$3,0,0,'Données projet'!$E$9+1,1))-AVERAGE(OFFSET($H$3,0,0,'Données projet'!$E$9+1,1))</f>
        <v>543.67050511722618</v>
      </c>
      <c r="T67" s="59">
        <f t="shared" si="34"/>
        <v>249.0871389941106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37.298173484998877</v>
      </c>
      <c r="AB67" s="21">
        <f>EXP(-LN(2)/2)*AB66+(1-EXP(-LN(2)/2))/(LN(2)/2)*V67*Y67*VLOOKUP('Données projet'!$B$9,Paramètres!$A$1:$I$89,3,0)*0.475*44/12</f>
        <v>5.103695752156451</v>
      </c>
      <c r="AC67" s="22">
        <f t="shared" si="3"/>
        <v>42.401869237155324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10.107499999999998</v>
      </c>
      <c r="AI67" s="13">
        <f>IF('Données projet'!$A$62&gt;35,AI66+AH67-AQ66,IF(A67&lt;'Données projet'!$A$62,$AF$205^A67,IF(A67='Données projet'!$A$62,'Données projet'!$B$62,AI66+AH67-AQ66)))</f>
        <v>266.55500000000029</v>
      </c>
      <c r="AJ67" s="13">
        <f>AI67*VLOOKUP('Données projet'!$B$10,Paramètres!$A$1:$I$89,3,0)*VLOOKUP('Données projet'!$B$10,Paramètres!$A$1:$I$89,5,0)</f>
        <v>241.17896400000026</v>
      </c>
      <c r="AK67" s="13">
        <f t="shared" si="35"/>
        <v>58.693117941200413</v>
      </c>
      <c r="AL67" s="20">
        <f t="shared" si="4"/>
        <v>522.27720938092455</v>
      </c>
      <c r="AM67" s="59">
        <f t="shared" si="5"/>
        <v>815.61054271425792</v>
      </c>
      <c r="AN67" s="59">
        <f ca="1">AVERAGE(OFFSET($AM$3,0,0,'Données projet'!$E$10+1,1))-AVERAGE(OFFSET($H$3,0,0,'Données projet'!$E$10+1,1))</f>
        <v>635.71275911100679</v>
      </c>
      <c r="AO67" s="59">
        <f t="shared" si="36"/>
        <v>281.7776857269169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30.884491639615558</v>
      </c>
      <c r="AW67" s="21">
        <f>EXP(-LN(2)/2)*AW66+(1-EXP(-LN(2)/2))/(LN(2)/2)*AQ67*AT67*VLOOKUP('Données projet'!$B$10,Paramètres!$A$1:$I$89,3,0)*0.475*44/12</f>
        <v>1.073747640932744</v>
      </c>
      <c r="AX67" s="21">
        <f t="shared" si="6"/>
        <v>31.958239280548302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2.8205128205128176</v>
      </c>
      <c r="BD67" s="12">
        <f>IF('Données projet'!$A$88&gt;35,BD66+BC67-BL66,IF(A67&lt;'Données projet'!$A$88,$BA$205^A67,IF(A67='Données projet'!$A$88,'Données projet'!$B$88,BD66+BC67-BL66)))</f>
        <v>122.17948717948713</v>
      </c>
      <c r="BE67" s="13">
        <f>BD67*VLOOKUP('Données projet'!$B$11,Paramètres!$A$1:$I$89,3,0)*VLOOKUP('Données projet'!$B$11,Paramètres!$A$1:$I$89,5,0)</f>
        <v>106.73599999999996</v>
      </c>
      <c r="BF67" s="13">
        <f t="shared" si="37"/>
        <v>28.560617747062828</v>
      </c>
      <c r="BG67" s="20">
        <f t="shared" si="7"/>
        <v>235.641609242801</v>
      </c>
      <c r="BH67" s="59">
        <f t="shared" si="8"/>
        <v>528.97494257613425</v>
      </c>
      <c r="BI67" s="59">
        <f ca="1">AVERAGE(OFFSET($BH$3,0,0,'Données projet'!$E$11+1,1))-AVERAGE(OFFSET($H$3,0,0,'Données projet'!$E$11+1,1))</f>
        <v>204.11804238362862</v>
      </c>
      <c r="BJ67" s="59">
        <f t="shared" si="38"/>
        <v>185.53854651509408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12.33263972331412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12.33263972331412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6.8770000000000007</v>
      </c>
      <c r="BY67" s="12">
        <f>IF('Données projet'!$A$114&gt;35,BY66+BX67-CG66,IF(A67&lt;'Données projet'!$A$114,$BV$205^A67,IF(A67='Données projet'!$A$114,'Données projet'!$B$114,BY66+BX67-CG66)))</f>
        <v>139.34700000000009</v>
      </c>
      <c r="BZ67" s="13">
        <f>BY67*VLOOKUP('Données projet'!$B$12,Paramètres!$A$1:$I$89,3,0)*VLOOKUP('Données projet'!$B$12,Paramètres!$A$1:$I$89,5,0)</f>
        <v>139.12404480000009</v>
      </c>
      <c r="CA67" s="13">
        <f t="shared" si="39"/>
        <v>36.096263215503008</v>
      </c>
      <c r="CB67" s="20">
        <f t="shared" si="10"/>
        <v>305.17536979366787</v>
      </c>
      <c r="CC67" s="59">
        <f t="shared" si="11"/>
        <v>598.50870312700113</v>
      </c>
      <c r="CD67" s="59">
        <f ca="1">AVERAGE(OFFSET($CC$3,0,0,'Données projet'!$E$12+1,1))-AVERAGE(OFFSET($H$3,0,0,'Données projet'!$E$12+1,1))</f>
        <v>535.99935263833549</v>
      </c>
      <c r="CE67" s="59">
        <f t="shared" si="40"/>
        <v>245.89966477332644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11.476361072307345</v>
      </c>
      <c r="CM67" s="21">
        <f>EXP(-LN(2)/2)*CM66+(1-EXP(-LN(2)/2))/(LN(2)/2)*CG67*CJ67*VLOOKUP('Données projet'!$B$12,Paramètres!$A$1:$I$89,3,0)*0.475*44/12</f>
        <v>6.2814716949617839</v>
      </c>
      <c r="CN67" s="22">
        <f t="shared" si="12"/>
        <v>17.757832767269129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9.7525000000000013</v>
      </c>
      <c r="CT67" s="12">
        <f>IF('Données projet'!$A$140&gt;35,CT66+CS67-DB66,IF(A67&lt;'Données projet'!$A$140,$CQ$205^A67,IF(A67='Données projet'!$A$140,'Données projet'!$B$140,CT66+CS67-DB66)))</f>
        <v>209.80249999999998</v>
      </c>
      <c r="CU67" s="17">
        <f>CT67*VLOOKUP('Données projet'!$B$13,Paramètres!$A$1:$I$89,3,0)*VLOOKUP('Données projet'!$B$13,Paramètres!$A$1:$I$89,5,0)</f>
        <v>199.64805899999999</v>
      </c>
      <c r="CV67" s="13">
        <f t="shared" si="41"/>
        <v>49.666813819210098</v>
      </c>
      <c r="CW67" s="20">
        <f t="shared" si="13"/>
        <v>434.22340349345751</v>
      </c>
      <c r="CX67" s="59">
        <f t="shared" si="14"/>
        <v>727.55673682679083</v>
      </c>
      <c r="CY67" s="59">
        <f ca="1">AVERAGE(OFFSET($CX$3,0,0,'Données projet'!$E$13+1,1))-AVERAGE(OFFSET($H$3,0,0,'Données projet'!$E$13+1,1))</f>
        <v>449.28947235329758</v>
      </c>
      <c r="CZ67" s="59">
        <f t="shared" si="42"/>
        <v>289.36994109443964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8.2413611915236409</v>
      </c>
      <c r="DG67" s="21">
        <f>EXP(-LN(2)/25)*DG66+(1-EXP(-LN(2)/25))/(LN(2)/25)*Calculateur!DB67*Calculateur!DD67*VLOOKUP('Données projet'!$B$13,Paramètres!$A$1:$I$89,3,0)*0.475*44/12</f>
        <v>14.379279186727508</v>
      </c>
      <c r="DH67" s="21">
        <f>EXP(-LN(2)/2)*DH66+(1-EXP(-LN(2)/2))/(LN(2)/2)*DB67*DE67*VLOOKUP('Données projet'!$B$13,Paramètres!$A$1:$I$89,3,0)*0.475*44/12</f>
        <v>1.8296364030863153</v>
      </c>
      <c r="DI67" s="22">
        <f t="shared" si="15"/>
        <v>24.450276781337465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8.6666666666666661</v>
      </c>
      <c r="DO67" s="12">
        <f>IF('Données projet'!$A$166&gt;35,DO66+DN67-DW66,IF(A67&lt;'Données projet'!$A$166,$DL$205^A67,IF(A67='Données projet'!$A$166,'Données projet'!$B$166,DO66+DN67-DW66)))</f>
        <v>284.66666666666663</v>
      </c>
      <c r="DP67" s="17">
        <f>DO67*VLOOKUP('Données projet'!$B$14,Paramètres!$A$1:$I$89,3,0)*VLOOKUP('Données projet'!$B$14,Paramètres!$A$1:$I$89,5,0)</f>
        <v>222.04</v>
      </c>
      <c r="DQ67" s="13">
        <f t="shared" si="43"/>
        <v>54.558031180803546</v>
      </c>
      <c r="DR67" s="20">
        <f t="shared" si="16"/>
        <v>481.74157097323285</v>
      </c>
      <c r="DS67" s="59">
        <f t="shared" si="17"/>
        <v>775.07490430656617</v>
      </c>
      <c r="DT67" s="59">
        <f ca="1">AVERAGE(OFFSET($DS$3,0,0,'Données projet'!$E$14+1,1))-AVERAGE(OFFSET($H$3,0,0,'Données projet'!$E$14+1,1))</f>
        <v>288.82868507674738</v>
      </c>
      <c r="DU67" s="59">
        <f t="shared" si="44"/>
        <v>283.48738729114024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13.906061917082365</v>
      </c>
      <c r="EB67" s="21">
        <f>EXP(-LN(2)/25)*EB66+(1-EXP(-LN(2)/25))/(LN(2)/25)*Calculateur!DW67*Calculateur!DY67*VLOOKUP('Données projet'!$B$14,Paramètres!$A$1:$I$89,3,0)*0.475*44/12</f>
        <v>13.843379074322851</v>
      </c>
      <c r="EC67" s="21">
        <f>EXP(-LN(2)/2)*EC66+(1-EXP(-LN(2)/2))/(LN(2)/2)*DW67*DZ67*VLOOKUP('Données projet'!$B$14,Paramètres!$A$1:$I$89,3,0)*0.475*44/12</f>
        <v>2.3082239117438257</v>
      </c>
      <c r="ED67" s="22">
        <f t="shared" si="18"/>
        <v>30.057664903149043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6.8933333333333326</v>
      </c>
      <c r="EJ67" s="12">
        <f>IF('Données projet'!$A$192&gt;35,EJ66+EI67-ER66,IF(A67&lt;'Données projet'!$A$192,$EG$205^A67,IF(A67='Données projet'!$A$192,'Données projet'!$B$192,EJ66+EI67-ER66)))</f>
        <v>156.32333333333327</v>
      </c>
      <c r="EK67" s="17">
        <f>EJ67*VLOOKUP('Données projet'!$B$15,Paramètres!$A$1:$I$89,3,0)*VLOOKUP('Données projet'!$B$15,Paramètres!$A$1:$I$89,5,0)</f>
        <v>151.19592799999995</v>
      </c>
      <c r="EL67" s="13">
        <f t="shared" si="45"/>
        <v>38.850238811998203</v>
      </c>
      <c r="EM67" s="20">
        <f t="shared" si="19"/>
        <v>330.99707386423012</v>
      </c>
      <c r="EN67" s="59">
        <f t="shared" si="20"/>
        <v>624.33040719756343</v>
      </c>
      <c r="EO67" s="59">
        <f ca="1">AVERAGE(OFFSET($EN$3,0,0,'Données projet'!$E$15+1,1))-AVERAGE(OFFSET($H$3,0,0,'Données projet'!$E$15+1,1))</f>
        <v>510.71380643466227</v>
      </c>
      <c r="EP67" s="59">
        <f t="shared" si="46"/>
        <v>252.40654099948841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7.4669367842642158</v>
      </c>
      <c r="EX67" s="21">
        <f>EXP(-LN(2)/2)*EX66+(1-EXP(-LN(2)/2))/(LN(2)/2)*ER67*EU67*VLOOKUP('Données projet'!$B$15,Paramètres!$A$1:$I$89,3,0)*0.475*44/12</f>
        <v>4.1562280388579635</v>
      </c>
      <c r="EY67" s="22">
        <f t="shared" si="21"/>
        <v>11.623164823122179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6.8770000000000007</v>
      </c>
      <c r="N68" s="13">
        <f>IF('Données projet'!$A$36&gt;35,N67+M68-V67,IF(A68&lt;'Données projet'!$A$36,$K$205^A68,IF(A68='Données projet'!$A$36,'Données projet'!$B$36,N67+M68-V67)))</f>
        <v>146.2240000000001</v>
      </c>
      <c r="O68" s="13">
        <f>N68*VLOOKUP('Données projet'!$B$9,Paramètres!$A$1:$I$89,3,0)*VLOOKUP('Données projet'!$B$9,Paramètres!$A$1:$I$89,5,0)</f>
        <v>148.2711360000001</v>
      </c>
      <c r="P68" s="13">
        <f t="shared" si="33"/>
        <v>38.185430385039062</v>
      </c>
      <c r="Q68" s="20">
        <f t="shared" si="54"/>
        <v>324.74518645394323</v>
      </c>
      <c r="R68" s="59">
        <f t="shared" si="55"/>
        <v>618.07851978727649</v>
      </c>
      <c r="S68" s="59">
        <f ca="1">AVERAGE(OFFSET($R$3,0,0,'Données projet'!$E$9+1,1))-AVERAGE(OFFSET($H$3,0,0,'Données projet'!$E$9+1,1))</f>
        <v>543.67050511722618</v>
      </c>
      <c r="T68" s="59">
        <f t="shared" si="34"/>
        <v>249.0871389941106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36.278252969625882</v>
      </c>
      <c r="AB68" s="21">
        <f>EXP(-LN(2)/2)*AB67+(1-EXP(-LN(2)/2))/(LN(2)/2)*V68*Y68*VLOOKUP('Données projet'!$B$9,Paramètres!$A$1:$I$89,3,0)*0.475*44/12</f>
        <v>3.608857875462804</v>
      </c>
      <c r="AC68" s="22">
        <f t="shared" ref="AC68:AC131" si="57">SUM(Z68:AB68)</f>
        <v>39.887110845088685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10.107499999999998</v>
      </c>
      <c r="AI68" s="13">
        <f>IF('Données projet'!$A$62&gt;35,AI67+AH68-AQ67,IF(A68&lt;'Données projet'!$A$62,$AF$205^A68,IF(A68='Données projet'!$A$62,'Données projet'!$B$62,AI67+AH68-AQ67)))</f>
        <v>276.66250000000031</v>
      </c>
      <c r="AJ68" s="13">
        <f>AI68*VLOOKUP('Données projet'!$B$10,Paramètres!$A$1:$I$89,3,0)*VLOOKUP('Données projet'!$B$10,Paramètres!$A$1:$I$89,5,0)</f>
        <v>250.32423000000026</v>
      </c>
      <c r="AK68" s="13">
        <f t="shared" si="35"/>
        <v>60.655364588948935</v>
      </c>
      <c r="AL68" s="20">
        <f t="shared" ref="AL68:AL131" si="58">(AJ68+AK68)*0.475*44/12</f>
        <v>541.62279390908645</v>
      </c>
      <c r="AM68" s="59">
        <f t="shared" ref="AM68:AM131" si="59">AL68+(AD68+AE68)*44/12</f>
        <v>834.95612724241983</v>
      </c>
      <c r="AN68" s="59">
        <f ca="1">AVERAGE(OFFSET($AM$3,0,0,'Données projet'!$E$10+1,1))-AVERAGE(OFFSET($H$3,0,0,'Données projet'!$E$10+1,1))</f>
        <v>635.71275911100679</v>
      </c>
      <c r="AO68" s="59">
        <f t="shared" si="36"/>
        <v>281.7776857269169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30.039953591585441</v>
      </c>
      <c r="AW68" s="21">
        <f>EXP(-LN(2)/2)*AW67+(1-EXP(-LN(2)/2))/(LN(2)/2)*AQ68*AT68*VLOOKUP('Données projet'!$B$10,Paramètres!$A$1:$I$89,3,0)*0.475*44/12</f>
        <v>0.75925423818660143</v>
      </c>
      <c r="AX68" s="21">
        <f t="shared" ref="AX68:AX131" si="60">SUM(AU68:AW68)</f>
        <v>30.799207829772044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125</v>
      </c>
      <c r="BB68" s="12">
        <f>VLOOKUP(A68,'Données projet'!$A$87:$I$107,9,0)</f>
        <v>2.8205128205128176</v>
      </c>
      <c r="BC68" s="12">
        <f t="array" ref="BC68">INDEX(BB:BB,MIN(IF(ISNUMBER(BB68:BB264),ROW(BB68:BB264),"")))</f>
        <v>2.8205128205128176</v>
      </c>
      <c r="BD68" s="12">
        <f>IF('Données projet'!$A$88&gt;35,BD67+BC68-BL67,IF(A68&lt;'Données projet'!$A$88,$BA$205^A68,IF(A68='Données projet'!$A$88,'Données projet'!$B$88,BD67+BC68-BL67)))</f>
        <v>124.99999999999994</v>
      </c>
      <c r="BE68" s="13">
        <f>BD68*VLOOKUP('Données projet'!$B$11,Paramètres!$A$1:$I$89,3,0)*VLOOKUP('Données projet'!$B$11,Paramètres!$A$1:$I$89,5,0)</f>
        <v>109.19999999999996</v>
      </c>
      <c r="BF68" s="13">
        <f t="shared" si="37"/>
        <v>29.142418334948612</v>
      </c>
      <c r="BG68" s="20">
        <f t="shared" ref="BG68:BG131" si="61">(BE68+BF68)*0.475*44/12</f>
        <v>240.94637860003544</v>
      </c>
      <c r="BH68" s="59">
        <f t="shared" ref="BH68:BH131" si="62">BG68+(AY68+AZ68)*44/12</f>
        <v>534.27971193336873</v>
      </c>
      <c r="BI68" s="59">
        <f ca="1">AVERAGE(OFFSET($BH$3,0,0,'Données projet'!$E$11+1,1))-AVERAGE(OFFSET($H$3,0,0,'Données projet'!$E$11+1,1))</f>
        <v>204.11804238362862</v>
      </c>
      <c r="BJ68" s="59">
        <f t="shared" si="38"/>
        <v>185.53854651509408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9.615384615384615</v>
      </c>
      <c r="BM68" s="16">
        <f>IF(ISNA(VLOOKUP(A68,'Données projet'!$A$87:$I$107,5,0)),0%,VLOOKUP(A68,'Données projet'!$A$87:$I$107,5,0)*VLOOKUP('Données projet'!$B$11,Paramètres!$A$1:$I$89,7,0))</f>
        <v>4.3000000000000003E-2</v>
      </c>
      <c r="BN68" s="16">
        <f>IF(ISNA(VLOOKUP(A68,'Données projet'!$A$87:$I$107,6,0)),0%,VLOOKUP(A68,'Données projet'!$A$87:$I$107,6,0)*VLOOKUP('Données projet'!$B$11,Paramètres!$A$1:$I$89,7,0))</f>
        <v>0.215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0.39929590108730167</v>
      </c>
      <c r="BQ68" s="21">
        <f>EXP(-LN(2)/25)*BQ67+(1-EXP(-LN(2)/25))/(LN(2)/25)*Calculateur!BL68*Calculateur!BN68*VLOOKUP('Données projet'!$B$11,Paramètres!$A$1:$I$89,3,0)*0.475*44/12</f>
        <v>13.984021646440032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14.383317547527334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6.8770000000000007</v>
      </c>
      <c r="BY68" s="12">
        <f>IF('Données projet'!$A$114&gt;35,BY67+BX68-CG67,IF(A68&lt;'Données projet'!$A$114,$BV$205^A68,IF(A68='Données projet'!$A$114,'Données projet'!$B$114,BY67+BX68-CG67)))</f>
        <v>146.2240000000001</v>
      </c>
      <c r="BZ68" s="13">
        <f>BY68*VLOOKUP('Données projet'!$B$12,Paramètres!$A$1:$I$89,3,0)*VLOOKUP('Données projet'!$B$12,Paramètres!$A$1:$I$89,5,0)</f>
        <v>145.99004160000013</v>
      </c>
      <c r="CA68" s="13">
        <f t="shared" si="39"/>
        <v>37.66587605386384</v>
      </c>
      <c r="CB68" s="20">
        <f t="shared" ref="CB68:CB131" si="64">(BZ68+CA68)*0.475*44/12</f>
        <v>319.8673899138131</v>
      </c>
      <c r="CC68" s="59">
        <f t="shared" ref="CC68:CC131" si="65">CB68+(BT68+BU68)*44/12</f>
        <v>613.20072324714647</v>
      </c>
      <c r="CD68" s="59">
        <f ca="1">AVERAGE(OFFSET($CC$3,0,0,'Données projet'!$E$12+1,1))-AVERAGE(OFFSET($H$3,0,0,'Données projet'!$E$12+1,1))</f>
        <v>535.99935263833549</v>
      </c>
      <c r="CE68" s="59">
        <f t="shared" si="40"/>
        <v>245.89966477332644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11.162539375269501</v>
      </c>
      <c r="CM68" s="21">
        <f>EXP(-LN(2)/2)*CM67+(1-EXP(-LN(2)/2))/(LN(2)/2)*CG68*CJ68*VLOOKUP('Données projet'!$B$12,Paramètres!$A$1:$I$89,3,0)*0.475*44/12</f>
        <v>4.4416712313388347</v>
      </c>
      <c r="CN68" s="22">
        <f t="shared" ref="CN68:CN131" si="66">SUM(CK68:CM68)</f>
        <v>15.604210606608337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9.7525000000000013</v>
      </c>
      <c r="CT68" s="12">
        <f>IF('Données projet'!$A$140&gt;35,CT67+CS68-DB67,IF(A68&lt;'Données projet'!$A$140,$CQ$205^A68,IF(A68='Données projet'!$A$140,'Données projet'!$B$140,CT67+CS68-DB67)))</f>
        <v>219.55499999999998</v>
      </c>
      <c r="CU68" s="17">
        <f>CT68*VLOOKUP('Données projet'!$B$13,Paramètres!$A$1:$I$89,3,0)*VLOOKUP('Données projet'!$B$13,Paramètres!$A$1:$I$89,5,0)</f>
        <v>208.92853799999997</v>
      </c>
      <c r="CV68" s="13">
        <f t="shared" si="41"/>
        <v>51.701374633508699</v>
      </c>
      <c r="CW68" s="20">
        <f t="shared" ref="CW68:CW131" si="67">(CU68+CV68)*0.475*44/12</f>
        <v>453.93043117002759</v>
      </c>
      <c r="CX68" s="59">
        <f t="shared" ref="CX68:CX131" si="68">CW68+(CO68+CP68)*44/12</f>
        <v>747.2637645033609</v>
      </c>
      <c r="CY68" s="59">
        <f ca="1">AVERAGE(OFFSET($CX$3,0,0,'Données projet'!$E$13+1,1))-AVERAGE(OFFSET($H$3,0,0,'Données projet'!$E$13+1,1))</f>
        <v>449.28947235329758</v>
      </c>
      <c r="CZ68" s="59">
        <f t="shared" si="42"/>
        <v>289.36994109443964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8.0797531252918411</v>
      </c>
      <c r="DG68" s="21">
        <f>EXP(-LN(2)/25)*DG67+(1-EXP(-LN(2)/25))/(LN(2)/25)*Calculateur!DB68*Calculateur!DD68*VLOOKUP('Données projet'!$B$13,Paramètres!$A$1:$I$89,3,0)*0.475*44/12</f>
        <v>13.986077041193017</v>
      </c>
      <c r="DH68" s="21">
        <f>EXP(-LN(2)/2)*DH67+(1-EXP(-LN(2)/2))/(LN(2)/2)*DB68*DE68*VLOOKUP('Données projet'!$B$13,Paramètres!$A$1:$I$89,3,0)*0.475*44/12</f>
        <v>1.2937483077280971</v>
      </c>
      <c r="DI68" s="22">
        <f t="shared" ref="DI68:DI131" si="69">SUM(DF68:DH68)</f>
        <v>23.359578474212956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8.6666666666666661</v>
      </c>
      <c r="DO68" s="12">
        <f>IF('Données projet'!$A$166&gt;35,DO67+DN68-DW67,IF(A68&lt;'Données projet'!$A$166,$DL$205^A68,IF(A68='Données projet'!$A$166,'Données projet'!$B$166,DO67+DN68-DW67)))</f>
        <v>293.33333333333331</v>
      </c>
      <c r="DP68" s="17">
        <f>DO68*VLOOKUP('Données projet'!$B$14,Paramètres!$A$1:$I$89,3,0)*VLOOKUP('Données projet'!$B$14,Paramètres!$A$1:$I$89,5,0)</f>
        <v>228.79999999999998</v>
      </c>
      <c r="DQ68" s="13">
        <f t="shared" si="43"/>
        <v>56.023134533701196</v>
      </c>
      <c r="DR68" s="20">
        <f t="shared" ref="DR68:DR131" si="70">(DP68+DQ68)*0.475*44/12</f>
        <v>496.06695931286293</v>
      </c>
      <c r="DS68" s="59">
        <f t="shared" ref="DS68:DS131" si="71">DR68+(DJ68+DK68)*44/12</f>
        <v>789.40029264619625</v>
      </c>
      <c r="DT68" s="59">
        <f ca="1">AVERAGE(OFFSET($DS$3,0,0,'Données projet'!$E$14+1,1))-AVERAGE(OFFSET($H$3,0,0,'Données projet'!$E$14+1,1))</f>
        <v>288.82868507674738</v>
      </c>
      <c r="DU68" s="59">
        <f t="shared" si="44"/>
        <v>283.48738729114024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13.633372524748635</v>
      </c>
      <c r="EB68" s="21">
        <f>EXP(-LN(2)/25)*EB67+(1-EXP(-LN(2)/25))/(LN(2)/25)*Calculateur!DW68*Calculateur!DY68*VLOOKUP('Données projet'!$B$14,Paramètres!$A$1:$I$89,3,0)*0.475*44/12</f>
        <v>13.464831145543826</v>
      </c>
      <c r="EC68" s="21">
        <f>EXP(-LN(2)/2)*EC67+(1-EXP(-LN(2)/2))/(LN(2)/2)*DW68*DZ68*VLOOKUP('Données projet'!$B$14,Paramètres!$A$1:$I$89,3,0)*0.475*44/12</f>
        <v>1.6321607804909983</v>
      </c>
      <c r="ED68" s="22">
        <f t="shared" ref="ED68:ED131" si="72">SUM(EA68:EC68)</f>
        <v>28.730364450783462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6.8933333333333326</v>
      </c>
      <c r="EJ68" s="12">
        <f>IF('Données projet'!$A$192&gt;35,EJ67+EI68-ER67,IF(A68&lt;'Données projet'!$A$192,$EG$205^A68,IF(A68='Données projet'!$A$192,'Données projet'!$B$192,EJ67+EI68-ER67)))</f>
        <v>163.21666666666661</v>
      </c>
      <c r="EK68" s="17">
        <f>EJ68*VLOOKUP('Données projet'!$B$15,Paramètres!$A$1:$I$89,3,0)*VLOOKUP('Données projet'!$B$15,Paramètres!$A$1:$I$89,5,0)</f>
        <v>157.86315999999997</v>
      </c>
      <c r="EL68" s="13">
        <f t="shared" si="45"/>
        <v>40.360168681268135</v>
      </c>
      <c r="EM68" s="20">
        <f t="shared" ref="EM68:EM131" si="73">(EK68+EL68)*0.475*44/12</f>
        <v>345.23896411987533</v>
      </c>
      <c r="EN68" s="59">
        <f t="shared" ref="EN68:EN131" si="74">EM68+(EE68+EF68)*44/12</f>
        <v>638.57229745320865</v>
      </c>
      <c r="EO68" s="59">
        <f ca="1">AVERAGE(OFFSET($EN$3,0,0,'Données projet'!$E$15+1,1))-AVERAGE(OFFSET($H$3,0,0,'Données projet'!$E$15+1,1))</f>
        <v>510.71380643466227</v>
      </c>
      <c r="EP68" s="59">
        <f t="shared" si="46"/>
        <v>252.40654099948841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7.2627530052293716</v>
      </c>
      <c r="EX68" s="21">
        <f>EXP(-LN(2)/2)*EX67+(1-EXP(-LN(2)/2))/(LN(2)/2)*ER68*EU68*VLOOKUP('Données projet'!$B$15,Paramètres!$A$1:$I$89,3,0)*0.475*44/12</f>
        <v>2.938897030434132</v>
      </c>
      <c r="EY68" s="22">
        <f t="shared" ref="EY68:EY131" si="75">SUM(EV68:EX68)</f>
        <v>10.201650035663503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6.8770000000000007</v>
      </c>
      <c r="N69" s="13">
        <f>IF('Données projet'!$A$36&gt;35,N68+M69-V68,IF(A69&lt;'Données projet'!$A$36,$K$205^A69,IF(A69='Données projet'!$A$36,'Données projet'!$B$36,N68+M69-V68)))</f>
        <v>153.10100000000011</v>
      </c>
      <c r="O69" s="13">
        <f>N69*VLOOKUP('Données projet'!$B$9,Paramètres!$A$1:$I$89,3,0)*VLOOKUP('Données projet'!$B$9,Paramètres!$A$1:$I$89,5,0)</f>
        <v>155.24441400000012</v>
      </c>
      <c r="P69" s="13">
        <f t="shared" ref="P69:P132" si="87">EXP(-1.0587+0.8836*LN(O69)+0.284)</f>
        <v>39.768003365205686</v>
      </c>
      <c r="Q69" s="20">
        <f t="shared" si="54"/>
        <v>339.64662691106673</v>
      </c>
      <c r="R69" s="59">
        <f t="shared" si="55"/>
        <v>632.97996024439999</v>
      </c>
      <c r="S69" s="59">
        <f ca="1">AVERAGE(OFFSET($R$3,0,0,'Données projet'!$E$9+1,1))-AVERAGE(OFFSET($H$3,0,0,'Données projet'!$E$9+1,1))</f>
        <v>543.67050511722618</v>
      </c>
      <c r="T69" s="59">
        <f t="shared" ref="T69:T132" si="88">$T$3</f>
        <v>249.0871389941106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35.28622223438105</v>
      </c>
      <c r="AB69" s="21">
        <f>EXP(-LN(2)/2)*AB68+(1-EXP(-LN(2)/2))/(LN(2)/2)*V69*Y69*VLOOKUP('Données projet'!$B$9,Paramètres!$A$1:$I$89,3,0)*0.475*44/12</f>
        <v>2.5518478760782259</v>
      </c>
      <c r="AC69" s="22">
        <f t="shared" si="57"/>
        <v>37.838070110459277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10.107499999999998</v>
      </c>
      <c r="AH69" s="12">
        <f t="array" ref="AH69">INDEX(AG:AG,MIN(IF(ISNUMBER(AG69:AG265),ROW(AG69:AG265),"")))</f>
        <v>10.107499999999998</v>
      </c>
      <c r="AI69" s="13">
        <f>IF('Données projet'!$A$62&gt;35,AI68+AH69-AQ68,IF(A69&lt;'Données projet'!$A$62,$AF$205^A69,IF(A69='Données projet'!$A$62,'Données projet'!$B$62,AI68+AH69-AQ68)))</f>
        <v>286.77000000000032</v>
      </c>
      <c r="AJ69" s="13">
        <f>AI69*VLOOKUP('Données projet'!$B$10,Paramètres!$A$1:$I$89,3,0)*VLOOKUP('Données projet'!$B$10,Paramètres!$A$1:$I$89,5,0)</f>
        <v>259.46949600000028</v>
      </c>
      <c r="AK69" s="13">
        <f t="shared" ref="AK69:AK132" si="89">EXP(-1.0587+0.8836*LN(AJ69)+0.284)</f>
        <v>62.609282502673501</v>
      </c>
      <c r="AL69" s="20">
        <f t="shared" si="58"/>
        <v>560.95387255882349</v>
      </c>
      <c r="AM69" s="59">
        <f t="shared" si="59"/>
        <v>854.28720589215686</v>
      </c>
      <c r="AN69" s="59">
        <f ca="1">AVERAGE(OFFSET($AM$3,0,0,'Données projet'!$E$10+1,1))-AVERAGE(OFFSET($H$3,0,0,'Données projet'!$E$10+1,1))</f>
        <v>635.71275911100679</v>
      </c>
      <c r="AO69" s="59">
        <f t="shared" ref="AO69:AO132" si="90">$AO$3</f>
        <v>281.7776857269169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53.679999999999978</v>
      </c>
      <c r="AR69" s="16">
        <f>IF(ISNA(VLOOKUP(A69,'Données projet'!$A$61:$I$81,5,0)),0%,VLOOKUP(A69,'Données projet'!$A$61:$I$81,5,0)*VLOOKUP('Données projet'!$B$10,Paramètres!$A$1:$I$89,7,0))</f>
        <v>0.15049999999999999</v>
      </c>
      <c r="AS69" s="16">
        <f>IF(ISNA(VLOOKUP(A69,'Données projet'!$A$61:$I$81,6,0)),0%,VLOOKUP(A69,'Données projet'!$A$61:$I$81,6,0)*VLOOKUP('Données projet'!$B$10,Paramètres!$A$1:$I$89,7,0))</f>
        <v>8.6000000000000007E-2</v>
      </c>
      <c r="AT69" s="16">
        <f>IF(ISNA(VLOOKUP(A69,'Données projet'!$A$61:$I$81,7,0)),0%,VLOOKUP(A69,'Données projet'!$A$61:$I$81,7,0))</f>
        <v>0.1</v>
      </c>
      <c r="AU69" s="21">
        <f>EXP(-LN(2)/35)*AU68+(1-EXP(-LN(2)/35))/(LN(2)/35)*AQ69*AR69*VLOOKUP('Données projet'!$B$10,Paramètres!$A$1:$I$89,3,0)*0.475*44/12</f>
        <v>8.0806948968281098</v>
      </c>
      <c r="AV69" s="21">
        <f>EXP(-LN(2)/25)*AV68+(1-EXP(-LN(2)/25))/(LN(2)/25)*Calculateur!AQ69*Calculateur!AS69*VLOOKUP('Données projet'!$B$10,Paramètres!$A$1:$I$89,3,0)*0.475*44/12</f>
        <v>33.817868407767122</v>
      </c>
      <c r="AW69" s="21">
        <f>EXP(-LN(2)/2)*AW68+(1-EXP(-LN(2)/2))/(LN(2)/2)*AQ69*AT69*VLOOKUP('Données projet'!$B$10,Paramètres!$A$1:$I$89,3,0)*0.475*44/12</f>
        <v>5.1195523422004099</v>
      </c>
      <c r="AX69" s="21">
        <f t="shared" si="60"/>
        <v>47.018115646795636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2.6923076923076907</v>
      </c>
      <c r="BD69" s="12">
        <f>IF('Données projet'!$A$88&gt;35,BD68+BC69-BL68,IF(A69&lt;'Données projet'!$A$88,$BA$205^A69,IF(A69='Données projet'!$A$88,'Données projet'!$B$88,BD68+BC69-BL68)))</f>
        <v>118.07692307692302</v>
      </c>
      <c r="BE69" s="13">
        <f>BD69*VLOOKUP('Données projet'!$B$11,Paramètres!$A$1:$I$89,3,0)*VLOOKUP('Données projet'!$B$11,Paramètres!$A$1:$I$89,5,0)</f>
        <v>103.15199999999996</v>
      </c>
      <c r="BF69" s="13">
        <f t="shared" ref="BF69:BF132" si="91">EXP(-1.0587+0.8836*LN(BE69)+0.284)</f>
        <v>27.711556440369876</v>
      </c>
      <c r="BG69" s="20">
        <f t="shared" si="61"/>
        <v>227.92069413364416</v>
      </c>
      <c r="BH69" s="59">
        <f t="shared" si="62"/>
        <v>521.2540274669775</v>
      </c>
      <c r="BI69" s="59">
        <f ca="1">AVERAGE(OFFSET($BH$3,0,0,'Données projet'!$E$11+1,1))-AVERAGE(OFFSET($H$3,0,0,'Données projet'!$E$11+1,1))</f>
        <v>204.11804238362862</v>
      </c>
      <c r="BJ69" s="59">
        <f t="shared" ref="BJ69:BJ132" si="92">$BJ$3</f>
        <v>185.53854651509408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0.39146595201343115</v>
      </c>
      <c r="BQ69" s="21">
        <f>EXP(-LN(2)/25)*BQ68+(1-EXP(-LN(2)/25))/(LN(2)/25)*Calculateur!BL69*Calculateur!BN69*VLOOKUP('Données projet'!$B$11,Paramètres!$A$1:$I$89,3,0)*0.475*44/12</f>
        <v>13.601627839130392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13.993093791143824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6.8770000000000007</v>
      </c>
      <c r="BY69" s="12">
        <f>IF('Données projet'!$A$114&gt;35,BY68+BX69-CG68,IF(A69&lt;'Données projet'!$A$114,$BV$205^A69,IF(A69='Données projet'!$A$114,'Données projet'!$B$114,BY68+BX69-CG68)))</f>
        <v>153.10100000000011</v>
      </c>
      <c r="BZ69" s="13">
        <f>BY69*VLOOKUP('Données projet'!$B$12,Paramètres!$A$1:$I$89,3,0)*VLOOKUP('Données projet'!$B$12,Paramètres!$A$1:$I$89,5,0)</f>
        <v>152.8560384000001</v>
      </c>
      <c r="CA69" s="13">
        <f t="shared" ref="CA69:CA132" si="93">EXP(-1.0587+0.8836*LN(BZ69)+0.284)</f>
        <v>39.22691640658708</v>
      </c>
      <c r="CB69" s="20">
        <f t="shared" si="64"/>
        <v>334.54447962147259</v>
      </c>
      <c r="CC69" s="59">
        <f t="shared" si="65"/>
        <v>627.8778129548059</v>
      </c>
      <c r="CD69" s="59">
        <f ca="1">AVERAGE(OFFSET($CC$3,0,0,'Données projet'!$E$12+1,1))-AVERAGE(OFFSET($H$3,0,0,'Données projet'!$E$12+1,1))</f>
        <v>535.99935263833549</v>
      </c>
      <c r="CE69" s="59">
        <f t="shared" ref="CE69:CE132" si="94">$CE$3</f>
        <v>245.89966477332644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10.857299149040324</v>
      </c>
      <c r="CM69" s="21">
        <f>EXP(-LN(2)/2)*CM68+(1-EXP(-LN(2)/2))/(LN(2)/2)*CG69*CJ69*VLOOKUP('Données projet'!$B$12,Paramètres!$A$1:$I$89,3,0)*0.475*44/12</f>
        <v>3.1407358474808929</v>
      </c>
      <c r="CN69" s="22">
        <f t="shared" si="66"/>
        <v>13.998034996521216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9.7525000000000013</v>
      </c>
      <c r="CT69" s="12">
        <f>IF('Données projet'!$A$140&gt;35,CT68+CS69-DB68,IF(A69&lt;'Données projet'!$A$140,$CQ$205^A69,IF(A69='Données projet'!$A$140,'Données projet'!$B$140,CT68+CS69-DB68)))</f>
        <v>229.30749999999998</v>
      </c>
      <c r="CU69" s="17">
        <f>CT69*VLOOKUP('Données projet'!$B$13,Paramètres!$A$1:$I$89,3,0)*VLOOKUP('Données projet'!$B$13,Paramètres!$A$1:$I$89,5,0)</f>
        <v>218.20901699999999</v>
      </c>
      <c r="CV69" s="13">
        <f t="shared" ref="CV69:CV132" si="95">EXP(-1.0587+0.8836*LN(CU69)+0.284)</f>
        <v>53.725439422688339</v>
      </c>
      <c r="CW69" s="20">
        <f t="shared" si="67"/>
        <v>473.61917826951543</v>
      </c>
      <c r="CX69" s="59">
        <f t="shared" si="68"/>
        <v>766.95251160284874</v>
      </c>
      <c r="CY69" s="59">
        <f ca="1">AVERAGE(OFFSET($CX$3,0,0,'Données projet'!$E$13+1,1))-AVERAGE(OFFSET($H$3,0,0,'Données projet'!$E$13+1,1))</f>
        <v>449.28947235329758</v>
      </c>
      <c r="CZ69" s="59">
        <f t="shared" ref="CZ69:CZ132" si="96">$CZ$3</f>
        <v>289.36994109443964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7.9213140946676592</v>
      </c>
      <c r="DG69" s="21">
        <f>EXP(-LN(2)/25)*DG68+(1-EXP(-LN(2)/25))/(LN(2)/25)*Calculateur!DB69*Calculateur!DD69*VLOOKUP('Données projet'!$B$13,Paramètres!$A$1:$I$89,3,0)*0.475*44/12</f>
        <v>13.603627029005768</v>
      </c>
      <c r="DH69" s="21">
        <f>EXP(-LN(2)/2)*DH68+(1-EXP(-LN(2)/2))/(LN(2)/2)*DB69*DE69*VLOOKUP('Données projet'!$B$13,Paramètres!$A$1:$I$89,3,0)*0.475*44/12</f>
        <v>0.91481820154315774</v>
      </c>
      <c r="DI69" s="22">
        <f t="shared" si="69"/>
        <v>22.439759325216588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8.6666666666666661</v>
      </c>
      <c r="DO69" s="12">
        <f>IF('Données projet'!$A$166&gt;35,DO68+DN69-DW68,IF(A69&lt;'Données projet'!$A$166,$DL$205^A69,IF(A69='Données projet'!$A$166,'Données projet'!$B$166,DO68+DN69-DW68)))</f>
        <v>302</v>
      </c>
      <c r="DP69" s="17">
        <f>DO69*VLOOKUP('Données projet'!$B$14,Paramètres!$A$1:$I$89,3,0)*VLOOKUP('Données projet'!$B$14,Paramètres!$A$1:$I$89,5,0)</f>
        <v>235.56</v>
      </c>
      <c r="DQ69" s="13">
        <f t="shared" ref="DQ69:DQ132" si="97">EXP(-1.0587+0.8836*LN(DP69)+0.284)</f>
        <v>57.483207143847721</v>
      </c>
      <c r="DR69" s="20">
        <f t="shared" si="70"/>
        <v>510.38358577553481</v>
      </c>
      <c r="DS69" s="59">
        <f t="shared" si="71"/>
        <v>803.71691910886807</v>
      </c>
      <c r="DT69" s="59">
        <f ca="1">AVERAGE(OFFSET($DS$3,0,0,'Données projet'!$E$14+1,1))-AVERAGE(OFFSET($H$3,0,0,'Données projet'!$E$14+1,1))</f>
        <v>288.82868507674738</v>
      </c>
      <c r="DU69" s="59">
        <f t="shared" ref="DU69:DU132" si="98">$DU$3</f>
        <v>283.48738729114024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13.366030405074463</v>
      </c>
      <c r="EB69" s="21">
        <f>EXP(-LN(2)/25)*EB68+(1-EXP(-LN(2)/25))/(LN(2)/25)*Calculateur!DW69*Calculateur!DY69*VLOOKUP('Données projet'!$B$14,Paramètres!$A$1:$I$89,3,0)*0.475*44/12</f>
        <v>13.096634629784235</v>
      </c>
      <c r="EC69" s="21">
        <f>EXP(-LN(2)/2)*EC68+(1-EXP(-LN(2)/2))/(LN(2)/2)*DW69*DZ69*VLOOKUP('Données projet'!$B$14,Paramètres!$A$1:$I$89,3,0)*0.475*44/12</f>
        <v>1.1541119558719131</v>
      </c>
      <c r="ED69" s="22">
        <f t="shared" si="72"/>
        <v>27.61677699073061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6.8933333333333326</v>
      </c>
      <c r="EJ69" s="12">
        <f>IF('Données projet'!$A$192&gt;35,EJ68+EI69-ER68,IF(A69&lt;'Données projet'!$A$192,$EG$205^A69,IF(A69='Données projet'!$A$192,'Données projet'!$B$192,EJ68+EI69-ER68)))</f>
        <v>170.10999999999996</v>
      </c>
      <c r="EK69" s="17">
        <f>EJ69*VLOOKUP('Données projet'!$B$15,Paramètres!$A$1:$I$89,3,0)*VLOOKUP('Données projet'!$B$15,Paramètres!$A$1:$I$89,5,0)</f>
        <v>164.53039199999995</v>
      </c>
      <c r="EL69" s="13">
        <f t="shared" ref="EL69:EL132" si="99">EXP(-1.0587+0.8836*LN(EK69)+0.284)</f>
        <v>41.862691525218828</v>
      </c>
      <c r="EM69" s="20">
        <f t="shared" si="73"/>
        <v>359.46795380642266</v>
      </c>
      <c r="EN69" s="59">
        <f t="shared" si="74"/>
        <v>652.80128713975591</v>
      </c>
      <c r="EO69" s="59">
        <f ca="1">AVERAGE(OFFSET($EN$3,0,0,'Données projet'!$E$15+1,1))-AVERAGE(OFFSET($H$3,0,0,'Données projet'!$E$15+1,1))</f>
        <v>510.71380643466227</v>
      </c>
      <c r="EP69" s="59">
        <f t="shared" ref="EP69:EP132" si="100">$EP$3</f>
        <v>252.40654099948841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7.0641526423697929</v>
      </c>
      <c r="EX69" s="21">
        <f>EXP(-LN(2)/2)*EX68+(1-EXP(-LN(2)/2))/(LN(2)/2)*ER69*EU69*VLOOKUP('Données projet'!$B$15,Paramètres!$A$1:$I$89,3,0)*0.475*44/12</f>
        <v>2.0781140194289822</v>
      </c>
      <c r="EY69" s="22">
        <f t="shared" si="75"/>
        <v>9.1422666617987751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6.8770000000000007</v>
      </c>
      <c r="N70" s="13">
        <f>IF('Données projet'!$A$36&gt;35,N69+M70-V69,IF(A70&lt;'Données projet'!$A$36,$K$205^A70,IF(A70='Données projet'!$A$36,'Données projet'!$B$36,N69+M70-V69)))</f>
        <v>159.97800000000012</v>
      </c>
      <c r="O70" s="13">
        <f>N70*VLOOKUP('Données projet'!$B$9,Paramètres!$A$1:$I$89,3,0)*VLOOKUP('Données projet'!$B$9,Paramètres!$A$1:$I$89,5,0)</f>
        <v>162.21769200000014</v>
      </c>
      <c r="P70" s="13">
        <f t="shared" si="87"/>
        <v>41.342320584364614</v>
      </c>
      <c r="Q70" s="20">
        <f t="shared" si="54"/>
        <v>354.53368858443531</v>
      </c>
      <c r="R70" s="59">
        <f t="shared" si="55"/>
        <v>647.86702191776862</v>
      </c>
      <c r="S70" s="59">
        <f ca="1">AVERAGE(OFFSET($R$3,0,0,'Données projet'!$E$9+1,1))-AVERAGE(OFFSET($H$3,0,0,'Données projet'!$E$9+1,1))</f>
        <v>543.67050511722618</v>
      </c>
      <c r="T70" s="59">
        <f t="shared" si="88"/>
        <v>249.0871389941106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34.321318631760121</v>
      </c>
      <c r="AB70" s="21">
        <f>EXP(-LN(2)/2)*AB69+(1-EXP(-LN(2)/2))/(LN(2)/2)*V70*Y70*VLOOKUP('Données projet'!$B$9,Paramètres!$A$1:$I$89,3,0)*0.475*44/12</f>
        <v>1.8044289377314022</v>
      </c>
      <c r="AC70" s="22">
        <f t="shared" si="57"/>
        <v>36.125747569491523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9.733749999999997</v>
      </c>
      <c r="AI70" s="13">
        <f>IF('Données projet'!$A$62&gt;35,AI69+AH70-AQ69,IF(A70&lt;'Données projet'!$A$62,$AF$205^A70,IF(A70='Données projet'!$A$62,'Données projet'!$B$62,AI69+AH70-AQ69)))</f>
        <v>242.82375000000033</v>
      </c>
      <c r="AJ70" s="13">
        <f>AI70*VLOOKUP('Données projet'!$B$10,Paramètres!$A$1:$I$89,3,0)*VLOOKUP('Données projet'!$B$10,Paramètres!$A$1:$I$89,5,0)</f>
        <v>219.70692900000031</v>
      </c>
      <c r="AK70" s="13">
        <f t="shared" si="89"/>
        <v>54.051183245794981</v>
      </c>
      <c r="AL70" s="20">
        <f t="shared" si="58"/>
        <v>476.79537882809342</v>
      </c>
      <c r="AM70" s="59">
        <f t="shared" si="59"/>
        <v>770.12871216142673</v>
      </c>
      <c r="AN70" s="59">
        <f ca="1">AVERAGE(OFFSET($AM$3,0,0,'Données projet'!$E$10+1,1))-AVERAGE(OFFSET($H$3,0,0,'Données projet'!$E$10+1,1))</f>
        <v>635.71275911100679</v>
      </c>
      <c r="AO70" s="59">
        <f t="shared" si="90"/>
        <v>281.7776857269169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7.9222373986385248</v>
      </c>
      <c r="AV70" s="21">
        <f>EXP(-LN(2)/25)*AV69+(1-EXP(-LN(2)/25))/(LN(2)/25)*Calculateur!AQ70*Calculateur!AS70*VLOOKUP('Données projet'!$B$10,Paramètres!$A$1:$I$89,3,0)*0.475*44/12</f>
        <v>32.893117017752324</v>
      </c>
      <c r="AW70" s="21">
        <f>EXP(-LN(2)/2)*AW69+(1-EXP(-LN(2)/2))/(LN(2)/2)*AQ70*AT70*VLOOKUP('Données projet'!$B$10,Paramètres!$A$1:$I$89,3,0)*0.475*44/12</f>
        <v>3.6200701778093825</v>
      </c>
      <c r="AX70" s="21">
        <f t="shared" si="60"/>
        <v>44.435424594200228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2.6923076923076907</v>
      </c>
      <c r="BD70" s="12">
        <f>IF('Données projet'!$A$88&gt;35,BD69+BC70-BL69,IF(A70&lt;'Données projet'!$A$88,$BA$205^A70,IF(A70='Données projet'!$A$88,'Données projet'!$B$88,BD69+BC70-BL69)))</f>
        <v>120.76923076923072</v>
      </c>
      <c r="BE70" s="13">
        <f>BD70*VLOOKUP('Données projet'!$B$11,Paramètres!$A$1:$I$89,3,0)*VLOOKUP('Données projet'!$B$11,Paramètres!$A$1:$I$89,5,0)</f>
        <v>105.50399999999996</v>
      </c>
      <c r="BF70" s="13">
        <f t="shared" si="91"/>
        <v>28.269132889790829</v>
      </c>
      <c r="BG70" s="20">
        <f t="shared" si="61"/>
        <v>232.98820644971894</v>
      </c>
      <c r="BH70" s="59">
        <f t="shared" si="62"/>
        <v>526.32153978305223</v>
      </c>
      <c r="BI70" s="59">
        <f ca="1">AVERAGE(OFFSET($BH$3,0,0,'Données projet'!$E$11+1,1))-AVERAGE(OFFSET($H$3,0,0,'Données projet'!$E$11+1,1))</f>
        <v>204.11804238362862</v>
      </c>
      <c r="BJ70" s="59">
        <f t="shared" si="92"/>
        <v>185.53854651509408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0.38378954346510186</v>
      </c>
      <c r="BQ70" s="21">
        <f>EXP(-LN(2)/25)*BQ69+(1-EXP(-LN(2)/25))/(LN(2)/25)*Calculateur!BL70*Calculateur!BN70*VLOOKUP('Données projet'!$B$11,Paramètres!$A$1:$I$89,3,0)*0.475*44/12</f>
        <v>13.22969061059085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13.613480154055953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6.8770000000000007</v>
      </c>
      <c r="BY70" s="12">
        <f>IF('Données projet'!$A$114&gt;35,BY69+BX70-CG69,IF(A70&lt;'Données projet'!$A$114,$BV$205^A70,IF(A70='Données projet'!$A$114,'Données projet'!$B$114,BY69+BX70-CG69)))</f>
        <v>159.97800000000012</v>
      </c>
      <c r="BZ70" s="13">
        <f>BY70*VLOOKUP('Données projet'!$B$12,Paramètres!$A$1:$I$89,3,0)*VLOOKUP('Données projet'!$B$12,Paramètres!$A$1:$I$89,5,0)</f>
        <v>159.72203520000014</v>
      </c>
      <c r="CA70" s="13">
        <f t="shared" si="93"/>
        <v>40.779813326914486</v>
      </c>
      <c r="CB70" s="20">
        <f t="shared" si="64"/>
        <v>349.20738618437628</v>
      </c>
      <c r="CC70" s="59">
        <f t="shared" si="65"/>
        <v>642.54071951770959</v>
      </c>
      <c r="CD70" s="59">
        <f ca="1">AVERAGE(OFFSET($CC$3,0,0,'Données projet'!$E$12+1,1))-AVERAGE(OFFSET($H$3,0,0,'Données projet'!$E$12+1,1))</f>
        <v>535.99935263833549</v>
      </c>
      <c r="CE70" s="59">
        <f t="shared" si="94"/>
        <v>245.89966477332644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10.560405732849269</v>
      </c>
      <c r="CM70" s="21">
        <f>EXP(-LN(2)/2)*CM69+(1-EXP(-LN(2)/2))/(LN(2)/2)*CG70*CJ70*VLOOKUP('Données projet'!$B$12,Paramètres!$A$1:$I$89,3,0)*0.475*44/12</f>
        <v>2.2208356156694178</v>
      </c>
      <c r="CN70" s="22">
        <f t="shared" si="66"/>
        <v>12.781241348518687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>
        <f>VLOOKUP(A70,'Données projet'!$A$139:$I$159,2,0)</f>
        <v>239.06</v>
      </c>
      <c r="CR70" s="12">
        <f>VLOOKUP(A70,'Données projet'!$A$139:$I$159,9,0)</f>
        <v>9.7525000000000013</v>
      </c>
      <c r="CS70" s="12">
        <f t="array" ref="CS70">INDEX(CR:CR,MIN(IF(ISNUMBER(CR70:CR266),ROW(CR70:CR266),"")))</f>
        <v>9.7525000000000013</v>
      </c>
      <c r="CT70" s="12">
        <f>IF('Données projet'!$A$140&gt;35,CT69+CS70-DB69,IF(A70&lt;'Données projet'!$A$140,$CQ$205^A70,IF(A70='Données projet'!$A$140,'Données projet'!$B$140,CT69+CS70-DB69)))</f>
        <v>239.05999999999997</v>
      </c>
      <c r="CU70" s="17">
        <f>CT70*VLOOKUP('Données projet'!$B$13,Paramètres!$A$1:$I$89,3,0)*VLOOKUP('Données projet'!$B$13,Paramètres!$A$1:$I$89,5,0)</f>
        <v>227.48949599999997</v>
      </c>
      <c r="CV70" s="13">
        <f t="shared" si="95"/>
        <v>55.739505620294999</v>
      </c>
      <c r="CW70" s="20">
        <f t="shared" si="67"/>
        <v>493.29051115534702</v>
      </c>
      <c r="CX70" s="59">
        <f t="shared" si="68"/>
        <v>786.62384448868033</v>
      </c>
      <c r="CY70" s="59">
        <f ca="1">AVERAGE(OFFSET($CX$3,0,0,'Données projet'!$E$13+1,1))-AVERAGE(OFFSET($H$3,0,0,'Données projet'!$E$13+1,1))</f>
        <v>449.28947235329758</v>
      </c>
      <c r="CZ70" s="59">
        <f t="shared" si="96"/>
        <v>289.36994109443964</v>
      </c>
      <c r="DA70" s="15">
        <f>IF(ISNA(VLOOKUP(A70,'Données projet'!$A$139:$I$159,3,0)),0,VLOOKUP(A70,'Données projet'!$A$139:$I$159,3,0))</f>
        <v>5</v>
      </c>
      <c r="DB70" s="15">
        <f>IF(ISNA(VLOOKUP(A70,'Données projet'!$A$139:$I$159,4,0)),0,VLOOKUP(A70,'Données projet'!$A$139:$I$159,4,0))</f>
        <v>42.550000000000011</v>
      </c>
      <c r="DC70" s="16">
        <f>IF(ISNA(VLOOKUP(A70,'Données projet'!$A$139:$I$159,5,0)),0%,VLOOKUP(A70,'Données projet'!$A$139:$I$159,5,0)*VLOOKUP('Données projet'!$B$13,Paramètres!$A$1:$I$89,7,0))</f>
        <v>0.1075</v>
      </c>
      <c r="DD70" s="16">
        <f>IF(ISNA(VLOOKUP(A70,'Données projet'!$A$139:$I$159,6,0)),0%,VLOOKUP(A70,'Données projet'!$A$139:$I$159,6,0)*VLOOKUP('Données projet'!$B$13,Paramètres!$A$1:$I$89,7,0))</f>
        <v>0.1075</v>
      </c>
      <c r="DE70" s="16">
        <f>IF(ISNA(VLOOKUP(A70,'Données projet'!$A$139:$I$159,7,0)),0%,VLOOKUP(A70,'Données projet'!$A$139:$I$159,7,0))</f>
        <v>0.25</v>
      </c>
      <c r="DF70" s="21">
        <f>EXP(-LN(2)/35)*DF69+(1-EXP(-LN(2)/35))/(LN(2)/35)*DB70*DC70*VLOOKUP('Données projet'!$B$13,Paramètres!$A$1:$I$89,3,0)*0.475*44/12</f>
        <v>12.5778041671075</v>
      </c>
      <c r="DG70" s="21">
        <f>EXP(-LN(2)/25)*DG69+(1-EXP(-LN(2)/25))/(LN(2)/25)*Calculateur!DB70*Calculateur!DD70*VLOOKUP('Données projet'!$B$13,Paramètres!$A$1:$I$89,3,0)*0.475*44/12</f>
        <v>18.024511365335702</v>
      </c>
      <c r="DH70" s="21">
        <f>EXP(-LN(2)/2)*DH69+(1-EXP(-LN(2)/2))/(LN(2)/2)*DB70*DE70*VLOOKUP('Données projet'!$B$13,Paramètres!$A$1:$I$89,3,0)*0.475*44/12</f>
        <v>10.197862158359712</v>
      </c>
      <c r="DI70" s="22">
        <f t="shared" si="69"/>
        <v>40.800177690802911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8.6666666666666661</v>
      </c>
      <c r="DO70" s="12">
        <f>IF('Données projet'!$A$166&gt;35,DO69+DN70-DW69,IF(A70&lt;'Données projet'!$A$166,$DL$205^A70,IF(A70='Données projet'!$A$166,'Données projet'!$B$166,DO69+DN70-DW69)))</f>
        <v>310.66666666666669</v>
      </c>
      <c r="DP70" s="17">
        <f>DO70*VLOOKUP('Données projet'!$B$14,Paramètres!$A$1:$I$89,3,0)*VLOOKUP('Données projet'!$B$14,Paramètres!$A$1:$I$89,5,0)</f>
        <v>242.32000000000002</v>
      </c>
      <c r="DQ70" s="13">
        <f t="shared" si="97"/>
        <v>58.938409961900859</v>
      </c>
      <c r="DR70" s="20">
        <f t="shared" si="70"/>
        <v>524.69173068364398</v>
      </c>
      <c r="DS70" s="59">
        <f t="shared" si="71"/>
        <v>818.02506401697724</v>
      </c>
      <c r="DT70" s="59">
        <f ca="1">AVERAGE(OFFSET($DS$3,0,0,'Données projet'!$E$14+1,1))-AVERAGE(OFFSET($H$3,0,0,'Données projet'!$E$14+1,1))</f>
        <v>288.82868507674738</v>
      </c>
      <c r="DU70" s="59">
        <f t="shared" si="98"/>
        <v>283.48738729114024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13.10393070130451</v>
      </c>
      <c r="EB70" s="21">
        <f>EXP(-LN(2)/25)*EB69+(1-EXP(-LN(2)/25))/(LN(2)/25)*Calculateur!DW70*Calculateur!DY70*VLOOKUP('Données projet'!$B$14,Paramètres!$A$1:$I$89,3,0)*0.475*44/12</f>
        <v>12.738506467110703</v>
      </c>
      <c r="EC70" s="21">
        <f>EXP(-LN(2)/2)*EC69+(1-EXP(-LN(2)/2))/(LN(2)/2)*DW70*DZ70*VLOOKUP('Données projet'!$B$14,Paramètres!$A$1:$I$89,3,0)*0.475*44/12</f>
        <v>0.81608039024549928</v>
      </c>
      <c r="ED70" s="22">
        <f t="shared" si="72"/>
        <v>26.658517558660712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6.8933333333333326</v>
      </c>
      <c r="EJ70" s="12">
        <f>IF('Données projet'!$A$192&gt;35,EJ69+EI70-ER69,IF(A70&lt;'Données projet'!$A$192,$EG$205^A70,IF(A70='Données projet'!$A$192,'Données projet'!$B$192,EJ69+EI70-ER69)))</f>
        <v>177.0033333333333</v>
      </c>
      <c r="EK70" s="17">
        <f>EJ70*VLOOKUP('Données projet'!$B$15,Paramètres!$A$1:$I$89,3,0)*VLOOKUP('Données projet'!$B$15,Paramètres!$A$1:$I$89,5,0)</f>
        <v>171.19762399999996</v>
      </c>
      <c r="EL70" s="13">
        <f t="shared" si="99"/>
        <v>43.358141832658021</v>
      </c>
      <c r="EM70" s="20">
        <f t="shared" si="73"/>
        <v>373.68462549187933</v>
      </c>
      <c r="EN70" s="59">
        <f t="shared" si="74"/>
        <v>667.01795882521265</v>
      </c>
      <c r="EO70" s="59">
        <f ca="1">AVERAGE(OFFSET($EN$3,0,0,'Données projet'!$E$15+1,1))-AVERAGE(OFFSET($H$3,0,0,'Données projet'!$E$15+1,1))</f>
        <v>510.71380643466227</v>
      </c>
      <c r="EP70" s="59">
        <f t="shared" si="100"/>
        <v>252.40654099948841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6.8709830168765489</v>
      </c>
      <c r="EX70" s="21">
        <f>EXP(-LN(2)/2)*EX69+(1-EXP(-LN(2)/2))/(LN(2)/2)*ER70*EU70*VLOOKUP('Données projet'!$B$15,Paramètres!$A$1:$I$89,3,0)*0.475*44/12</f>
        <v>1.4694485152170662</v>
      </c>
      <c r="EY70" s="22">
        <f t="shared" si="75"/>
        <v>8.3404315320936142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6.8770000000000007</v>
      </c>
      <c r="N71" s="13">
        <f>IF('Données projet'!$A$36&gt;35,N70+M71-V70,IF(A71&lt;'Données projet'!$A$36,$K$205^A71,IF(A71='Données projet'!$A$36,'Données projet'!$B$36,N70+M71-V70)))</f>
        <v>166.85500000000013</v>
      </c>
      <c r="O71" s="13">
        <f>N71*VLOOKUP('Données projet'!$B$9,Paramètres!$A$1:$I$89,3,0)*VLOOKUP('Données projet'!$B$9,Paramètres!$A$1:$I$89,5,0)</f>
        <v>169.19097000000016</v>
      </c>
      <c r="P71" s="13">
        <f t="shared" si="87"/>
        <v>42.908777502623593</v>
      </c>
      <c r="Q71" s="20">
        <f t="shared" si="54"/>
        <v>369.40706023373633</v>
      </c>
      <c r="R71" s="59">
        <f t="shared" si="55"/>
        <v>662.74039356706965</v>
      </c>
      <c r="S71" s="59">
        <f ca="1">AVERAGE(OFFSET($R$3,0,0,'Données projet'!$E$9+1,1))-AVERAGE(OFFSET($H$3,0,0,'Données projet'!$E$9+1,1))</f>
        <v>543.67050511722618</v>
      </c>
      <c r="T71" s="59">
        <f t="shared" si="88"/>
        <v>249.0871389941106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33.382800368894934</v>
      </c>
      <c r="AB71" s="21">
        <f>EXP(-LN(2)/2)*AB70+(1-EXP(-LN(2)/2))/(LN(2)/2)*V71*Y71*VLOOKUP('Données projet'!$B$9,Paramètres!$A$1:$I$89,3,0)*0.475*44/12</f>
        <v>1.2759239380391132</v>
      </c>
      <c r="AC71" s="22">
        <f t="shared" si="57"/>
        <v>34.658724306934047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9.733749999999997</v>
      </c>
      <c r="AI71" s="13">
        <f>IF('Données projet'!$A$62&gt;35,AI70+AH71-AQ70,IF(A71&lt;'Données projet'!$A$62,$AF$205^A71,IF(A71='Données projet'!$A$62,'Données projet'!$B$62,AI70+AH71-AQ70)))</f>
        <v>252.55750000000032</v>
      </c>
      <c r="AJ71" s="13">
        <f>AI71*VLOOKUP('Données projet'!$B$10,Paramètres!$A$1:$I$89,3,0)*VLOOKUP('Données projet'!$B$10,Paramètres!$A$1:$I$89,5,0)</f>
        <v>228.51402600000029</v>
      </c>
      <c r="AK71" s="13">
        <f t="shared" si="89"/>
        <v>55.96125810397254</v>
      </c>
      <c r="AL71" s="20">
        <f t="shared" si="58"/>
        <v>495.46111981441936</v>
      </c>
      <c r="AM71" s="59">
        <f t="shared" si="59"/>
        <v>788.79445314775262</v>
      </c>
      <c r="AN71" s="59">
        <f ca="1">AVERAGE(OFFSET($AM$3,0,0,'Données projet'!$E$10+1,1))-AVERAGE(OFFSET($H$3,0,0,'Données projet'!$E$10+1,1))</f>
        <v>635.71275911100679</v>
      </c>
      <c r="AO71" s="59">
        <f t="shared" si="90"/>
        <v>281.7776857269169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7.7668871553389076</v>
      </c>
      <c r="AV71" s="21">
        <f>EXP(-LN(2)/25)*AV70+(1-EXP(-LN(2)/25))/(LN(2)/25)*Calculateur!AQ71*Calculateur!AS71*VLOOKUP('Données projet'!$B$10,Paramètres!$A$1:$I$89,3,0)*0.475*44/12</f>
        <v>31.993653003128042</v>
      </c>
      <c r="AW71" s="21">
        <f>EXP(-LN(2)/2)*AW70+(1-EXP(-LN(2)/2))/(LN(2)/2)*AQ71*AT71*VLOOKUP('Données projet'!$B$10,Paramètres!$A$1:$I$89,3,0)*0.475*44/12</f>
        <v>2.5597761711002054</v>
      </c>
      <c r="AX71" s="21">
        <f t="shared" si="60"/>
        <v>42.320316329567156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2.6923076923076907</v>
      </c>
      <c r="BD71" s="12">
        <f>IF('Données projet'!$A$88&gt;35,BD70+BC71-BL70,IF(A71&lt;'Données projet'!$A$88,$BA$205^A71,IF(A71='Données projet'!$A$88,'Données projet'!$B$88,BD70+BC71-BL70)))</f>
        <v>123.46153846153841</v>
      </c>
      <c r="BE71" s="13">
        <f>BD71*VLOOKUP('Données projet'!$B$11,Paramètres!$A$1:$I$89,3,0)*VLOOKUP('Données projet'!$B$11,Paramètres!$A$1:$I$89,5,0)</f>
        <v>107.85599999999997</v>
      </c>
      <c r="BF71" s="13">
        <f t="shared" si="91"/>
        <v>28.825264230687974</v>
      </c>
      <c r="BG71" s="20">
        <f t="shared" si="61"/>
        <v>238.05320186844813</v>
      </c>
      <c r="BH71" s="59">
        <f t="shared" si="62"/>
        <v>531.3865352017815</v>
      </c>
      <c r="BI71" s="59">
        <f ca="1">AVERAGE(OFFSET($BH$3,0,0,'Données projet'!$E$11+1,1))-AVERAGE(OFFSET($H$3,0,0,'Données projet'!$E$11+1,1))</f>
        <v>204.11804238362862</v>
      </c>
      <c r="BJ71" s="59">
        <f t="shared" si="92"/>
        <v>185.53854651509408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0.37626366460625843</v>
      </c>
      <c r="BQ71" s="21">
        <f>EXP(-LN(2)/25)*BQ70+(1-EXP(-LN(2)/25))/(LN(2)/25)*Calculateur!BL71*Calculateur!BN71*VLOOKUP('Données projet'!$B$11,Paramètres!$A$1:$I$89,3,0)*0.475*44/12</f>
        <v>12.867924025125051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13.244187689731309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6.8770000000000007</v>
      </c>
      <c r="BY71" s="12">
        <f>IF('Données projet'!$A$114&gt;35,BY70+BX71-CG70,IF(A71&lt;'Données projet'!$A$114,$BV$205^A71,IF(A71='Données projet'!$A$114,'Données projet'!$B$114,BY70+BX71-CG70)))</f>
        <v>166.85500000000013</v>
      </c>
      <c r="BZ71" s="13">
        <f>BY71*VLOOKUP('Données projet'!$B$12,Paramètres!$A$1:$I$89,3,0)*VLOOKUP('Données projet'!$B$12,Paramètres!$A$1:$I$89,5,0)</f>
        <v>166.58803200000014</v>
      </c>
      <c r="CA71" s="13">
        <f t="shared" si="93"/>
        <v>42.324956894288732</v>
      </c>
      <c r="CB71" s="20">
        <f t="shared" si="64"/>
        <v>363.8567889908864</v>
      </c>
      <c r="CC71" s="59">
        <f t="shared" si="65"/>
        <v>657.19012232421971</v>
      </c>
      <c r="CD71" s="59">
        <f ca="1">AVERAGE(OFFSET($CC$3,0,0,'Données projet'!$E$12+1,1))-AVERAGE(OFFSET($H$3,0,0,'Données projet'!$E$12+1,1))</f>
        <v>535.99935263833549</v>
      </c>
      <c r="CE71" s="59">
        <f t="shared" si="94"/>
        <v>245.89966477332644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10.271630882736904</v>
      </c>
      <c r="CM71" s="21">
        <f>EXP(-LN(2)/2)*CM70+(1-EXP(-LN(2)/2))/(LN(2)/2)*CG71*CJ71*VLOOKUP('Données projet'!$B$12,Paramètres!$A$1:$I$89,3,0)*0.475*44/12</f>
        <v>1.5703679237404466</v>
      </c>
      <c r="CN71" s="22">
        <f t="shared" si="66"/>
        <v>11.841998806477351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9.65625</v>
      </c>
      <c r="CT71" s="12">
        <f>IF('Données projet'!$A$140&gt;35,CT70+CS71-DB70,IF(A71&lt;'Données projet'!$A$140,$CQ$205^A71,IF(A71='Données projet'!$A$140,'Données projet'!$B$140,CT70+CS71-DB70)))</f>
        <v>206.16624999999996</v>
      </c>
      <c r="CU71" s="17">
        <f>CT71*VLOOKUP('Données projet'!$B$13,Paramètres!$A$1:$I$89,3,0)*VLOOKUP('Données projet'!$B$13,Paramètres!$A$1:$I$89,5,0)</f>
        <v>196.18780349999997</v>
      </c>
      <c r="CV71" s="13">
        <f t="shared" si="95"/>
        <v>48.905426239785484</v>
      </c>
      <c r="CW71" s="20">
        <f t="shared" si="67"/>
        <v>426.87070846345961</v>
      </c>
      <c r="CX71" s="59">
        <f t="shared" si="68"/>
        <v>720.20404179679292</v>
      </c>
      <c r="CY71" s="59">
        <f ca="1">AVERAGE(OFFSET($CX$3,0,0,'Données projet'!$E$13+1,1))-AVERAGE(OFFSET($H$3,0,0,'Données projet'!$E$13+1,1))</f>
        <v>449.28947235329758</v>
      </c>
      <c r="CZ71" s="59">
        <f t="shared" si="96"/>
        <v>289.36994109443964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12.331161099093546</v>
      </c>
      <c r="DG71" s="21">
        <f>EXP(-LN(2)/25)*DG70+(1-EXP(-LN(2)/25))/(LN(2)/25)*Calculateur!DB71*Calculateur!DD71*VLOOKUP('Données projet'!$B$13,Paramètres!$A$1:$I$89,3,0)*0.475*44/12</f>
        <v>17.531630154182739</v>
      </c>
      <c r="DH71" s="21">
        <f>EXP(-LN(2)/2)*DH70+(1-EXP(-LN(2)/2))/(LN(2)/2)*DB71*DE71*VLOOKUP('Données projet'!$B$13,Paramètres!$A$1:$I$89,3,0)*0.475*44/12</f>
        <v>7.2109774857818341</v>
      </c>
      <c r="DI71" s="22">
        <f t="shared" si="69"/>
        <v>37.073768739058117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8.6666666666666661</v>
      </c>
      <c r="DO71" s="12">
        <f>IF('Données projet'!$A$166&gt;35,DO70+DN71-DW70,IF(A71&lt;'Données projet'!$A$166,$DL$205^A71,IF(A71='Données projet'!$A$166,'Données projet'!$B$166,DO70+DN71-DW70)))</f>
        <v>319.33333333333337</v>
      </c>
      <c r="DP71" s="17">
        <f>DO71*VLOOKUP('Données projet'!$B$14,Paramètres!$A$1:$I$89,3,0)*VLOOKUP('Données projet'!$B$14,Paramètres!$A$1:$I$89,5,0)</f>
        <v>249.08000000000004</v>
      </c>
      <c r="DQ71" s="13">
        <f t="shared" si="97"/>
        <v>60.388894447487807</v>
      </c>
      <c r="DR71" s="20">
        <f t="shared" si="70"/>
        <v>538.99165782937473</v>
      </c>
      <c r="DS71" s="59">
        <f t="shared" si="71"/>
        <v>832.3249911627081</v>
      </c>
      <c r="DT71" s="59">
        <f ca="1">AVERAGE(OFFSET($DS$3,0,0,'Données projet'!$E$14+1,1))-AVERAGE(OFFSET($H$3,0,0,'Données projet'!$E$14+1,1))</f>
        <v>288.82868507674738</v>
      </c>
      <c r="DU71" s="59">
        <f t="shared" si="98"/>
        <v>283.48738729114024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12.846970612860451</v>
      </c>
      <c r="EB71" s="21">
        <f>EXP(-LN(2)/25)*EB70+(1-EXP(-LN(2)/25))/(LN(2)/25)*Calculateur!DW71*Calculateur!DY71*VLOOKUP('Données projet'!$B$14,Paramètres!$A$1:$I$89,3,0)*0.475*44/12</f>
        <v>12.39017133787862</v>
      </c>
      <c r="EC71" s="21">
        <f>EXP(-LN(2)/2)*EC70+(1-EXP(-LN(2)/2))/(LN(2)/2)*DW71*DZ71*VLOOKUP('Données projet'!$B$14,Paramètres!$A$1:$I$89,3,0)*0.475*44/12</f>
        <v>0.57705597793595664</v>
      </c>
      <c r="ED71" s="22">
        <f t="shared" si="72"/>
        <v>25.814197928675028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6.8933333333333326</v>
      </c>
      <c r="EJ71" s="12">
        <f>IF('Données projet'!$A$192&gt;35,EJ70+EI71-ER70,IF(A71&lt;'Données projet'!$A$192,$EG$205^A71,IF(A71='Données projet'!$A$192,'Données projet'!$B$192,EJ70+EI71-ER70)))</f>
        <v>183.89666666666665</v>
      </c>
      <c r="EK71" s="17">
        <f>EJ71*VLOOKUP('Données projet'!$B$15,Paramètres!$A$1:$I$89,3,0)*VLOOKUP('Données projet'!$B$15,Paramètres!$A$1:$I$89,5,0)</f>
        <v>177.86485599999997</v>
      </c>
      <c r="EL71" s="13">
        <f t="shared" si="99"/>
        <v>44.846826564109918</v>
      </c>
      <c r="EM71" s="20">
        <f t="shared" si="73"/>
        <v>387.88951379915807</v>
      </c>
      <c r="EN71" s="59">
        <f t="shared" si="74"/>
        <v>681.22284713249132</v>
      </c>
      <c r="EO71" s="59">
        <f ca="1">AVERAGE(OFFSET($EN$3,0,0,'Données projet'!$E$15+1,1))-AVERAGE(OFFSET($H$3,0,0,'Données projet'!$E$15+1,1))</f>
        <v>510.71380643466227</v>
      </c>
      <c r="EP71" s="59">
        <f t="shared" si="100"/>
        <v>252.40654099948841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6.6830956249507665</v>
      </c>
      <c r="EX71" s="21">
        <f>EXP(-LN(2)/2)*EX70+(1-EXP(-LN(2)/2))/(LN(2)/2)*ER71*EU71*VLOOKUP('Données projet'!$B$15,Paramètres!$A$1:$I$89,3,0)*0.475*44/12</f>
        <v>1.0390570097144913</v>
      </c>
      <c r="EY71" s="22">
        <f t="shared" si="75"/>
        <v>7.7221526346652576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6.8770000000000007</v>
      </c>
      <c r="N72" s="13">
        <f>IF('Données projet'!$A$36&gt;35,N71+M72-V71,IF(A72&lt;'Données projet'!$A$36,$K$205^A72,IF(A72='Données projet'!$A$36,'Données projet'!$B$36,N71+M72-V71)))</f>
        <v>173.73200000000014</v>
      </c>
      <c r="O72" s="13">
        <f>N72*VLOOKUP('Données projet'!$B$9,Paramètres!$A$1:$I$89,3,0)*VLOOKUP('Données projet'!$B$9,Paramètres!$A$1:$I$89,5,0)</f>
        <v>176.16424800000016</v>
      </c>
      <c r="P72" s="13">
        <f t="shared" si="87"/>
        <v>44.467735137477405</v>
      </c>
      <c r="Q72" s="20">
        <f t="shared" si="54"/>
        <v>384.26737063110676</v>
      </c>
      <c r="R72" s="59">
        <f t="shared" si="55"/>
        <v>677.60070396444007</v>
      </c>
      <c r="S72" s="59">
        <f ca="1">AVERAGE(OFFSET($R$3,0,0,'Données projet'!$E$9+1,1))-AVERAGE(OFFSET($H$3,0,0,'Données projet'!$E$9+1,1))</f>
        <v>543.67050511722618</v>
      </c>
      <c r="T72" s="59">
        <f t="shared" si="88"/>
        <v>249.0871389941106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32.469945937282326</v>
      </c>
      <c r="AB72" s="21">
        <f>EXP(-LN(2)/2)*AB71+(1-EXP(-LN(2)/2))/(LN(2)/2)*V72*Y72*VLOOKUP('Données projet'!$B$9,Paramètres!$A$1:$I$89,3,0)*0.475*44/12</f>
        <v>0.90221446886570134</v>
      </c>
      <c r="AC72" s="22">
        <f t="shared" si="57"/>
        <v>33.372160406148026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9.733749999999997</v>
      </c>
      <c r="AI72" s="13">
        <f>IF('Données projet'!$A$62&gt;35,AI71+AH72-AQ71,IF(A72&lt;'Données projet'!$A$62,$AF$205^A72,IF(A72='Données projet'!$A$62,'Données projet'!$B$62,AI71+AH72-AQ71)))</f>
        <v>262.29125000000033</v>
      </c>
      <c r="AJ72" s="13">
        <f>AI72*VLOOKUP('Données projet'!$B$10,Paramètres!$A$1:$I$89,3,0)*VLOOKUP('Données projet'!$B$10,Paramètres!$A$1:$I$89,5,0)</f>
        <v>237.32112300000028</v>
      </c>
      <c r="AK72" s="13">
        <f t="shared" si="89"/>
        <v>57.862781053141006</v>
      </c>
      <c r="AL72" s="20">
        <f t="shared" si="58"/>
        <v>514.11196622588784</v>
      </c>
      <c r="AM72" s="59">
        <f t="shared" si="59"/>
        <v>807.44529955922121</v>
      </c>
      <c r="AN72" s="59">
        <f ca="1">AVERAGE(OFFSET($AM$3,0,0,'Données projet'!$E$10+1,1))-AVERAGE(OFFSET($H$3,0,0,'Données projet'!$E$10+1,1))</f>
        <v>635.71275911100679</v>
      </c>
      <c r="AO72" s="59">
        <f t="shared" si="90"/>
        <v>281.7776857269169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7.6145832355561032</v>
      </c>
      <c r="AV72" s="21">
        <f>EXP(-LN(2)/25)*AV71+(1-EXP(-LN(2)/25))/(LN(2)/25)*Calculateur!AQ72*Calculateur!AS72*VLOOKUP('Données projet'!$B$10,Paramètres!$A$1:$I$89,3,0)*0.475*44/12</f>
        <v>31.118784879284416</v>
      </c>
      <c r="AW72" s="21">
        <f>EXP(-LN(2)/2)*AW71+(1-EXP(-LN(2)/2))/(LN(2)/2)*AQ72*AT72*VLOOKUP('Données projet'!$B$10,Paramètres!$A$1:$I$89,3,0)*0.475*44/12</f>
        <v>1.8100350889046914</v>
      </c>
      <c r="AX72" s="21">
        <f t="shared" si="60"/>
        <v>40.543403203745207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2.6923076923076907</v>
      </c>
      <c r="BD72" s="12">
        <f>IF('Données projet'!$A$88&gt;35,BD71+BC72-BL71,IF(A72&lt;'Données projet'!$A$88,$BA$205^A72,IF(A72='Données projet'!$A$88,'Données projet'!$B$88,BD71+BC72-BL71)))</f>
        <v>126.1538461538461</v>
      </c>
      <c r="BE72" s="13">
        <f>BD72*VLOOKUP('Données projet'!$B$11,Paramètres!$A$1:$I$89,3,0)*VLOOKUP('Données projet'!$B$11,Paramètres!$A$1:$I$89,5,0)</f>
        <v>110.20799999999997</v>
      </c>
      <c r="BF72" s="13">
        <f t="shared" si="91"/>
        <v>29.379985605489026</v>
      </c>
      <c r="BG72" s="20">
        <f t="shared" si="61"/>
        <v>243.11574159622663</v>
      </c>
      <c r="BH72" s="59">
        <f t="shared" si="62"/>
        <v>536.44907492955997</v>
      </c>
      <c r="BI72" s="59">
        <f ca="1">AVERAGE(OFFSET($BH$3,0,0,'Données projet'!$E$11+1,1))-AVERAGE(OFFSET($H$3,0,0,'Données projet'!$E$11+1,1))</f>
        <v>204.11804238362862</v>
      </c>
      <c r="BJ72" s="59">
        <f t="shared" si="92"/>
        <v>185.53854651509408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0.36888536364150404</v>
      </c>
      <c r="BQ72" s="21">
        <f>EXP(-LN(2)/25)*BQ71+(1-EXP(-LN(2)/25))/(LN(2)/25)*Calculateur!BL72*Calculateur!BN72*VLOOKUP('Données projet'!$B$11,Paramètres!$A$1:$I$89,3,0)*0.475*44/12</f>
        <v>12.516049965963292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12.884935329604795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6.8770000000000007</v>
      </c>
      <c r="BY72" s="12">
        <f>IF('Données projet'!$A$114&gt;35,BY71+BX72-CG71,IF(A72&lt;'Données projet'!$A$114,$BV$205^A72,IF(A72='Données projet'!$A$114,'Données projet'!$B$114,BY71+BX72-CG71)))</f>
        <v>173.73200000000014</v>
      </c>
      <c r="BZ72" s="13">
        <f>BY72*VLOOKUP('Données projet'!$B$12,Paramètres!$A$1:$I$89,3,0)*VLOOKUP('Données projet'!$B$12,Paramètres!$A$1:$I$89,5,0)</f>
        <v>173.45402880000015</v>
      </c>
      <c r="CA72" s="13">
        <f t="shared" si="93"/>
        <v>43.862703214168754</v>
      </c>
      <c r="CB72" s="20">
        <f t="shared" si="64"/>
        <v>378.49330825801081</v>
      </c>
      <c r="CC72" s="59">
        <f t="shared" si="65"/>
        <v>671.82664159134413</v>
      </c>
      <c r="CD72" s="59">
        <f ca="1">AVERAGE(OFFSET($CC$3,0,0,'Données projet'!$E$12+1,1))-AVERAGE(OFFSET($H$3,0,0,'Données projet'!$E$12+1,1))</f>
        <v>535.99935263833549</v>
      </c>
      <c r="CE72" s="59">
        <f t="shared" si="94"/>
        <v>245.89966477332644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9.9907525960868711</v>
      </c>
      <c r="CM72" s="21">
        <f>EXP(-LN(2)/2)*CM71+(1-EXP(-LN(2)/2))/(LN(2)/2)*CG72*CJ72*VLOOKUP('Données projet'!$B$12,Paramètres!$A$1:$I$89,3,0)*0.475*44/12</f>
        <v>1.1104178078347091</v>
      </c>
      <c r="CN72" s="22">
        <f t="shared" si="66"/>
        <v>11.10117040392158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9.65625</v>
      </c>
      <c r="CT72" s="12">
        <f>IF('Données projet'!$A$140&gt;35,CT71+CS72-DB71,IF(A72&lt;'Données projet'!$A$140,$CQ$205^A72,IF(A72='Données projet'!$A$140,'Données projet'!$B$140,CT71+CS72-DB71)))</f>
        <v>215.82249999999996</v>
      </c>
      <c r="CU72" s="17">
        <f>CT72*VLOOKUP('Données projet'!$B$13,Paramètres!$A$1:$I$89,3,0)*VLOOKUP('Données projet'!$B$13,Paramètres!$A$1:$I$89,5,0)</f>
        <v>205.37669099999997</v>
      </c>
      <c r="CV72" s="13">
        <f t="shared" si="95"/>
        <v>50.923971103388858</v>
      </c>
      <c r="CW72" s="20">
        <f t="shared" si="67"/>
        <v>446.3903198300689</v>
      </c>
      <c r="CX72" s="59">
        <f t="shared" si="68"/>
        <v>739.72365316340222</v>
      </c>
      <c r="CY72" s="59">
        <f ca="1">AVERAGE(OFFSET($CX$3,0,0,'Données projet'!$E$13+1,1))-AVERAGE(OFFSET($H$3,0,0,'Données projet'!$E$13+1,1))</f>
        <v>449.28947235329758</v>
      </c>
      <c r="CZ72" s="59">
        <f t="shared" si="96"/>
        <v>289.36994109443964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12.089354551205929</v>
      </c>
      <c r="DG72" s="21">
        <f>EXP(-LN(2)/25)*DG71+(1-EXP(-LN(2)/25))/(LN(2)/25)*Calculateur!DB72*Calculateur!DD72*VLOOKUP('Données projet'!$B$13,Paramètres!$A$1:$I$89,3,0)*0.475*44/12</f>
        <v>17.052226805668251</v>
      </c>
      <c r="DH72" s="21">
        <f>EXP(-LN(2)/2)*DH71+(1-EXP(-LN(2)/2))/(LN(2)/2)*DB72*DE72*VLOOKUP('Données projet'!$B$13,Paramètres!$A$1:$I$89,3,0)*0.475*44/12</f>
        <v>5.0989310791798559</v>
      </c>
      <c r="DI72" s="22">
        <f t="shared" si="69"/>
        <v>34.240512436054033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>
        <f>VLOOKUP(A72,'Données projet'!$A$165:$I$185,2,0)</f>
        <v>328</v>
      </c>
      <c r="DM72" s="12">
        <f>VLOOKUP(A72,'Données projet'!$A$165:$I$185,9,0)</f>
        <v>8.6666666666666661</v>
      </c>
      <c r="DN72" s="12">
        <f t="array" ref="DN72">INDEX(DM:DM,MIN(IF(ISNUMBER(DM72:DM268),ROW(DM72:DM268),"")))</f>
        <v>8.6666666666666661</v>
      </c>
      <c r="DO72" s="12">
        <f>IF('Données projet'!$A$166&gt;35,DO71+DN72-DW71,IF(A72&lt;'Données projet'!$A$166,$DL$205^A72,IF(A72='Données projet'!$A$166,'Données projet'!$B$166,DO71+DN72-DW71)))</f>
        <v>328.00000000000006</v>
      </c>
      <c r="DP72" s="17">
        <f>DO72*VLOOKUP('Données projet'!$B$14,Paramètres!$A$1:$I$89,3,0)*VLOOKUP('Données projet'!$B$14,Paramètres!$A$1:$I$89,5,0)</f>
        <v>255.84000000000006</v>
      </c>
      <c r="DQ72" s="13">
        <f t="shared" si="97"/>
        <v>61.834803371075836</v>
      </c>
      <c r="DR72" s="20">
        <f t="shared" si="70"/>
        <v>553.28361587129041</v>
      </c>
      <c r="DS72" s="59">
        <f t="shared" si="71"/>
        <v>846.61694920462378</v>
      </c>
      <c r="DT72" s="59">
        <f ca="1">AVERAGE(OFFSET($DS$3,0,0,'Données projet'!$E$14+1,1))-AVERAGE(OFFSET($H$3,0,0,'Données projet'!$E$14+1,1))</f>
        <v>288.82868507674738</v>
      </c>
      <c r="DU72" s="59">
        <f t="shared" si="98"/>
        <v>283.48738729114024</v>
      </c>
      <c r="DV72" s="15">
        <f>IF(ISNA(VLOOKUP(A72,'Données projet'!$A$165:$I$185,3,0)),0,VLOOKUP(A72,'Données projet'!$A$165:$I$185,3,0))</f>
        <v>9</v>
      </c>
      <c r="DW72" s="15">
        <f>IF(ISNA(VLOOKUP(A72,'Données projet'!$A$165:$I$185,4,0)),0,VLOOKUP(A72,'Données projet'!$A$165:$I$185,4,0))</f>
        <v>328</v>
      </c>
      <c r="DX72" s="16">
        <f>IF(ISNA(VLOOKUP(A72,'Données projet'!$A$165:$I$185,5,0)),0%,VLOOKUP(A72,'Données projet'!$A$165:$I$185,5,0)*VLOOKUP('Données projet'!$B$14,Paramètres!$A$1:$I$89,7,0))</f>
        <v>0.1075</v>
      </c>
      <c r="DY72" s="16">
        <f>IF(ISNA(VLOOKUP(A72,'Données projet'!$A$165:$I$185,6,0)),0%,VLOOKUP(A72,'Données projet'!$A$165:$I$185,6,0)*VLOOKUP('Données projet'!$B$14,Paramètres!$A$1:$I$89,7,0))</f>
        <v>0.1075</v>
      </c>
      <c r="DZ72" s="16">
        <f>IF(ISNA(VLOOKUP(A72,'Données projet'!$A$165:$I$185,7,0)),0%,VLOOKUP(A72,'Données projet'!$A$165:$I$185,7,0))</f>
        <v>0.25</v>
      </c>
      <c r="EA72" s="21">
        <f>EXP(-LN(2)/35)*EA71+(1-EXP(-LN(2)/35))/(LN(2)/35)*DW72*DX72*VLOOKUP('Données projet'!$B$14,Paramètres!$A$1:$I$89,3,0)*0.475*44/12</f>
        <v>42.998580109239427</v>
      </c>
      <c r="EB72" s="21">
        <f>EXP(-LN(2)/25)*EB71+(1-EXP(-LN(2)/25))/(LN(2)/25)*Calculateur!DW72*Calculateur!DY72*VLOOKUP('Données projet'!$B$14,Paramètres!$A$1:$I$89,3,0)*0.475*44/12</f>
        <v>42.335181920059554</v>
      </c>
      <c r="EC72" s="21">
        <f>EXP(-LN(2)/2)*EC71+(1-EXP(-LN(2)/2))/(LN(2)/2)*DW72*DZ72*VLOOKUP('Données projet'!$B$14,Paramètres!$A$1:$I$89,3,0)*0.475*44/12</f>
        <v>60.756021653283376</v>
      </c>
      <c r="ED72" s="22">
        <f t="shared" si="72"/>
        <v>146.08978368258235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>
        <f>VLOOKUP(A72,'Données projet'!$A$191:$I$211,2,0)</f>
        <v>190.79</v>
      </c>
      <c r="EH72" s="12">
        <f>VLOOKUP(A72,'Données projet'!$A$191:$I$211,9,0)</f>
        <v>6.8933333333333326</v>
      </c>
      <c r="EI72" s="12">
        <f t="array" ref="EI72">INDEX(EH:EH,MIN(IF(ISNUMBER(EH72:EH268),ROW(EH72:EH268),"")))</f>
        <v>6.8933333333333326</v>
      </c>
      <c r="EJ72" s="12">
        <f>IF('Données projet'!$A$192&gt;35,EJ71+EI72-ER71,IF(A72&lt;'Données projet'!$A$192,$EG$205^A72,IF(A72='Données projet'!$A$192,'Données projet'!$B$192,EJ71+EI72-ER71)))</f>
        <v>190.79</v>
      </c>
      <c r="EK72" s="17">
        <f>EJ72*VLOOKUP('Données projet'!$B$15,Paramètres!$A$1:$I$89,3,0)*VLOOKUP('Données projet'!$B$15,Paramètres!$A$1:$I$89,5,0)</f>
        <v>184.53208800000002</v>
      </c>
      <c r="EL72" s="13">
        <f t="shared" si="99"/>
        <v>46.329028363696381</v>
      </c>
      <c r="EM72" s="20">
        <f t="shared" si="73"/>
        <v>402.08311100010451</v>
      </c>
      <c r="EN72" s="59">
        <f t="shared" si="74"/>
        <v>695.41644433343777</v>
      </c>
      <c r="EO72" s="59">
        <f ca="1">AVERAGE(OFFSET($EN$3,0,0,'Données projet'!$E$15+1,1))-AVERAGE(OFFSET($H$3,0,0,'Données projet'!$E$15+1,1))</f>
        <v>510.71380643466227</v>
      </c>
      <c r="EP72" s="59">
        <f t="shared" si="100"/>
        <v>252.40654099948841</v>
      </c>
      <c r="EQ72" s="15">
        <f>IF(ISNA(VLOOKUP(A72,'Données projet'!$A$191:$I$211,3,0)),0,VLOOKUP(A72,'Données projet'!$A$191:$I$211,3,0))</f>
        <v>2</v>
      </c>
      <c r="ER72" s="15">
        <f>IF(ISNA(VLOOKUP(A72,'Données projet'!$A$191:$I$211,4,0)),0,VLOOKUP(A72,'Données projet'!$A$191:$I$211,4,0))</f>
        <v>42.22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0.1075</v>
      </c>
      <c r="EU72" s="16">
        <f>IF(ISNA(VLOOKUP(A72,'Données projet'!$A$191:$I$211,7,0)),0%,VLOOKUP(A72,'Données projet'!$A$191:$I$211,7,0))</f>
        <v>0.25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11.334013085371701</v>
      </c>
      <c r="EX72" s="21">
        <f>EXP(-LN(2)/2)*EX71+(1-EXP(-LN(2)/2))/(LN(2)/2)*ER72*EU72*VLOOKUP('Données projet'!$B$15,Paramètres!$A$1:$I$89,3,0)*0.475*44/12</f>
        <v>10.366998049324362</v>
      </c>
      <c r="EY72" s="22">
        <f t="shared" si="75"/>
        <v>21.701011134696063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6.8770000000000007</v>
      </c>
      <c r="N73" s="13">
        <f>IF('Données projet'!$A$36&gt;35,N72+M73-V72,IF(A73&lt;'Données projet'!$A$36,$K$205^A73,IF(A73='Données projet'!$A$36,'Données projet'!$B$36,N72+M73-V72)))</f>
        <v>180.60900000000015</v>
      </c>
      <c r="O73" s="13">
        <f>N73*VLOOKUP('Données projet'!$B$9,Paramètres!$A$1:$I$89,3,0)*VLOOKUP('Données projet'!$B$9,Paramètres!$A$1:$I$89,5,0)</f>
        <v>183.13752600000015</v>
      </c>
      <c r="P73" s="13">
        <f t="shared" si="87"/>
        <v>46.019524307434047</v>
      </c>
      <c r="Q73" s="20">
        <f t="shared" si="54"/>
        <v>399.11519595211456</v>
      </c>
      <c r="R73" s="59">
        <f t="shared" si="55"/>
        <v>692.44852928544788</v>
      </c>
      <c r="S73" s="59">
        <f ca="1">AVERAGE(OFFSET($R$3,0,0,'Données projet'!$E$9+1,1))-AVERAGE(OFFSET($H$3,0,0,'Données projet'!$E$9+1,1))</f>
        <v>543.67050511722618</v>
      </c>
      <c r="T73" s="59">
        <f t="shared" si="88"/>
        <v>249.0871389941106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31.582053558107095</v>
      </c>
      <c r="AB73" s="21">
        <f>EXP(-LN(2)/2)*AB72+(1-EXP(-LN(2)/2))/(LN(2)/2)*V73*Y73*VLOOKUP('Données projet'!$B$9,Paramètres!$A$1:$I$89,3,0)*0.475*44/12</f>
        <v>0.63796196901955671</v>
      </c>
      <c r="AC73" s="22">
        <f t="shared" si="57"/>
        <v>32.220015527126648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9.733749999999997</v>
      </c>
      <c r="AI73" s="13">
        <f>IF('Données projet'!$A$62&gt;35,AI72+AH73-AQ72,IF(A73&lt;'Données projet'!$A$62,$AF$205^A73,IF(A73='Données projet'!$A$62,'Données projet'!$B$62,AI72+AH73-AQ72)))</f>
        <v>272.02500000000032</v>
      </c>
      <c r="AJ73" s="13">
        <f>AI73*VLOOKUP('Données projet'!$B$10,Paramètres!$A$1:$I$89,3,0)*VLOOKUP('Données projet'!$B$10,Paramètres!$A$1:$I$89,5,0)</f>
        <v>246.12822000000025</v>
      </c>
      <c r="AK73" s="13">
        <f t="shared" si="89"/>
        <v>59.756105801003123</v>
      </c>
      <c r="AL73" s="20">
        <f t="shared" si="58"/>
        <v>532.74853410341427</v>
      </c>
      <c r="AM73" s="59">
        <f t="shared" si="59"/>
        <v>826.08186743674764</v>
      </c>
      <c r="AN73" s="59">
        <f ca="1">AVERAGE(OFFSET($AM$3,0,0,'Données projet'!$E$10+1,1))-AVERAGE(OFFSET($H$3,0,0,'Données projet'!$E$10+1,1))</f>
        <v>635.71275911100679</v>
      </c>
      <c r="AO73" s="59">
        <f t="shared" si="90"/>
        <v>281.7776857269169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7.4652659027440214</v>
      </c>
      <c r="AV73" s="21">
        <f>EXP(-LN(2)/25)*AV72+(1-EXP(-LN(2)/25))/(LN(2)/25)*Calculateur!AQ73*Calculateur!AS73*VLOOKUP('Données projet'!$B$10,Paramètres!$A$1:$I$89,3,0)*0.475*44/12</f>
        <v>30.267840070294611</v>
      </c>
      <c r="AW73" s="21">
        <f>EXP(-LN(2)/2)*AW72+(1-EXP(-LN(2)/2))/(LN(2)/2)*AQ73*AT73*VLOOKUP('Données projet'!$B$10,Paramètres!$A$1:$I$89,3,0)*0.475*44/12</f>
        <v>1.2798880855501029</v>
      </c>
      <c r="AX73" s="21">
        <f t="shared" si="60"/>
        <v>39.012994058588738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128.84615384615384</v>
      </c>
      <c r="BB73" s="12">
        <f>VLOOKUP(A73,'Données projet'!$A$87:$I$107,9,0)</f>
        <v>2.6923076923076907</v>
      </c>
      <c r="BC73" s="12">
        <f t="array" ref="BC73">INDEX(BB:BB,MIN(IF(ISNUMBER(BB73:BB269),ROW(BB73:BB269),"")))</f>
        <v>2.6923076923076907</v>
      </c>
      <c r="BD73" s="12">
        <f>IF('Données projet'!$A$88&gt;35,BD72+BC73-BL72,IF(A73&lt;'Données projet'!$A$88,$BA$205^A73,IF(A73='Données projet'!$A$88,'Données projet'!$B$88,BD72+BC73-BL72)))</f>
        <v>128.84615384615378</v>
      </c>
      <c r="BE73" s="13">
        <f>BD73*VLOOKUP('Données projet'!$B$11,Paramètres!$A$1:$I$89,3,0)*VLOOKUP('Données projet'!$B$11,Paramètres!$A$1:$I$89,5,0)</f>
        <v>112.55999999999997</v>
      </c>
      <c r="BF73" s="13">
        <f t="shared" si="91"/>
        <v>29.933330570949426</v>
      </c>
      <c r="BG73" s="20">
        <f t="shared" si="61"/>
        <v>248.1758840777369</v>
      </c>
      <c r="BH73" s="59">
        <f t="shared" si="62"/>
        <v>541.50921741107027</v>
      </c>
      <c r="BI73" s="59">
        <f ca="1">AVERAGE(OFFSET($BH$3,0,0,'Données projet'!$E$11+1,1))-AVERAGE(OFFSET($H$3,0,0,'Données projet'!$E$11+1,1))</f>
        <v>204.11804238362862</v>
      </c>
      <c r="BJ73" s="59">
        <f t="shared" si="92"/>
        <v>185.53854651509408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8.9743589743589745</v>
      </c>
      <c r="BM73" s="16">
        <f>IF(ISNA(VLOOKUP(A73,'Données projet'!$A$87:$I$107,5,0)),0%,VLOOKUP(A73,'Données projet'!$A$87:$I$107,5,0)*VLOOKUP('Données projet'!$B$11,Paramètres!$A$1:$I$89,7,0))</f>
        <v>4.3000000000000003E-2</v>
      </c>
      <c r="BN73" s="16">
        <f>IF(ISNA(VLOOKUP(A73,'Données projet'!$A$87:$I$107,6,0)),0%,VLOOKUP(A73,'Données projet'!$A$87:$I$107,6,0)*VLOOKUP('Données projet'!$B$11,Paramètres!$A$1:$I$89,7,0))</f>
        <v>0.215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0.73432792100649746</v>
      </c>
      <c r="BQ73" s="21">
        <f>EXP(-LN(2)/25)*BQ72+(1-EXP(-LN(2)/25))/(LN(2)/25)*Calculateur!BL73*Calculateur!BN73*VLOOKUP('Données projet'!$B$11,Paramètres!$A$1:$I$89,3,0)*0.475*44/12</f>
        <v>14.029841952698487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14.764169873704985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6.8770000000000007</v>
      </c>
      <c r="BY73" s="12">
        <f>IF('Données projet'!$A$114&gt;35,BY72+BX73-CG72,IF(A73&lt;'Données projet'!$A$114,$BV$205^A73,IF(A73='Données projet'!$A$114,'Données projet'!$B$114,BY72+BX73-CG72)))</f>
        <v>180.60900000000015</v>
      </c>
      <c r="BZ73" s="13">
        <f>BY73*VLOOKUP('Données projet'!$B$12,Paramètres!$A$1:$I$89,3,0)*VLOOKUP('Données projet'!$B$12,Paramètres!$A$1:$I$89,5,0)</f>
        <v>180.32002560000015</v>
      </c>
      <c r="CA73" s="13">
        <f t="shared" si="93"/>
        <v>45.393378603916759</v>
      </c>
      <c r="CB73" s="20">
        <f t="shared" si="64"/>
        <v>393.11751232182195</v>
      </c>
      <c r="CC73" s="59">
        <f t="shared" si="65"/>
        <v>686.45084565515526</v>
      </c>
      <c r="CD73" s="59">
        <f ca="1">AVERAGE(OFFSET($CC$3,0,0,'Données projet'!$E$12+1,1))-AVERAGE(OFFSET($H$3,0,0,'Données projet'!$E$12+1,1))</f>
        <v>535.99935263833549</v>
      </c>
      <c r="CE73" s="59">
        <f t="shared" si="94"/>
        <v>245.89966477332644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9.7175549409560311</v>
      </c>
      <c r="CM73" s="21">
        <f>EXP(-LN(2)/2)*CM72+(1-EXP(-LN(2)/2))/(LN(2)/2)*CG73*CJ73*VLOOKUP('Données projet'!$B$12,Paramètres!$A$1:$I$89,3,0)*0.475*44/12</f>
        <v>0.78518396187022343</v>
      </c>
      <c r="CN73" s="22">
        <f t="shared" si="66"/>
        <v>10.502738902826255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9.65625</v>
      </c>
      <c r="CT73" s="12">
        <f>IF('Données projet'!$A$140&gt;35,CT72+CS73-DB72,IF(A73&lt;'Données projet'!$A$140,$CQ$205^A73,IF(A73='Données projet'!$A$140,'Données projet'!$B$140,CT72+CS73-DB72)))</f>
        <v>225.47874999999996</v>
      </c>
      <c r="CU73" s="17">
        <f>CT73*VLOOKUP('Données projet'!$B$13,Paramètres!$A$1:$I$89,3,0)*VLOOKUP('Données projet'!$B$13,Paramètres!$A$1:$I$89,5,0)</f>
        <v>214.56557849999996</v>
      </c>
      <c r="CV73" s="13">
        <f t="shared" si="95"/>
        <v>52.932027166993123</v>
      </c>
      <c r="CW73" s="20">
        <f t="shared" si="67"/>
        <v>465.8916632033463</v>
      </c>
      <c r="CX73" s="59">
        <f t="shared" si="68"/>
        <v>759.22499653667955</v>
      </c>
      <c r="CY73" s="59">
        <f ca="1">AVERAGE(OFFSET($CX$3,0,0,'Données projet'!$E$13+1,1))-AVERAGE(OFFSET($H$3,0,0,'Données projet'!$E$13+1,1))</f>
        <v>449.28947235329758</v>
      </c>
      <c r="CZ73" s="59">
        <f t="shared" si="96"/>
        <v>289.36994109443964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11.852289682234957</v>
      </c>
      <c r="DG73" s="21">
        <f>EXP(-LN(2)/25)*DG72+(1-EXP(-LN(2)/25))/(LN(2)/25)*Calculateur!DB73*Calculateur!DD73*VLOOKUP('Données projet'!$B$13,Paramètres!$A$1:$I$89,3,0)*0.475*44/12</f>
        <v>16.58593276692962</v>
      </c>
      <c r="DH73" s="21">
        <f>EXP(-LN(2)/2)*DH72+(1-EXP(-LN(2)/2))/(LN(2)/2)*DB73*DE73*VLOOKUP('Données projet'!$B$13,Paramètres!$A$1:$I$89,3,0)*0.475*44/12</f>
        <v>3.605488742890917</v>
      </c>
      <c r="DI73" s="22">
        <f t="shared" si="69"/>
        <v>32.043711192055497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5.6843418860808015E-14</v>
      </c>
      <c r="DP73" s="17">
        <f>DO73*VLOOKUP('Données projet'!$B$14,Paramètres!$A$1:$I$89,3,0)*VLOOKUP('Données projet'!$B$14,Paramètres!$A$1:$I$89,5,0)</f>
        <v>4.4337866711430253E-14</v>
      </c>
      <c r="DQ73" s="13">
        <f t="shared" si="97"/>
        <v>7.3222115536967035E-13</v>
      </c>
      <c r="DR73" s="20">
        <f t="shared" si="70"/>
        <v>1.3525069634579169E-12</v>
      </c>
      <c r="DS73" s="59">
        <f t="shared" si="71"/>
        <v>293.33333333333468</v>
      </c>
      <c r="DT73" s="59">
        <f ca="1">AVERAGE(OFFSET($DS$3,0,0,'Données projet'!$E$14+1,1))-AVERAGE(OFFSET($H$3,0,0,'Données projet'!$E$14+1,1))</f>
        <v>288.82868507674738</v>
      </c>
      <c r="DU73" s="59">
        <f t="shared" si="98"/>
        <v>283.48738729114024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42.155404179841454</v>
      </c>
      <c r="EB73" s="21">
        <f>EXP(-LN(2)/25)*EB72+(1-EXP(-LN(2)/25))/(LN(2)/25)*Calculateur!DW73*Calculateur!DY73*VLOOKUP('Données projet'!$B$14,Paramètres!$A$1:$I$89,3,0)*0.475*44/12</f>
        <v>41.177524144145067</v>
      </c>
      <c r="EC73" s="21">
        <f>EXP(-LN(2)/2)*EC72+(1-EXP(-LN(2)/2))/(LN(2)/2)*DW73*DZ73*VLOOKUP('Données projet'!$B$14,Paramètres!$A$1:$I$89,3,0)*0.475*44/12</f>
        <v>42.960994908953396</v>
      </c>
      <c r="ED73" s="22">
        <f t="shared" si="72"/>
        <v>126.29392323293992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6.7437500000000021</v>
      </c>
      <c r="EJ73" s="12">
        <f>IF('Données projet'!$A$192&gt;35,EJ72+EI73-ER72,IF(A73&lt;'Données projet'!$A$192,$EG$205^A73,IF(A73='Données projet'!$A$192,'Données projet'!$B$192,EJ72+EI73-ER72)))</f>
        <v>155.31375</v>
      </c>
      <c r="EK73" s="17">
        <f>EJ73*VLOOKUP('Données projet'!$B$15,Paramètres!$A$1:$I$89,3,0)*VLOOKUP('Données projet'!$B$15,Paramètres!$A$1:$I$89,5,0)</f>
        <v>150.219459</v>
      </c>
      <c r="EL73" s="13">
        <f t="shared" si="99"/>
        <v>38.628454221735403</v>
      </c>
      <c r="EM73" s="20">
        <f t="shared" si="73"/>
        <v>328.91011552785579</v>
      </c>
      <c r="EN73" s="59">
        <f t="shared" si="74"/>
        <v>622.24344886118911</v>
      </c>
      <c r="EO73" s="59">
        <f ca="1">AVERAGE(OFFSET($EN$3,0,0,'Données projet'!$E$15+1,1))-AVERAGE(OFFSET($H$3,0,0,'Données projet'!$E$15+1,1))</f>
        <v>510.71380643466227</v>
      </c>
      <c r="EP73" s="59">
        <f t="shared" si="100"/>
        <v>252.40654099948841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11.024083901522369</v>
      </c>
      <c r="EX73" s="21">
        <f>EXP(-LN(2)/2)*EX72+(1-EXP(-LN(2)/2))/(LN(2)/2)*ER73*EU73*VLOOKUP('Données projet'!$B$15,Paramètres!$A$1:$I$89,3,0)*0.475*44/12</f>
        <v>7.3305746212249669</v>
      </c>
      <c r="EY73" s="22">
        <f t="shared" si="75"/>
        <v>18.354658522747336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6.8770000000000007</v>
      </c>
      <c r="N74" s="13">
        <f>IF('Données projet'!$A$36&gt;35,N73+M74-V73,IF(A74&lt;'Données projet'!$A$36,$K$205^A74,IF(A74='Données projet'!$A$36,'Données projet'!$B$36,N73+M74-V73)))</f>
        <v>187.48600000000016</v>
      </c>
      <c r="O74" s="13">
        <f>N74*VLOOKUP('Données projet'!$B$9,Paramètres!$A$1:$I$89,3,0)*VLOOKUP('Données projet'!$B$9,Paramètres!$A$1:$I$89,5,0)</f>
        <v>190.11080400000017</v>
      </c>
      <c r="P74" s="13">
        <f t="shared" si="87"/>
        <v>47.564449211130047</v>
      </c>
      <c r="Q74" s="20">
        <f t="shared" si="54"/>
        <v>413.9510660093851</v>
      </c>
      <c r="R74" s="59">
        <f t="shared" si="55"/>
        <v>707.28439934271842</v>
      </c>
      <c r="S74" s="59">
        <f ca="1">AVERAGE(OFFSET($R$3,0,0,'Données projet'!$E$9+1,1))-AVERAGE(OFFSET($H$3,0,0,'Données projet'!$E$9+1,1))</f>
        <v>543.67050511722618</v>
      </c>
      <c r="T74" s="59">
        <f t="shared" si="88"/>
        <v>249.0871389941106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30.718440642732642</v>
      </c>
      <c r="AB74" s="21">
        <f>EXP(-LN(2)/2)*AB73+(1-EXP(-LN(2)/2))/(LN(2)/2)*V74*Y74*VLOOKUP('Données projet'!$B$9,Paramètres!$A$1:$I$89,3,0)*0.475*44/12</f>
        <v>0.45110723443285072</v>
      </c>
      <c r="AC74" s="22">
        <f t="shared" si="57"/>
        <v>31.169547877165492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9.733749999999997</v>
      </c>
      <c r="AI74" s="13">
        <f>IF('Données projet'!$A$62&gt;35,AI73+AH74-AQ73,IF(A74&lt;'Données projet'!$A$62,$AF$205^A74,IF(A74='Données projet'!$A$62,'Données projet'!$B$62,AI73+AH74-AQ73)))</f>
        <v>281.7587500000003</v>
      </c>
      <c r="AJ74" s="13">
        <f>AI74*VLOOKUP('Données projet'!$B$10,Paramètres!$A$1:$I$89,3,0)*VLOOKUP('Données projet'!$B$10,Paramètres!$A$1:$I$89,5,0)</f>
        <v>254.93531700000028</v>
      </c>
      <c r="AK74" s="13">
        <f t="shared" si="89"/>
        <v>61.641559307209917</v>
      </c>
      <c r="AL74" s="20">
        <f t="shared" si="58"/>
        <v>551.37139290172445</v>
      </c>
      <c r="AM74" s="59">
        <f t="shared" si="59"/>
        <v>844.70472623505771</v>
      </c>
      <c r="AN74" s="59">
        <f ca="1">AVERAGE(OFFSET($AM$3,0,0,'Données projet'!$E$10+1,1))-AVERAGE(OFFSET($H$3,0,0,'Données projet'!$E$10+1,1))</f>
        <v>635.71275911100679</v>
      </c>
      <c r="AO74" s="59">
        <f t="shared" si="90"/>
        <v>281.7776857269169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7.3188765917538046</v>
      </c>
      <c r="AV74" s="21">
        <f>EXP(-LN(2)/25)*AV73+(1-EXP(-LN(2)/25))/(LN(2)/25)*Calculateur!AQ74*Calculateur!AS74*VLOOKUP('Données projet'!$B$10,Paramètres!$A$1:$I$89,3,0)*0.475*44/12</f>
        <v>29.440164391855873</v>
      </c>
      <c r="AW74" s="21">
        <f>EXP(-LN(2)/2)*AW73+(1-EXP(-LN(2)/2))/(LN(2)/2)*AQ74*AT74*VLOOKUP('Données projet'!$B$10,Paramètres!$A$1:$I$89,3,0)*0.475*44/12</f>
        <v>0.90501754445234595</v>
      </c>
      <c r="AX74" s="21">
        <f t="shared" si="60"/>
        <v>37.664058528062029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2.1794871794871766</v>
      </c>
      <c r="BD74" s="12">
        <f>IF('Données projet'!$A$88&gt;35,BD73+BC74-BL73,IF(A74&lt;'Données projet'!$A$88,$BA$205^A74,IF(A74='Données projet'!$A$88,'Données projet'!$B$88,BD73+BC74-BL73)))</f>
        <v>122.05128205128199</v>
      </c>
      <c r="BE74" s="13">
        <f>BD74*VLOOKUP('Données projet'!$B$11,Paramètres!$A$1:$I$89,3,0)*VLOOKUP('Données projet'!$B$11,Paramètres!$A$1:$I$89,5,0)</f>
        <v>106.62399999999995</v>
      </c>
      <c r="BF74" s="13">
        <f t="shared" si="91"/>
        <v>28.534135371802059</v>
      </c>
      <c r="BG74" s="20">
        <f t="shared" si="61"/>
        <v>235.40041910588846</v>
      </c>
      <c r="BH74" s="59">
        <f t="shared" si="62"/>
        <v>528.7337524392218</v>
      </c>
      <c r="BI74" s="59">
        <f ca="1">AVERAGE(OFFSET($BH$3,0,0,'Données projet'!$E$11+1,1))-AVERAGE(OFFSET($H$3,0,0,'Données projet'!$E$11+1,1))</f>
        <v>204.11804238362862</v>
      </c>
      <c r="BJ74" s="59">
        <f t="shared" si="92"/>
        <v>185.53854651509408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0.71992819837136579</v>
      </c>
      <c r="BQ74" s="21">
        <f>EXP(-LN(2)/25)*BQ73+(1-EXP(-LN(2)/25))/(LN(2)/25)*Calculateur!BL74*Calculateur!BN74*VLOOKUP('Données projet'!$B$11,Paramètres!$A$1:$I$89,3,0)*0.475*44/12</f>
        <v>13.646195186704624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14.366123385075989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6.8770000000000007</v>
      </c>
      <c r="BY74" s="12">
        <f>IF('Données projet'!$A$114&gt;35,BY73+BX74-CG73,IF(A74&lt;'Données projet'!$A$114,$BV$205^A74,IF(A74='Données projet'!$A$114,'Données projet'!$B$114,BY73+BX74-CG73)))</f>
        <v>187.48600000000016</v>
      </c>
      <c r="BZ74" s="13">
        <f>BY74*VLOOKUP('Données projet'!$B$12,Paramètres!$A$1:$I$89,3,0)*VLOOKUP('Données projet'!$B$12,Paramètres!$A$1:$I$89,5,0)</f>
        <v>187.18602240000018</v>
      </c>
      <c r="CA74" s="13">
        <f t="shared" si="93"/>
        <v>46.917283123215832</v>
      </c>
      <c r="CB74" s="20">
        <f t="shared" si="64"/>
        <v>407.72992378626788</v>
      </c>
      <c r="CC74" s="59">
        <f t="shared" si="65"/>
        <v>701.06325711960119</v>
      </c>
      <c r="CD74" s="59">
        <f ca="1">AVERAGE(OFFSET($CC$3,0,0,'Données projet'!$E$12+1,1))-AVERAGE(OFFSET($H$3,0,0,'Données projet'!$E$12+1,1))</f>
        <v>535.99935263833549</v>
      </c>
      <c r="CE74" s="59">
        <f t="shared" si="94"/>
        <v>245.89966477332644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9.4518278900715842</v>
      </c>
      <c r="CM74" s="21">
        <f>EXP(-LN(2)/2)*CM73+(1-EXP(-LN(2)/2))/(LN(2)/2)*CG74*CJ74*VLOOKUP('Données projet'!$B$12,Paramètres!$A$1:$I$89,3,0)*0.475*44/12</f>
        <v>0.55520890391735456</v>
      </c>
      <c r="CN74" s="22">
        <f t="shared" si="66"/>
        <v>10.007036793988938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9.65625</v>
      </c>
      <c r="CT74" s="12">
        <f>IF('Données projet'!$A$140&gt;35,CT73+CS74-DB73,IF(A74&lt;'Données projet'!$A$140,$CQ$205^A74,IF(A74='Données projet'!$A$140,'Données projet'!$B$140,CT73+CS74-DB73)))</f>
        <v>235.13499999999996</v>
      </c>
      <c r="CU74" s="17">
        <f>CT74*VLOOKUP('Données projet'!$B$13,Paramètres!$A$1:$I$89,3,0)*VLOOKUP('Données projet'!$B$13,Paramètres!$A$1:$I$89,5,0)</f>
        <v>223.75446599999998</v>
      </c>
      <c r="CV74" s="13">
        <f t="shared" si="95"/>
        <v>54.930094969115991</v>
      </c>
      <c r="CW74" s="20">
        <f t="shared" si="67"/>
        <v>485.37561035454365</v>
      </c>
      <c r="CX74" s="59">
        <f t="shared" si="68"/>
        <v>778.70894368787697</v>
      </c>
      <c r="CY74" s="59">
        <f ca="1">AVERAGE(OFFSET($CX$3,0,0,'Données projet'!$E$13+1,1))-AVERAGE(OFFSET($H$3,0,0,'Données projet'!$E$13+1,1))</f>
        <v>449.28947235329758</v>
      </c>
      <c r="CZ74" s="59">
        <f t="shared" si="96"/>
        <v>289.36994109443964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11.619873510749214</v>
      </c>
      <c r="DG74" s="21">
        <f>EXP(-LN(2)/25)*DG73+(1-EXP(-LN(2)/25))/(LN(2)/25)*Calculateur!DB74*Calculateur!DD74*VLOOKUP('Données projet'!$B$13,Paramètres!$A$1:$I$89,3,0)*0.475*44/12</f>
        <v>16.132389563201635</v>
      </c>
      <c r="DH74" s="21">
        <f>EXP(-LN(2)/2)*DH73+(1-EXP(-LN(2)/2))/(LN(2)/2)*DB74*DE74*VLOOKUP('Données projet'!$B$13,Paramètres!$A$1:$I$89,3,0)*0.475*44/12</f>
        <v>2.5494655395899279</v>
      </c>
      <c r="DI74" s="22">
        <f t="shared" si="69"/>
        <v>30.301728613540778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5.6843418860808015E-14</v>
      </c>
      <c r="DP74" s="17">
        <f>DO74*VLOOKUP('Données projet'!$B$14,Paramètres!$A$1:$I$89,3,0)*VLOOKUP('Données projet'!$B$14,Paramètres!$A$1:$I$89,5,0)</f>
        <v>4.4337866711430253E-14</v>
      </c>
      <c r="DQ74" s="13">
        <f t="shared" si="97"/>
        <v>7.3222115536967035E-13</v>
      </c>
      <c r="DR74" s="20">
        <f t="shared" si="70"/>
        <v>1.3525069634579169E-12</v>
      </c>
      <c r="DS74" s="59">
        <f t="shared" si="71"/>
        <v>293.33333333333468</v>
      </c>
      <c r="DT74" s="59">
        <f ca="1">AVERAGE(OFFSET($DS$3,0,0,'Données projet'!$E$14+1,1))-AVERAGE(OFFSET($H$3,0,0,'Données projet'!$E$14+1,1))</f>
        <v>288.82868507674738</v>
      </c>
      <c r="DU74" s="59">
        <f t="shared" si="98"/>
        <v>283.48738729114024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41.328762416132442</v>
      </c>
      <c r="EB74" s="21">
        <f>EXP(-LN(2)/25)*EB73+(1-EXP(-LN(2)/25))/(LN(2)/25)*Calculateur!DW74*Calculateur!DY74*VLOOKUP('Données projet'!$B$14,Paramètres!$A$1:$I$89,3,0)*0.475*44/12</f>
        <v>40.051522580991538</v>
      </c>
      <c r="EC74" s="21">
        <f>EXP(-LN(2)/2)*EC73+(1-EXP(-LN(2)/2))/(LN(2)/2)*DW74*DZ74*VLOOKUP('Données projet'!$B$14,Paramètres!$A$1:$I$89,3,0)*0.475*44/12</f>
        <v>30.378010826641692</v>
      </c>
      <c r="ED74" s="22">
        <f t="shared" si="72"/>
        <v>111.75829582376568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6.7437500000000021</v>
      </c>
      <c r="EJ74" s="12">
        <f>IF('Données projet'!$A$192&gt;35,EJ73+EI74-ER73,IF(A74&lt;'Données projet'!$A$192,$EG$205^A74,IF(A74='Données projet'!$A$192,'Données projet'!$B$192,EJ73+EI74-ER73)))</f>
        <v>162.0575</v>
      </c>
      <c r="EK74" s="17">
        <f>EJ74*VLOOKUP('Données projet'!$B$15,Paramètres!$A$1:$I$89,3,0)*VLOOKUP('Données projet'!$B$15,Paramètres!$A$1:$I$89,5,0)</f>
        <v>156.74201400000001</v>
      </c>
      <c r="EL74" s="13">
        <f t="shared" si="99"/>
        <v>40.106790036678284</v>
      </c>
      <c r="EM74" s="20">
        <f t="shared" si="73"/>
        <v>342.84500036388135</v>
      </c>
      <c r="EN74" s="59">
        <f t="shared" si="74"/>
        <v>636.17833369721461</v>
      </c>
      <c r="EO74" s="59">
        <f ca="1">AVERAGE(OFFSET($EN$3,0,0,'Données projet'!$E$15+1,1))-AVERAGE(OFFSET($H$3,0,0,'Données projet'!$E$15+1,1))</f>
        <v>510.71380643466227</v>
      </c>
      <c r="EP74" s="59">
        <f t="shared" si="100"/>
        <v>252.40654099948841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10.722629747503863</v>
      </c>
      <c r="EX74" s="21">
        <f>EXP(-LN(2)/2)*EX73+(1-EXP(-LN(2)/2))/(LN(2)/2)*ER74*EU74*VLOOKUP('Données projet'!$B$15,Paramètres!$A$1:$I$89,3,0)*0.475*44/12</f>
        <v>5.1834990246621819</v>
      </c>
      <c r="EY74" s="22">
        <f t="shared" si="75"/>
        <v>15.906128772166046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6.8770000000000007</v>
      </c>
      <c r="N75" s="13">
        <f>IF('Données projet'!$A$36&gt;35,N74+M75-V74,IF(A75&lt;'Données projet'!$A$36,$K$205^A75,IF(A75='Données projet'!$A$36,'Données projet'!$B$36,N74+M75-V74)))</f>
        <v>194.36300000000017</v>
      </c>
      <c r="O75" s="13">
        <f>N75*VLOOKUP('Données projet'!$B$9,Paramètres!$A$1:$I$89,3,0)*VLOOKUP('Données projet'!$B$9,Paramètres!$A$1:$I$89,5,0)</f>
        <v>197.08408200000017</v>
      </c>
      <c r="P75" s="13">
        <f t="shared" si="87"/>
        <v>49.102790466556783</v>
      </c>
      <c r="Q75" s="20">
        <f t="shared" si="54"/>
        <v>428.77546954592003</v>
      </c>
      <c r="R75" s="59">
        <f t="shared" si="55"/>
        <v>722.10880287925329</v>
      </c>
      <c r="S75" s="59">
        <f ca="1">AVERAGE(OFFSET($R$3,0,0,'Données projet'!$E$9+1,1))-AVERAGE(OFFSET($H$3,0,0,'Données projet'!$E$9+1,1))</f>
        <v>543.67050511722618</v>
      </c>
      <c r="T75" s="59">
        <f t="shared" si="88"/>
        <v>249.0871389941106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29.878443267944533</v>
      </c>
      <c r="AB75" s="21">
        <f>EXP(-LN(2)/2)*AB74+(1-EXP(-LN(2)/2))/(LN(2)/2)*V75*Y75*VLOOKUP('Données projet'!$B$9,Paramètres!$A$1:$I$89,3,0)*0.475*44/12</f>
        <v>0.31898098450977841</v>
      </c>
      <c r="AC75" s="22">
        <f t="shared" si="57"/>
        <v>30.197424252454311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9.733749999999997</v>
      </c>
      <c r="AI75" s="13">
        <f>IF('Données projet'!$A$62&gt;35,AI74+AH75-AQ74,IF(A75&lt;'Données projet'!$A$62,$AF$205^A75,IF(A75='Données projet'!$A$62,'Données projet'!$B$62,AI74+AH75-AQ74)))</f>
        <v>291.49250000000029</v>
      </c>
      <c r="AJ75" s="13">
        <f>AI75*VLOOKUP('Données projet'!$B$10,Paramètres!$A$1:$I$89,3,0)*VLOOKUP('Données projet'!$B$10,Paramètres!$A$1:$I$89,5,0)</f>
        <v>263.74241400000022</v>
      </c>
      <c r="AK75" s="13">
        <f t="shared" si="89"/>
        <v>63.519444659628142</v>
      </c>
      <c r="AL75" s="20">
        <f t="shared" si="58"/>
        <v>569.98107049885277</v>
      </c>
      <c r="AM75" s="59">
        <f t="shared" si="59"/>
        <v>863.31440383218614</v>
      </c>
      <c r="AN75" s="59">
        <f ca="1">AVERAGE(OFFSET($AM$3,0,0,'Données projet'!$E$10+1,1))-AVERAGE(OFFSET($H$3,0,0,'Données projet'!$E$10+1,1))</f>
        <v>635.71275911100679</v>
      </c>
      <c r="AO75" s="59">
        <f t="shared" si="90"/>
        <v>281.7776857269169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7.175357885863443</v>
      </c>
      <c r="AV75" s="21">
        <f>EXP(-LN(2)/25)*AV74+(1-EXP(-LN(2)/25))/(LN(2)/25)*Calculateur!AQ75*Calculateur!AS75*VLOOKUP('Données projet'!$B$10,Paramètres!$A$1:$I$89,3,0)*0.475*44/12</f>
        <v>28.635121548369614</v>
      </c>
      <c r="AW75" s="21">
        <f>EXP(-LN(2)/2)*AW74+(1-EXP(-LN(2)/2))/(LN(2)/2)*AQ75*AT75*VLOOKUP('Données projet'!$B$10,Paramètres!$A$1:$I$89,3,0)*0.475*44/12</f>
        <v>0.63994404277505157</v>
      </c>
      <c r="AX75" s="21">
        <f t="shared" si="60"/>
        <v>36.450423477008108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2.1794871794871766</v>
      </c>
      <c r="BD75" s="12">
        <f>IF('Données projet'!$A$88&gt;35,BD74+BC75-BL74,IF(A75&lt;'Données projet'!$A$88,$BA$205^A75,IF(A75='Données projet'!$A$88,'Données projet'!$B$88,BD74+BC75-BL74)))</f>
        <v>124.23076923076917</v>
      </c>
      <c r="BE75" s="13">
        <f>BD75*VLOOKUP('Données projet'!$B$11,Paramètres!$A$1:$I$89,3,0)*VLOOKUP('Données projet'!$B$11,Paramètres!$A$1:$I$89,5,0)</f>
        <v>108.52799999999996</v>
      </c>
      <c r="BF75" s="13">
        <f t="shared" si="91"/>
        <v>28.983898429855103</v>
      </c>
      <c r="BG75" s="20">
        <f t="shared" si="61"/>
        <v>239.49988976533089</v>
      </c>
      <c r="BH75" s="59">
        <f t="shared" si="62"/>
        <v>532.83322309866423</v>
      </c>
      <c r="BI75" s="59">
        <f ca="1">AVERAGE(OFFSET($BH$3,0,0,'Données projet'!$E$11+1,1))-AVERAGE(OFFSET($H$3,0,0,'Données projet'!$E$11+1,1))</f>
        <v>204.11804238362862</v>
      </c>
      <c r="BJ75" s="59">
        <f t="shared" si="92"/>
        <v>185.53854651509408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0.70581084551414552</v>
      </c>
      <c r="BQ75" s="21">
        <f>EXP(-LN(2)/25)*BQ74+(1-EXP(-LN(2)/25))/(LN(2)/25)*Calculateur!BL75*Calculateur!BN75*VLOOKUP('Données projet'!$B$11,Paramètres!$A$1:$I$89,3,0)*0.475*44/12</f>
        <v>13.273039261701969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13.978850107216115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6.8770000000000007</v>
      </c>
      <c r="BY75" s="12">
        <f>IF('Données projet'!$A$114&gt;35,BY74+BX75-CG74,IF(A75&lt;'Données projet'!$A$114,$BV$205^A75,IF(A75='Données projet'!$A$114,'Données projet'!$B$114,BY74+BX75-CG74)))</f>
        <v>194.36300000000017</v>
      </c>
      <c r="BZ75" s="13">
        <f>BY75*VLOOKUP('Données projet'!$B$12,Paramètres!$A$1:$I$89,3,0)*VLOOKUP('Données projet'!$B$12,Paramètres!$A$1:$I$89,5,0)</f>
        <v>194.05201920000019</v>
      </c>
      <c r="CA75" s="13">
        <f t="shared" si="93"/>
        <v>48.434693571944265</v>
      </c>
      <c r="CB75" s="20">
        <f t="shared" si="64"/>
        <v>422.33102474446986</v>
      </c>
      <c r="CC75" s="59">
        <f t="shared" si="65"/>
        <v>715.66435807780317</v>
      </c>
      <c r="CD75" s="59">
        <f ca="1">AVERAGE(OFFSET($CC$3,0,0,'Données projet'!$E$12+1,1))-AVERAGE(OFFSET($H$3,0,0,'Données projet'!$E$12+1,1))</f>
        <v>535.99935263833549</v>
      </c>
      <c r="CE75" s="59">
        <f t="shared" si="94"/>
        <v>245.89966477332644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9.1933671593675506</v>
      </c>
      <c r="CM75" s="21">
        <f>EXP(-LN(2)/2)*CM74+(1-EXP(-LN(2)/2))/(LN(2)/2)*CG75*CJ75*VLOOKUP('Données projet'!$B$12,Paramètres!$A$1:$I$89,3,0)*0.475*44/12</f>
        <v>0.39259198093511172</v>
      </c>
      <c r="CN75" s="22">
        <f t="shared" si="66"/>
        <v>9.5859591403026627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9.65625</v>
      </c>
      <c r="CT75" s="12">
        <f>IF('Données projet'!$A$140&gt;35,CT74+CS75-DB74,IF(A75&lt;'Données projet'!$A$140,$CQ$205^A75,IF(A75='Données projet'!$A$140,'Données projet'!$B$140,CT74+CS75-DB74)))</f>
        <v>244.79124999999996</v>
      </c>
      <c r="CU75" s="17">
        <f>CT75*VLOOKUP('Données projet'!$B$13,Paramètres!$A$1:$I$89,3,0)*VLOOKUP('Données projet'!$B$13,Paramètres!$A$1:$I$89,5,0)</f>
        <v>232.94335349999997</v>
      </c>
      <c r="CV75" s="13">
        <f t="shared" si="95"/>
        <v>56.918631610926248</v>
      </c>
      <c r="CW75" s="20">
        <f t="shared" si="67"/>
        <v>504.84295740152987</v>
      </c>
      <c r="CX75" s="59">
        <f t="shared" si="68"/>
        <v>798.17629073486319</v>
      </c>
      <c r="CY75" s="59">
        <f ca="1">AVERAGE(OFFSET($CX$3,0,0,'Données projet'!$E$13+1,1))-AVERAGE(OFFSET($H$3,0,0,'Données projet'!$E$13+1,1))</f>
        <v>449.28947235329758</v>
      </c>
      <c r="CZ75" s="59">
        <f t="shared" si="96"/>
        <v>289.36994109443964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11.392014878626439</v>
      </c>
      <c r="DG75" s="21">
        <f>EXP(-LN(2)/25)*DG74+(1-EXP(-LN(2)/25))/(LN(2)/25)*Calculateur!DB75*Calculateur!DD75*VLOOKUP('Données projet'!$B$13,Paramètres!$A$1:$I$89,3,0)*0.475*44/12</f>
        <v>15.69124852223039</v>
      </c>
      <c r="DH75" s="21">
        <f>EXP(-LN(2)/2)*DH74+(1-EXP(-LN(2)/2))/(LN(2)/2)*DB75*DE75*VLOOKUP('Données projet'!$B$13,Paramètres!$A$1:$I$89,3,0)*0.475*44/12</f>
        <v>1.8027443714454585</v>
      </c>
      <c r="DI75" s="22">
        <f t="shared" si="69"/>
        <v>28.886007772302289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5.6843418860808015E-14</v>
      </c>
      <c r="DP75" s="17">
        <f>DO75*VLOOKUP('Données projet'!$B$14,Paramètres!$A$1:$I$89,3,0)*VLOOKUP('Données projet'!$B$14,Paramètres!$A$1:$I$89,5,0)</f>
        <v>4.4337866711430253E-14</v>
      </c>
      <c r="DQ75" s="13">
        <f t="shared" si="97"/>
        <v>7.3222115536967035E-13</v>
      </c>
      <c r="DR75" s="20">
        <f t="shared" si="70"/>
        <v>1.3525069634579169E-12</v>
      </c>
      <c r="DS75" s="59">
        <f t="shared" si="71"/>
        <v>293.33333333333468</v>
      </c>
      <c r="DT75" s="59">
        <f ca="1">AVERAGE(OFFSET($DS$3,0,0,'Données projet'!$E$14+1,1))-AVERAGE(OFFSET($H$3,0,0,'Données projet'!$E$14+1,1))</f>
        <v>288.82868507674738</v>
      </c>
      <c r="DU75" s="59">
        <f t="shared" si="98"/>
        <v>283.48738729114024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40.51833059320807</v>
      </c>
      <c r="EB75" s="21">
        <f>EXP(-LN(2)/25)*EB74+(1-EXP(-LN(2)/25))/(LN(2)/25)*Calculateur!DW75*Calculateur!DY75*VLOOKUP('Données projet'!$B$14,Paramètres!$A$1:$I$89,3,0)*0.475*44/12</f>
        <v>38.956311589796293</v>
      </c>
      <c r="EC75" s="21">
        <f>EXP(-LN(2)/2)*EC74+(1-EXP(-LN(2)/2))/(LN(2)/2)*DW75*DZ75*VLOOKUP('Données projet'!$B$14,Paramètres!$A$1:$I$89,3,0)*0.475*44/12</f>
        <v>21.480497454476701</v>
      </c>
      <c r="ED75" s="22">
        <f t="shared" si="72"/>
        <v>100.95513963748107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6.7437500000000021</v>
      </c>
      <c r="EJ75" s="12">
        <f>IF('Données projet'!$A$192&gt;35,EJ74+EI75-ER74,IF(A75&lt;'Données projet'!$A$192,$EG$205^A75,IF(A75='Données projet'!$A$192,'Données projet'!$B$192,EJ74+EI75-ER74)))</f>
        <v>168.80125000000001</v>
      </c>
      <c r="EK75" s="17">
        <f>EJ75*VLOOKUP('Données projet'!$B$15,Paramètres!$A$1:$I$89,3,0)*VLOOKUP('Données projet'!$B$15,Paramètres!$A$1:$I$89,5,0)</f>
        <v>163.26456900000002</v>
      </c>
      <c r="EL75" s="13">
        <f t="shared" si="99"/>
        <v>41.577980240014099</v>
      </c>
      <c r="EM75" s="20">
        <f t="shared" si="73"/>
        <v>356.76743992635789</v>
      </c>
      <c r="EN75" s="59">
        <f t="shared" si="74"/>
        <v>650.10077325969121</v>
      </c>
      <c r="EO75" s="59">
        <f ca="1">AVERAGE(OFFSET($EN$3,0,0,'Données projet'!$E$15+1,1))-AVERAGE(OFFSET($H$3,0,0,'Données projet'!$E$15+1,1))</f>
        <v>510.71380643466227</v>
      </c>
      <c r="EP75" s="59">
        <f t="shared" si="100"/>
        <v>252.40654099948841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10.429418873179777</v>
      </c>
      <c r="EX75" s="21">
        <f>EXP(-LN(2)/2)*EX74+(1-EXP(-LN(2)/2))/(LN(2)/2)*ER75*EU75*VLOOKUP('Données projet'!$B$15,Paramètres!$A$1:$I$89,3,0)*0.475*44/12</f>
        <v>3.6652873106124844</v>
      </c>
      <c r="EY75" s="22">
        <f t="shared" si="75"/>
        <v>14.094706183792262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>
        <f>VLOOKUP(A76,'Données projet'!$A$35:$I$55,2,0)</f>
        <v>201.24</v>
      </c>
      <c r="L76" s="12">
        <f>VLOOKUP(A76,'Données projet'!$A$35:$I$55,9,0)</f>
        <v>6.8770000000000007</v>
      </c>
      <c r="M76" s="12">
        <f t="array" ref="M76">INDEX(L:L,MIN(IF(ISNUMBER(L76:L272),ROW(L76:L272),"")))</f>
        <v>6.8770000000000007</v>
      </c>
      <c r="N76" s="13">
        <f>IF('Données projet'!$A$36&gt;35,N75+M76-V75,IF(A76&lt;'Données projet'!$A$36,$K$205^A76,IF(A76='Données projet'!$A$36,'Données projet'!$B$36,N75+M76-V75)))</f>
        <v>201.24000000000018</v>
      </c>
      <c r="O76" s="13">
        <f>N76*VLOOKUP('Données projet'!$B$9,Paramètres!$A$1:$I$89,3,0)*VLOOKUP('Données projet'!$B$9,Paramètres!$A$1:$I$89,5,0)</f>
        <v>204.05736000000022</v>
      </c>
      <c r="P76" s="13">
        <f t="shared" si="87"/>
        <v>50.634807708061764</v>
      </c>
      <c r="Q76" s="20">
        <f t="shared" si="54"/>
        <v>443.58885875820789</v>
      </c>
      <c r="R76" s="59">
        <f t="shared" si="55"/>
        <v>736.92219209154121</v>
      </c>
      <c r="S76" s="59">
        <f ca="1">AVERAGE(OFFSET($R$3,0,0,'Données projet'!$E$9+1,1))-AVERAGE(OFFSET($H$3,0,0,'Données projet'!$E$9+1,1))</f>
        <v>543.67050511722618</v>
      </c>
      <c r="T76" s="59">
        <f t="shared" si="88"/>
        <v>249.0871389941106</v>
      </c>
      <c r="U76" s="15">
        <f>IF(ISNA(VLOOKUP(A76,'Données projet'!$A$35:$I$55,3,0)),0,VLOOKUP(A76,'Données projet'!$A$35:$I$55,3,0))</f>
        <v>4</v>
      </c>
      <c r="V76" s="15">
        <f>IF(ISNA(VLOOKUP(A76,'Données projet'!$A$35:$I$55,4,0)),0,VLOOKUP(A76,'Données projet'!$A$35:$I$55,4,0))</f>
        <v>36.890000000000015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0.34400000000000003</v>
      </c>
      <c r="Y76" s="16">
        <f>IF(ISNA(VLOOKUP(A76,'Données projet'!$A$35:$I$55,7,0)),0%,VLOOKUP(A76,'Données projet'!$A$35:$I$55,7,0))</f>
        <v>0.2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43.230402770237824</v>
      </c>
      <c r="AB76" s="21">
        <f>EXP(-LN(2)/2)*AB75+(1-EXP(-LN(2)/2))/(LN(2)/2)*V76*Y76*VLOOKUP('Données projet'!$B$9,Paramètres!$A$1:$I$89,3,0)*0.475*44/12</f>
        <v>7.2843539752384041</v>
      </c>
      <c r="AC76" s="22">
        <f t="shared" si="57"/>
        <v>50.514756745476227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9.733749999999997</v>
      </c>
      <c r="AI76" s="13">
        <f>IF('Données projet'!$A$62&gt;35,AI75+AH76-AQ75,IF(A76&lt;'Données projet'!$A$62,$AF$205^A76,IF(A76='Données projet'!$A$62,'Données projet'!$B$62,AI75+AH76-AQ75)))</f>
        <v>301.22625000000028</v>
      </c>
      <c r="AJ76" s="13">
        <f>AI76*VLOOKUP('Données projet'!$B$10,Paramètres!$A$1:$I$89,3,0)*VLOOKUP('Données projet'!$B$10,Paramètres!$A$1:$I$89,5,0)</f>
        <v>272.54951100000028</v>
      </c>
      <c r="AK76" s="13">
        <f t="shared" si="89"/>
        <v>65.390043555628168</v>
      </c>
      <c r="AL76" s="20">
        <f t="shared" si="58"/>
        <v>588.57805751771946</v>
      </c>
      <c r="AM76" s="59">
        <f t="shared" si="59"/>
        <v>881.91139085105283</v>
      </c>
      <c r="AN76" s="59">
        <f ca="1">AVERAGE(OFFSET($AM$3,0,0,'Données projet'!$E$10+1,1))-AVERAGE(OFFSET($H$3,0,0,'Données projet'!$E$10+1,1))</f>
        <v>635.71275911100679</v>
      </c>
      <c r="AO76" s="59">
        <f t="shared" si="90"/>
        <v>281.7776857269169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7.0346534942578245</v>
      </c>
      <c r="AV76" s="21">
        <f>EXP(-LN(2)/25)*AV75+(1-EXP(-LN(2)/25))/(LN(2)/25)*Calculateur!AQ76*Calculateur!AS76*VLOOKUP('Données projet'!$B$10,Paramètres!$A$1:$I$89,3,0)*0.475*44/12</f>
        <v>27.852092643773851</v>
      </c>
      <c r="AW76" s="21">
        <f>EXP(-LN(2)/2)*AW75+(1-EXP(-LN(2)/2))/(LN(2)/2)*AQ76*AT76*VLOOKUP('Données projet'!$B$10,Paramètres!$A$1:$I$89,3,0)*0.475*44/12</f>
        <v>0.45250877222617303</v>
      </c>
      <c r="AX76" s="21">
        <f t="shared" si="60"/>
        <v>35.33925491025785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2.1794871794871766</v>
      </c>
      <c r="BD76" s="12">
        <f>IF('Données projet'!$A$88&gt;35,BD75+BC76-BL75,IF(A76&lt;'Données projet'!$A$88,$BA$205^A76,IF(A76='Données projet'!$A$88,'Données projet'!$B$88,BD75+BC76-BL75)))</f>
        <v>126.41025641025635</v>
      </c>
      <c r="BE76" s="13">
        <f>BD76*VLOOKUP('Données projet'!$B$11,Paramètres!$A$1:$I$89,3,0)*VLOOKUP('Données projet'!$B$11,Paramètres!$A$1:$I$89,5,0)</f>
        <v>110.43199999999996</v>
      </c>
      <c r="BF76" s="13">
        <f t="shared" si="91"/>
        <v>29.432743911799658</v>
      </c>
      <c r="BG76" s="20">
        <f t="shared" si="61"/>
        <v>243.59776231305099</v>
      </c>
      <c r="BH76" s="59">
        <f t="shared" si="62"/>
        <v>536.93109564638428</v>
      </c>
      <c r="BI76" s="59">
        <f ca="1">AVERAGE(OFFSET($BH$3,0,0,'Données projet'!$E$11+1,1))-AVERAGE(OFFSET($H$3,0,0,'Données projet'!$E$11+1,1))</f>
        <v>204.11804238362862</v>
      </c>
      <c r="BJ76" s="59">
        <f t="shared" si="92"/>
        <v>185.53854651509408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0.69197032533572034</v>
      </c>
      <c r="BQ76" s="21">
        <f>EXP(-LN(2)/25)*BQ75+(1-EXP(-LN(2)/25))/(LN(2)/25)*Calculateur!BL76*Calculateur!BN76*VLOOKUP('Données projet'!$B$11,Paramètres!$A$1:$I$89,3,0)*0.475*44/12</f>
        <v>12.910087305091929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13.60205763042765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>
        <f>VLOOKUP(A76,'Données projet'!$A$113:$I$133,2,0)</f>
        <v>201.24</v>
      </c>
      <c r="BW76" s="12">
        <f>VLOOKUP(A76,'Données projet'!$A$113:$I$133,9,0)</f>
        <v>6.8770000000000007</v>
      </c>
      <c r="BX76" s="12">
        <f t="array" ref="BX76">INDEX(BW:BW,MIN(IF(ISNUMBER(BW76:BW272),ROW(BW76:BW272),"")))</f>
        <v>6.8770000000000007</v>
      </c>
      <c r="BY76" s="12">
        <f>IF('Données projet'!$A$114&gt;35,BY75+BX76-CG75,IF(A76&lt;'Données projet'!$A$114,$BV$205^A76,IF(A76='Données projet'!$A$114,'Données projet'!$B$114,BY75+BX76-CG75)))</f>
        <v>201.24000000000018</v>
      </c>
      <c r="BZ76" s="13">
        <f>BY76*VLOOKUP('Données projet'!$B$12,Paramètres!$A$1:$I$89,3,0)*VLOOKUP('Données projet'!$B$12,Paramètres!$A$1:$I$89,5,0)</f>
        <v>200.91801600000019</v>
      </c>
      <c r="CA76" s="13">
        <f t="shared" si="93"/>
        <v>49.94586605184162</v>
      </c>
      <c r="CB76" s="20">
        <f t="shared" si="64"/>
        <v>436.92126124029113</v>
      </c>
      <c r="CC76" s="59">
        <f t="shared" si="65"/>
        <v>730.25459457362444</v>
      </c>
      <c r="CD76" s="59">
        <f ca="1">AVERAGE(OFFSET($CC$3,0,0,'Données projet'!$E$12+1,1))-AVERAGE(OFFSET($H$3,0,0,'Données projet'!$E$12+1,1))</f>
        <v>535.99935263833549</v>
      </c>
      <c r="CE76" s="59">
        <f t="shared" si="94"/>
        <v>245.89966477332644</v>
      </c>
      <c r="CF76" s="15">
        <f>IF(ISNA(VLOOKUP(A76,'Données projet'!$A$113:$I$133,3,0)),0,VLOOKUP(A76,'Données projet'!$A$113:$I$133,3,0))</f>
        <v>4</v>
      </c>
      <c r="CG76" s="15">
        <f>IF(ISNA(VLOOKUP(A76,'Données projet'!$A$113:$I$133,4,0)),0,VLOOKUP(A76,'Données projet'!$A$113:$I$133,4,0))</f>
        <v>36.890000000000015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0.1075</v>
      </c>
      <c r="CJ76" s="16">
        <f>IF(ISNA(VLOOKUP(A76,'Données projet'!$A$113:$I$133,7,0)),0%,VLOOKUP(A76,'Données projet'!$A$113:$I$133,7,0))</f>
        <v>0.25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13.301662390842409</v>
      </c>
      <c r="CM76" s="21">
        <f>EXP(-LN(2)/2)*CM75+(1-EXP(-LN(2)/2))/(LN(2)/2)*CG76*CJ76*VLOOKUP('Données projet'!$B$12,Paramètres!$A$1:$I$89,3,0)*0.475*44/12</f>
        <v>8.965358738754956</v>
      </c>
      <c r="CN76" s="22">
        <f t="shared" si="66"/>
        <v>22.267021129597367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9.65625</v>
      </c>
      <c r="CT76" s="12">
        <f>IF('Données projet'!$A$140&gt;35,CT75+CS76-DB75,IF(A76&lt;'Données projet'!$A$140,$CQ$205^A76,IF(A76='Données projet'!$A$140,'Données projet'!$B$140,CT75+CS76-DB75)))</f>
        <v>254.44749999999996</v>
      </c>
      <c r="CU76" s="17">
        <f>CT76*VLOOKUP('Données projet'!$B$13,Paramètres!$A$1:$I$89,3,0)*VLOOKUP('Données projet'!$B$13,Paramètres!$A$1:$I$89,5,0)</f>
        <v>242.13224099999996</v>
      </c>
      <c r="CV76" s="13">
        <f t="shared" si="95"/>
        <v>58.898056089565813</v>
      </c>
      <c r="CW76" s="20">
        <f t="shared" si="67"/>
        <v>524.29443409766043</v>
      </c>
      <c r="CX76" s="59">
        <f t="shared" si="68"/>
        <v>817.6277674309938</v>
      </c>
      <c r="CY76" s="59">
        <f ca="1">AVERAGE(OFFSET($CX$3,0,0,'Données projet'!$E$13+1,1))-AVERAGE(OFFSET($H$3,0,0,'Données projet'!$E$13+1,1))</f>
        <v>449.28947235329758</v>
      </c>
      <c r="CZ76" s="59">
        <f t="shared" si="96"/>
        <v>289.36994109443964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11.168624415299549</v>
      </c>
      <c r="DG76" s="21">
        <f>EXP(-LN(2)/25)*DG75+(1-EXP(-LN(2)/25))/(LN(2)/25)*Calculateur!DB76*Calculateur!DD76*VLOOKUP('Données projet'!$B$13,Paramètres!$A$1:$I$89,3,0)*0.475*44/12</f>
        <v>15.262170506223104</v>
      </c>
      <c r="DH76" s="21">
        <f>EXP(-LN(2)/2)*DH75+(1-EXP(-LN(2)/2))/(LN(2)/2)*DB76*DE76*VLOOKUP('Données projet'!$B$13,Paramètres!$A$1:$I$89,3,0)*0.475*44/12</f>
        <v>1.274732769794964</v>
      </c>
      <c r="DI76" s="22">
        <f t="shared" si="69"/>
        <v>27.70552769131762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5.6843418860808015E-14</v>
      </c>
      <c r="DP76" s="17">
        <f>DO76*VLOOKUP('Données projet'!$B$14,Paramètres!$A$1:$I$89,3,0)*VLOOKUP('Données projet'!$B$14,Paramètres!$A$1:$I$89,5,0)</f>
        <v>4.4337866711430253E-14</v>
      </c>
      <c r="DQ76" s="13">
        <f t="shared" si="97"/>
        <v>7.3222115536967035E-13</v>
      </c>
      <c r="DR76" s="20">
        <f t="shared" si="70"/>
        <v>1.3525069634579169E-12</v>
      </c>
      <c r="DS76" s="59">
        <f t="shared" si="71"/>
        <v>293.33333333333468</v>
      </c>
      <c r="DT76" s="59">
        <f ca="1">AVERAGE(OFFSET($DS$3,0,0,'Données projet'!$E$14+1,1))-AVERAGE(OFFSET($H$3,0,0,'Données projet'!$E$14+1,1))</f>
        <v>288.82868507674738</v>
      </c>
      <c r="DU76" s="59">
        <f t="shared" si="98"/>
        <v>283.48738729114024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39.723790844016641</v>
      </c>
      <c r="EB76" s="21">
        <f>EXP(-LN(2)/25)*EB75+(1-EXP(-LN(2)/25))/(LN(2)/25)*Calculateur!DW76*Calculateur!DY76*VLOOKUP('Données projet'!$B$14,Paramètres!$A$1:$I$89,3,0)*0.475*44/12</f>
        <v>37.891049200749926</v>
      </c>
      <c r="EC76" s="21">
        <f>EXP(-LN(2)/2)*EC75+(1-EXP(-LN(2)/2))/(LN(2)/2)*DW76*DZ76*VLOOKUP('Données projet'!$B$14,Paramètres!$A$1:$I$89,3,0)*0.475*44/12</f>
        <v>15.189005413320849</v>
      </c>
      <c r="ED76" s="22">
        <f t="shared" si="72"/>
        <v>92.803845458087409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6.7437500000000021</v>
      </c>
      <c r="EJ76" s="12">
        <f>IF('Données projet'!$A$192&gt;35,EJ75+EI76-ER75,IF(A76&lt;'Données projet'!$A$192,$EG$205^A76,IF(A76='Données projet'!$A$192,'Données projet'!$B$192,EJ75+EI76-ER75)))</f>
        <v>175.54500000000002</v>
      </c>
      <c r="EK76" s="17">
        <f>EJ76*VLOOKUP('Données projet'!$B$15,Paramètres!$A$1:$I$89,3,0)*VLOOKUP('Données projet'!$B$15,Paramètres!$A$1:$I$89,5,0)</f>
        <v>169.78712400000001</v>
      </c>
      <c r="EL76" s="13">
        <f t="shared" si="99"/>
        <v>43.042342966500492</v>
      </c>
      <c r="EM76" s="20">
        <f t="shared" si="73"/>
        <v>370.67798829998833</v>
      </c>
      <c r="EN76" s="59">
        <f t="shared" si="74"/>
        <v>664.01132163332159</v>
      </c>
      <c r="EO76" s="59">
        <f ca="1">AVERAGE(OFFSET($EN$3,0,0,'Données projet'!$E$15+1,1))-AVERAGE(OFFSET($H$3,0,0,'Données projet'!$E$15+1,1))</f>
        <v>510.71380643466227</v>
      </c>
      <c r="EP76" s="59">
        <f t="shared" si="100"/>
        <v>252.40654099948841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10.144225865633375</v>
      </c>
      <c r="EX76" s="21">
        <f>EXP(-LN(2)/2)*EX75+(1-EXP(-LN(2)/2))/(LN(2)/2)*ER76*EU76*VLOOKUP('Données projet'!$B$15,Paramètres!$A$1:$I$89,3,0)*0.475*44/12</f>
        <v>2.5917495123310914</v>
      </c>
      <c r="EY76" s="22">
        <f t="shared" si="75"/>
        <v>12.735975377964467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6.8810000000000002</v>
      </c>
      <c r="N77" s="13">
        <f>IF('Données projet'!$A$36&gt;35,N76+M77-V76,IF(A77&lt;'Données projet'!$A$36,$K$205^A77,IF(A77='Données projet'!$A$36,'Données projet'!$B$36,N76+M77-V76)))</f>
        <v>171.23100000000017</v>
      </c>
      <c r="O77" s="13">
        <f>N77*VLOOKUP('Données projet'!$B$9,Paramètres!$A$1:$I$89,3,0)*VLOOKUP('Données projet'!$B$9,Paramètres!$A$1:$I$89,5,0)</f>
        <v>173.62823400000019</v>
      </c>
      <c r="P77" s="13">
        <f t="shared" si="87"/>
        <v>43.901625868266201</v>
      </c>
      <c r="Q77" s="20">
        <f t="shared" si="54"/>
        <v>378.8645059372306</v>
      </c>
      <c r="R77" s="59">
        <f t="shared" si="55"/>
        <v>672.19783927056392</v>
      </c>
      <c r="S77" s="59">
        <f ca="1">AVERAGE(OFFSET($R$3,0,0,'Données projet'!$E$9+1,1))-AVERAGE(OFFSET($H$3,0,0,'Données projet'!$E$9+1,1))</f>
        <v>543.67050511722618</v>
      </c>
      <c r="T77" s="59">
        <f t="shared" si="88"/>
        <v>249.0871389941106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42.048265133097594</v>
      </c>
      <c r="AB77" s="21">
        <f>EXP(-LN(2)/2)*AB76+(1-EXP(-LN(2)/2))/(LN(2)/2)*V77*Y77*VLOOKUP('Données projet'!$B$9,Paramètres!$A$1:$I$89,3,0)*0.475*44/12</f>
        <v>5.1508160924542601</v>
      </c>
      <c r="AC77" s="22">
        <f t="shared" si="57"/>
        <v>47.199081225551851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9.733749999999997</v>
      </c>
      <c r="AH77" s="12">
        <f t="array" ref="AH77">INDEX(AG:AG,MIN(IF(ISNUMBER(AG77:AG273),ROW(AG77:AG273),"")))</f>
        <v>9.733749999999997</v>
      </c>
      <c r="AI77" s="13">
        <f>IF('Données projet'!$A$62&gt;35,AI76+AH77-AQ76,IF(A77&lt;'Données projet'!$A$62,$AF$205^A77,IF(A77='Données projet'!$A$62,'Données projet'!$B$62,AI76+AH77-AQ76)))</f>
        <v>310.96000000000026</v>
      </c>
      <c r="AJ77" s="13">
        <f>AI77*VLOOKUP('Données projet'!$B$10,Paramètres!$A$1:$I$89,3,0)*VLOOKUP('Données projet'!$B$10,Paramètres!$A$1:$I$89,5,0)</f>
        <v>281.35660800000022</v>
      </c>
      <c r="AK77" s="13">
        <f t="shared" si="89"/>
        <v>67.253618453644265</v>
      </c>
      <c r="AL77" s="20">
        <f t="shared" si="58"/>
        <v>607.16281107343082</v>
      </c>
      <c r="AM77" s="59">
        <f t="shared" si="59"/>
        <v>900.49614440676419</v>
      </c>
      <c r="AN77" s="59">
        <f ca="1">AVERAGE(OFFSET($AM$3,0,0,'Données projet'!$E$10+1,1))-AVERAGE(OFFSET($H$3,0,0,'Données projet'!$E$10+1,1))</f>
        <v>635.71275911100679</v>
      </c>
      <c r="AO77" s="59">
        <f t="shared" si="90"/>
        <v>281.7776857269169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51.339999999999975</v>
      </c>
      <c r="AR77" s="16">
        <f>IF(ISNA(VLOOKUP(A77,'Données projet'!$A$61:$I$81,5,0)),0%,VLOOKUP(A77,'Données projet'!$A$61:$I$81,5,0)*VLOOKUP('Données projet'!$B$10,Paramètres!$A$1:$I$89,7,0))</f>
        <v>0.15049999999999999</v>
      </c>
      <c r="AS77" s="16">
        <f>IF(ISNA(VLOOKUP(A77,'Données projet'!$A$61:$I$81,6,0)),0%,VLOOKUP(A77,'Données projet'!$A$61:$I$81,6,0)*VLOOKUP('Données projet'!$B$10,Paramètres!$A$1:$I$89,7,0))</f>
        <v>8.6000000000000007E-2</v>
      </c>
      <c r="AT77" s="16">
        <f>IF(ISNA(VLOOKUP(A77,'Données projet'!$A$61:$I$81,7,0)),0%,VLOOKUP(A77,'Données projet'!$A$61:$I$81,7,0))</f>
        <v>0.1</v>
      </c>
      <c r="AU77" s="21">
        <f>EXP(-LN(2)/35)*AU76+(1-EXP(-LN(2)/35))/(LN(2)/35)*AQ77*AR77*VLOOKUP('Données projet'!$B$10,Paramètres!$A$1:$I$89,3,0)*0.475*44/12</f>
        <v>14.625152268757301</v>
      </c>
      <c r="AV77" s="21">
        <f>EXP(-LN(2)/25)*AV76+(1-EXP(-LN(2)/25))/(LN(2)/25)*Calculateur!AQ77*Calculateur!AS77*VLOOKUP('Données projet'!$B$10,Paramètres!$A$1:$I$89,3,0)*0.475*44/12</f>
        <v>31.489340968528012</v>
      </c>
      <c r="AW77" s="21">
        <f>EXP(-LN(2)/2)*AW76+(1-EXP(-LN(2)/2))/(LN(2)/2)*AQ77*AT77*VLOOKUP('Données projet'!$B$10,Paramètres!$A$1:$I$89,3,0)*0.475*44/12</f>
        <v>4.7028840054751821</v>
      </c>
      <c r="AX77" s="21">
        <f t="shared" si="60"/>
        <v>50.8173772427605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2.1794871794871766</v>
      </c>
      <c r="BD77" s="12">
        <f>IF('Données projet'!$A$88&gt;35,BD76+BC77-BL76,IF(A77&lt;'Données projet'!$A$88,$BA$205^A77,IF(A77='Données projet'!$A$88,'Données projet'!$B$88,BD76+BC77-BL76)))</f>
        <v>128.58974358974353</v>
      </c>
      <c r="BE77" s="13">
        <f>BD77*VLOOKUP('Données projet'!$B$11,Paramètres!$A$1:$I$89,3,0)*VLOOKUP('Données projet'!$B$11,Paramètres!$A$1:$I$89,5,0)</f>
        <v>112.33599999999997</v>
      </c>
      <c r="BF77" s="13">
        <f t="shared" si="91"/>
        <v>29.880689463445172</v>
      </c>
      <c r="BG77" s="20">
        <f t="shared" si="61"/>
        <v>247.69406748216693</v>
      </c>
      <c r="BH77" s="59">
        <f t="shared" si="62"/>
        <v>541.02740081550019</v>
      </c>
      <c r="BI77" s="59">
        <f ca="1">AVERAGE(OFFSET($BH$3,0,0,'Données projet'!$E$11+1,1))-AVERAGE(OFFSET($H$3,0,0,'Données projet'!$E$11+1,1))</f>
        <v>204.11804238362862</v>
      </c>
      <c r="BJ77" s="59">
        <f t="shared" si="92"/>
        <v>185.53854651509408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0.67840120931611037</v>
      </c>
      <c r="BQ77" s="21">
        <f>EXP(-LN(2)/25)*BQ76+(1-EXP(-LN(2)/25))/(LN(2)/25)*Calculateur!BL77*Calculateur!BN77*VLOOKUP('Données projet'!$B$11,Paramètres!$A$1:$I$89,3,0)*0.475*44/12</f>
        <v>12.557060288822205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13.235461498138315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6.8810000000000002</v>
      </c>
      <c r="BY77" s="12">
        <f>IF('Données projet'!$A$114&gt;35,BY76+BX77-CG76,IF(A77&lt;'Données projet'!$A$114,$BV$205^A77,IF(A77='Données projet'!$A$114,'Données projet'!$B$114,BY76+BX77-CG76)))</f>
        <v>171.23100000000017</v>
      </c>
      <c r="BZ77" s="13">
        <f>BY77*VLOOKUP('Données projet'!$B$12,Paramètres!$A$1:$I$89,3,0)*VLOOKUP('Données projet'!$B$12,Paramètres!$A$1:$I$89,5,0)</f>
        <v>170.95703040000018</v>
      </c>
      <c r="CA77" s="13">
        <f t="shared" si="93"/>
        <v>43.304296477566751</v>
      </c>
      <c r="CB77" s="20">
        <f t="shared" si="64"/>
        <v>373.17181097842905</v>
      </c>
      <c r="CC77" s="59">
        <f t="shared" si="65"/>
        <v>666.50514431176236</v>
      </c>
      <c r="CD77" s="59">
        <f ca="1">AVERAGE(OFFSET($CC$3,0,0,'Données projet'!$E$12+1,1))-AVERAGE(OFFSET($H$3,0,0,'Données projet'!$E$12+1,1))</f>
        <v>535.99935263833549</v>
      </c>
      <c r="CE77" s="59">
        <f t="shared" si="94"/>
        <v>245.89966477332644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12.9379277332608</v>
      </c>
      <c r="CM77" s="21">
        <f>EXP(-LN(2)/2)*CM76+(1-EXP(-LN(2)/2))/(LN(2)/2)*CG77*CJ77*VLOOKUP('Données projet'!$B$12,Paramètres!$A$1:$I$89,3,0)*0.475*44/12</f>
        <v>6.3394659599437029</v>
      </c>
      <c r="CN77" s="22">
        <f t="shared" si="66"/>
        <v>19.277393693204502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9.65625</v>
      </c>
      <c r="CT77" s="12">
        <f>IF('Données projet'!$A$140&gt;35,CT76+CS77-DB76,IF(A77&lt;'Données projet'!$A$140,$CQ$205^A77,IF(A77='Données projet'!$A$140,'Données projet'!$B$140,CT76+CS77-DB76)))</f>
        <v>264.10374999999999</v>
      </c>
      <c r="CU77" s="17">
        <f>CT77*VLOOKUP('Données projet'!$B$13,Paramètres!$A$1:$I$89,3,0)*VLOOKUP('Données projet'!$B$13,Paramètres!$A$1:$I$89,5,0)</f>
        <v>251.32112849999999</v>
      </c>
      <c r="CV77" s="13">
        <f t="shared" si="95"/>
        <v>60.868753799109797</v>
      </c>
      <c r="CW77" s="20">
        <f t="shared" si="67"/>
        <v>543.73071167094952</v>
      </c>
      <c r="CX77" s="59">
        <f t="shared" si="68"/>
        <v>837.06404500428289</v>
      </c>
      <c r="CY77" s="59">
        <f ca="1">AVERAGE(OFFSET($CX$3,0,0,'Données projet'!$E$13+1,1))-AVERAGE(OFFSET($H$3,0,0,'Données projet'!$E$13+1,1))</f>
        <v>449.28947235329758</v>
      </c>
      <c r="CZ77" s="59">
        <f t="shared" si="96"/>
        <v>289.36994109443964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10.949614502703771</v>
      </c>
      <c r="DG77" s="21">
        <f>EXP(-LN(2)/25)*DG76+(1-EXP(-LN(2)/25))/(LN(2)/25)*Calculateur!DB77*Calculateur!DD77*VLOOKUP('Données projet'!$B$13,Paramètres!$A$1:$I$89,3,0)*0.475*44/12</f>
        <v>14.844825651127769</v>
      </c>
      <c r="DH77" s="21">
        <f>EXP(-LN(2)/2)*DH76+(1-EXP(-LN(2)/2))/(LN(2)/2)*DB77*DE77*VLOOKUP('Données projet'!$B$13,Paramètres!$A$1:$I$89,3,0)*0.475*44/12</f>
        <v>0.90137218572272926</v>
      </c>
      <c r="DI77" s="22">
        <f t="shared" si="69"/>
        <v>26.695812339554266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5.6843418860808015E-14</v>
      </c>
      <c r="DP77" s="17">
        <f>DO77*VLOOKUP('Données projet'!$B$14,Paramètres!$A$1:$I$89,3,0)*VLOOKUP('Données projet'!$B$14,Paramètres!$A$1:$I$89,5,0)</f>
        <v>4.4337866711430253E-14</v>
      </c>
      <c r="DQ77" s="13">
        <f t="shared" si="97"/>
        <v>7.3222115536967035E-13</v>
      </c>
      <c r="DR77" s="20">
        <f t="shared" si="70"/>
        <v>1.3525069634579169E-12</v>
      </c>
      <c r="DS77" s="59">
        <f t="shared" si="71"/>
        <v>293.33333333333468</v>
      </c>
      <c r="DT77" s="59">
        <f ca="1">AVERAGE(OFFSET($DS$3,0,0,'Données projet'!$E$14+1,1))-AVERAGE(OFFSET($H$3,0,0,'Données projet'!$E$14+1,1))</f>
        <v>288.82868507674738</v>
      </c>
      <c r="DU77" s="59">
        <f t="shared" si="98"/>
        <v>283.48738729114024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38.944831534685463</v>
      </c>
      <c r="EB77" s="21">
        <f>EXP(-LN(2)/25)*EB76+(1-EXP(-LN(2)/25))/(LN(2)/25)*Calculateur!DW77*Calculateur!DY77*VLOOKUP('Données projet'!$B$14,Paramètres!$A$1:$I$89,3,0)*0.475*44/12</f>
        <v>36.854916467751742</v>
      </c>
      <c r="EC77" s="21">
        <f>EXP(-LN(2)/2)*EC76+(1-EXP(-LN(2)/2))/(LN(2)/2)*DW77*DZ77*VLOOKUP('Données projet'!$B$14,Paramètres!$A$1:$I$89,3,0)*0.475*44/12</f>
        <v>10.740248727238352</v>
      </c>
      <c r="ED77" s="22">
        <f t="shared" si="72"/>
        <v>86.539996729675565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6.7437500000000021</v>
      </c>
      <c r="EJ77" s="12">
        <f>IF('Données projet'!$A$192&gt;35,EJ76+EI77-ER76,IF(A77&lt;'Données projet'!$A$192,$EG$205^A77,IF(A77='Données projet'!$A$192,'Données projet'!$B$192,EJ76+EI77-ER76)))</f>
        <v>182.28875000000002</v>
      </c>
      <c r="EK77" s="17">
        <f>EJ77*VLOOKUP('Données projet'!$B$15,Paramètres!$A$1:$I$89,3,0)*VLOOKUP('Données projet'!$B$15,Paramètres!$A$1:$I$89,5,0)</f>
        <v>176.30967900000002</v>
      </c>
      <c r="EL77" s="13">
        <f t="shared" si="99"/>
        <v>44.500170523659108</v>
      </c>
      <c r="EM77" s="20">
        <f t="shared" si="73"/>
        <v>384.57715458703962</v>
      </c>
      <c r="EN77" s="59">
        <f t="shared" si="74"/>
        <v>677.91048792037293</v>
      </c>
      <c r="EO77" s="59">
        <f ca="1">AVERAGE(OFFSET($EN$3,0,0,'Données projet'!$E$15+1,1))-AVERAGE(OFFSET($H$3,0,0,'Données projet'!$E$15+1,1))</f>
        <v>510.71380643466227</v>
      </c>
      <c r="EP77" s="59">
        <f t="shared" si="100"/>
        <v>252.40654099948841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9.8668314758759781</v>
      </c>
      <c r="EX77" s="21">
        <f>EXP(-LN(2)/2)*EX76+(1-EXP(-LN(2)/2))/(LN(2)/2)*ER77*EU77*VLOOKUP('Données projet'!$B$15,Paramètres!$A$1:$I$89,3,0)*0.475*44/12</f>
        <v>1.8326436553062424</v>
      </c>
      <c r="EY77" s="22">
        <f t="shared" si="75"/>
        <v>11.69947513118222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6.8810000000000002</v>
      </c>
      <c r="N78" s="13">
        <f>IF('Données projet'!$A$36&gt;35,N77+M78-V77,IF(A78&lt;'Données projet'!$A$36,$K$205^A78,IF(A78='Données projet'!$A$36,'Données projet'!$B$36,N77+M78-V77)))</f>
        <v>178.11200000000017</v>
      </c>
      <c r="O78" s="13">
        <f>N78*VLOOKUP('Données projet'!$B$9,Paramètres!$A$1:$I$89,3,0)*VLOOKUP('Données projet'!$B$9,Paramètres!$A$1:$I$89,5,0)</f>
        <v>180.60556800000018</v>
      </c>
      <c r="P78" s="13">
        <f t="shared" si="87"/>
        <v>45.456887542871961</v>
      </c>
      <c r="Q78" s="20">
        <f t="shared" si="54"/>
        <v>393.72544340383564</v>
      </c>
      <c r="R78" s="59">
        <f t="shared" si="55"/>
        <v>687.05877673716896</v>
      </c>
      <c r="S78" s="59">
        <f ca="1">AVERAGE(OFFSET($R$3,0,0,'Données projet'!$E$9+1,1))-AVERAGE(OFFSET($H$3,0,0,'Données projet'!$E$9+1,1))</f>
        <v>543.67050511722618</v>
      </c>
      <c r="T78" s="59">
        <f t="shared" si="88"/>
        <v>249.0871389941106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40.898453111810881</v>
      </c>
      <c r="AB78" s="21">
        <f>EXP(-LN(2)/2)*AB77+(1-EXP(-LN(2)/2))/(LN(2)/2)*V78*Y78*VLOOKUP('Données projet'!$B$9,Paramètres!$A$1:$I$89,3,0)*0.475*44/12</f>
        <v>3.6421769876192025</v>
      </c>
      <c r="AC78" s="22">
        <f t="shared" si="57"/>
        <v>44.540630099430082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9.546999999999997</v>
      </c>
      <c r="AI78" s="13">
        <f>IF('Données projet'!$A$62&gt;35,AI77+AH78-AQ77,IF(A78&lt;'Données projet'!$A$62,$AF$205^A78,IF(A78='Données projet'!$A$62,'Données projet'!$B$62,AI77+AH78-AQ77)))</f>
        <v>269.16700000000031</v>
      </c>
      <c r="AJ78" s="13">
        <f>AI78*VLOOKUP('Données projet'!$B$10,Paramètres!$A$1:$I$89,3,0)*VLOOKUP('Données projet'!$B$10,Paramètres!$A$1:$I$89,5,0)</f>
        <v>243.54230160000029</v>
      </c>
      <c r="AK78" s="13">
        <f t="shared" si="89"/>
        <v>59.201022808040776</v>
      </c>
      <c r="AL78" s="20">
        <f t="shared" si="58"/>
        <v>527.27795667733812</v>
      </c>
      <c r="AM78" s="59">
        <f t="shared" si="59"/>
        <v>820.61129001067138</v>
      </c>
      <c r="AN78" s="59">
        <f ca="1">AVERAGE(OFFSET($AM$3,0,0,'Données projet'!$E$10+1,1))-AVERAGE(OFFSET($H$3,0,0,'Données projet'!$E$10+1,1))</f>
        <v>635.71275911100679</v>
      </c>
      <c r="AO78" s="59">
        <f t="shared" si="90"/>
        <v>281.7776857269169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14.338361953229031</v>
      </c>
      <c r="AV78" s="21">
        <f>EXP(-LN(2)/25)*AV77+(1-EXP(-LN(2)/25))/(LN(2)/25)*Calculateur!AQ78*Calculateur!AS78*VLOOKUP('Données projet'!$B$10,Paramètres!$A$1:$I$89,3,0)*0.475*44/12</f>
        <v>30.628263283791142</v>
      </c>
      <c r="AW78" s="21">
        <f>EXP(-LN(2)/2)*AW77+(1-EXP(-LN(2)/2))/(LN(2)/2)*AQ78*AT78*VLOOKUP('Données projet'!$B$10,Paramètres!$A$1:$I$89,3,0)*0.475*44/12</f>
        <v>3.3254411714052541</v>
      </c>
      <c r="AX78" s="21">
        <f t="shared" si="60"/>
        <v>48.292066408425427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130.76923076923075</v>
      </c>
      <c r="BB78" s="12">
        <f>VLOOKUP(A78,'Données projet'!$A$87:$I$107,9,0)</f>
        <v>2.1794871794871766</v>
      </c>
      <c r="BC78" s="12">
        <f t="array" ref="BC78">INDEX(BB:BB,MIN(IF(ISNUMBER(BB78:BB274),ROW(BB78:BB274),"")))</f>
        <v>2.1794871794871766</v>
      </c>
      <c r="BD78" s="12">
        <f>IF('Données projet'!$A$88&gt;35,BD77+BC78-BL77,IF(A78&lt;'Données projet'!$A$88,$BA$205^A78,IF(A78='Données projet'!$A$88,'Données projet'!$B$88,BD77+BC78-BL77)))</f>
        <v>130.76923076923072</v>
      </c>
      <c r="BE78" s="13">
        <f>BD78*VLOOKUP('Données projet'!$B$11,Paramètres!$A$1:$I$89,3,0)*VLOOKUP('Données projet'!$B$11,Paramètres!$A$1:$I$89,5,0)</f>
        <v>114.23999999999998</v>
      </c>
      <c r="BF78" s="13">
        <f t="shared" si="91"/>
        <v>30.327752098158388</v>
      </c>
      <c r="BG78" s="20">
        <f t="shared" si="61"/>
        <v>251.78883490429246</v>
      </c>
      <c r="BH78" s="59">
        <f t="shared" si="62"/>
        <v>545.12216823762583</v>
      </c>
      <c r="BI78" s="59">
        <f ca="1">AVERAGE(OFFSET($BH$3,0,0,'Données projet'!$E$11+1,1))-AVERAGE(OFFSET($H$3,0,0,'Données projet'!$E$11+1,1))</f>
        <v>204.11804238362862</v>
      </c>
      <c r="BJ78" s="59">
        <f t="shared" si="92"/>
        <v>185.53854651509408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7.6923076923076916</v>
      </c>
      <c r="BM78" s="16">
        <f>IF(ISNA(VLOOKUP(A78,'Données projet'!$A$87:$I$107,5,0)),0%,VLOOKUP(A78,'Données projet'!$A$87:$I$107,5,0)*VLOOKUP('Données projet'!$B$11,Paramètres!$A$1:$I$89,7,0))</f>
        <v>4.3000000000000003E-2</v>
      </c>
      <c r="BN78" s="16">
        <f>IF(ISNA(VLOOKUP(A78,'Données projet'!$A$87:$I$107,6,0)),0%,VLOOKUP(A78,'Données projet'!$A$87:$I$107,6,0)*VLOOKUP('Données projet'!$B$11,Paramètres!$A$1:$I$89,7,0))</f>
        <v>0.215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0.98453489625514257</v>
      </c>
      <c r="BQ78" s="21">
        <f>EXP(-LN(2)/25)*BQ77+(1-EXP(-LN(2)/25))/(LN(2)/25)*Calculateur!BL78*Calculateur!BN78*VLOOKUP('Données projet'!$B$11,Paramètres!$A$1:$I$89,3,0)*0.475*44/12</f>
        <v>13.804581698801481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14.789116595056624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6.8810000000000002</v>
      </c>
      <c r="BY78" s="12">
        <f>IF('Données projet'!$A$114&gt;35,BY77+BX78-CG77,IF(A78&lt;'Données projet'!$A$114,$BV$205^A78,IF(A78='Données projet'!$A$114,'Données projet'!$B$114,BY77+BX78-CG77)))</f>
        <v>178.11200000000017</v>
      </c>
      <c r="BZ78" s="13">
        <f>BY78*VLOOKUP('Données projet'!$B$12,Paramètres!$A$1:$I$89,3,0)*VLOOKUP('Données projet'!$B$12,Paramètres!$A$1:$I$89,5,0)</f>
        <v>177.82702080000016</v>
      </c>
      <c r="CA78" s="13">
        <f t="shared" si="93"/>
        <v>44.838397124759581</v>
      </c>
      <c r="CB78" s="20">
        <f t="shared" si="64"/>
        <v>387.80893621895649</v>
      </c>
      <c r="CC78" s="59">
        <f t="shared" si="65"/>
        <v>681.1422695522898</v>
      </c>
      <c r="CD78" s="59">
        <f ca="1">AVERAGE(OFFSET($CC$3,0,0,'Données projet'!$E$12+1,1))-AVERAGE(OFFSET($H$3,0,0,'Données projet'!$E$12+1,1))</f>
        <v>535.99935263833549</v>
      </c>
      <c r="CE78" s="59">
        <f t="shared" si="94"/>
        <v>245.89966477332644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12.584139419018733</v>
      </c>
      <c r="CM78" s="21">
        <f>EXP(-LN(2)/2)*CM77+(1-EXP(-LN(2)/2))/(LN(2)/2)*CG78*CJ78*VLOOKUP('Données projet'!$B$12,Paramètres!$A$1:$I$89,3,0)*0.475*44/12</f>
        <v>4.4826793693774789</v>
      </c>
      <c r="CN78" s="22">
        <f t="shared" si="66"/>
        <v>17.066818788396212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273.76</v>
      </c>
      <c r="CR78" s="12">
        <f>VLOOKUP(A78,'Données projet'!$A$139:$I$159,9,0)</f>
        <v>9.65625</v>
      </c>
      <c r="CS78" s="12">
        <f t="array" ref="CS78">INDEX(CR:CR,MIN(IF(ISNUMBER(CR78:CR274),ROW(CR78:CR274),"")))</f>
        <v>9.65625</v>
      </c>
      <c r="CT78" s="12">
        <f>IF('Données projet'!$A$140&gt;35,CT77+CS78-DB77,IF(A78&lt;'Données projet'!$A$140,$CQ$205^A78,IF(A78='Données projet'!$A$140,'Données projet'!$B$140,CT77+CS78-DB77)))</f>
        <v>273.76</v>
      </c>
      <c r="CU78" s="17">
        <f>CT78*VLOOKUP('Données projet'!$B$13,Paramètres!$A$1:$I$89,3,0)*VLOOKUP('Données projet'!$B$13,Paramètres!$A$1:$I$89,5,0)</f>
        <v>260.51001600000001</v>
      </c>
      <c r="CV78" s="13">
        <f t="shared" si="95"/>
        <v>62.831080354761788</v>
      </c>
      <c r="CW78" s="20">
        <f t="shared" si="67"/>
        <v>563.15240948454345</v>
      </c>
      <c r="CX78" s="59">
        <f t="shared" si="68"/>
        <v>856.48574281787683</v>
      </c>
      <c r="CY78" s="59">
        <f ca="1">AVERAGE(OFFSET($CX$3,0,0,'Données projet'!$E$13+1,1))-AVERAGE(OFFSET($H$3,0,0,'Données projet'!$E$13+1,1))</f>
        <v>449.28947235329758</v>
      </c>
      <c r="CZ78" s="59">
        <f t="shared" si="96"/>
        <v>289.36994109443964</v>
      </c>
      <c r="DA78" s="15">
        <f>IF(ISNA(VLOOKUP(A78,'Données projet'!$A$139:$I$159,3,0)),0,VLOOKUP(A78,'Données projet'!$A$139:$I$159,3,0))</f>
        <v>6</v>
      </c>
      <c r="DB78" s="15">
        <f>IF(ISNA(VLOOKUP(A78,'Données projet'!$A$139:$I$159,4,0)),0,VLOOKUP(A78,'Données projet'!$A$139:$I$159,4,0))</f>
        <v>43.519999999999982</v>
      </c>
      <c r="DC78" s="16">
        <f>IF(ISNA(VLOOKUP(A78,'Données projet'!$A$139:$I$159,5,0)),0%,VLOOKUP(A78,'Données projet'!$A$139:$I$159,5,0)*VLOOKUP('Données projet'!$B$13,Paramètres!$A$1:$I$89,7,0))</f>
        <v>0.1075</v>
      </c>
      <c r="DD78" s="16">
        <f>IF(ISNA(VLOOKUP(A78,'Données projet'!$A$139:$I$159,6,0)),0%,VLOOKUP(A78,'Données projet'!$A$139:$I$159,6,0)*VLOOKUP('Données projet'!$B$13,Paramètres!$A$1:$I$89,7,0))</f>
        <v>0.1075</v>
      </c>
      <c r="DE78" s="16">
        <f>IF(ISNA(VLOOKUP(A78,'Données projet'!$A$139:$I$159,7,0)),0%,VLOOKUP(A78,'Données projet'!$A$139:$I$159,7,0))</f>
        <v>0.25</v>
      </c>
      <c r="DF78" s="21">
        <f>EXP(-LN(2)/35)*DF77+(1-EXP(-LN(2)/35))/(LN(2)/35)*DB78*DC78*VLOOKUP('Données projet'!$B$13,Paramètres!$A$1:$I$89,3,0)*0.475*44/12</f>
        <v>15.656415165535513</v>
      </c>
      <c r="DG78" s="21">
        <f>EXP(-LN(2)/25)*DG77+(1-EXP(-LN(2)/25))/(LN(2)/25)*Calculateur!DB78*Calculateur!DD78*VLOOKUP('Données projet'!$B$13,Paramètres!$A$1:$I$89,3,0)*0.475*44/12</f>
        <v>19.341031154226773</v>
      </c>
      <c r="DH78" s="21">
        <f>EXP(-LN(2)/2)*DH77+(1-EXP(-LN(2)/2))/(LN(2)/2)*DB78*DE78*VLOOKUP('Données projet'!$B$13,Paramètres!$A$1:$I$89,3,0)*0.475*44/12</f>
        <v>10.406085490788222</v>
      </c>
      <c r="DI78" s="22">
        <f t="shared" si="69"/>
        <v>45.403531810550511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5.6843418860808015E-14</v>
      </c>
      <c r="DP78" s="17">
        <f>DO78*VLOOKUP('Données projet'!$B$14,Paramètres!$A$1:$I$89,3,0)*VLOOKUP('Données projet'!$B$14,Paramètres!$A$1:$I$89,5,0)</f>
        <v>4.4337866711430253E-14</v>
      </c>
      <c r="DQ78" s="13">
        <f t="shared" si="97"/>
        <v>7.3222115536967035E-13</v>
      </c>
      <c r="DR78" s="20">
        <f t="shared" si="70"/>
        <v>1.3525069634579169E-12</v>
      </c>
      <c r="DS78" s="59">
        <f t="shared" si="71"/>
        <v>293.33333333333468</v>
      </c>
      <c r="DT78" s="59">
        <f ca="1">AVERAGE(OFFSET($DS$3,0,0,'Données projet'!$E$14+1,1))-AVERAGE(OFFSET($H$3,0,0,'Données projet'!$E$14+1,1))</f>
        <v>288.82868507674738</v>
      </c>
      <c r="DU78" s="59">
        <f t="shared" si="98"/>
        <v>283.48738729114024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38.181147142292005</v>
      </c>
      <c r="EB78" s="21">
        <f>EXP(-LN(2)/25)*EB77+(1-EXP(-LN(2)/25))/(LN(2)/25)*Calculateur!DW78*Calculateur!DY78*VLOOKUP('Données projet'!$B$14,Paramètres!$A$1:$I$89,3,0)*0.475*44/12</f>
        <v>35.847116838825244</v>
      </c>
      <c r="EC78" s="21">
        <f>EXP(-LN(2)/2)*EC77+(1-EXP(-LN(2)/2))/(LN(2)/2)*DW78*DZ78*VLOOKUP('Données projet'!$B$14,Paramètres!$A$1:$I$89,3,0)*0.475*44/12</f>
        <v>7.5945027066604256</v>
      </c>
      <c r="ED78" s="22">
        <f t="shared" si="72"/>
        <v>81.62276668777767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6.7437500000000021</v>
      </c>
      <c r="EJ78" s="12">
        <f>IF('Données projet'!$A$192&gt;35,EJ77+EI78-ER77,IF(A78&lt;'Données projet'!$A$192,$EG$205^A78,IF(A78='Données projet'!$A$192,'Données projet'!$B$192,EJ77+EI78-ER77)))</f>
        <v>189.03250000000003</v>
      </c>
      <c r="EK78" s="17">
        <f>EJ78*VLOOKUP('Données projet'!$B$15,Paramètres!$A$1:$I$89,3,0)*VLOOKUP('Données projet'!$B$15,Paramètres!$A$1:$I$89,5,0)</f>
        <v>182.83223400000003</v>
      </c>
      <c r="EL78" s="13">
        <f t="shared" si="99"/>
        <v>45.951732365807445</v>
      </c>
      <c r="EM78" s="20">
        <f t="shared" si="73"/>
        <v>398.46540808711467</v>
      </c>
      <c r="EN78" s="59">
        <f t="shared" si="74"/>
        <v>691.79874142044798</v>
      </c>
      <c r="EO78" s="59">
        <f ca="1">AVERAGE(OFFSET($EN$3,0,0,'Données projet'!$E$15+1,1))-AVERAGE(OFFSET($H$3,0,0,'Données projet'!$E$15+1,1))</f>
        <v>510.71380643466227</v>
      </c>
      <c r="EP78" s="59">
        <f t="shared" si="100"/>
        <v>252.40654099948841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9.5970224502940322</v>
      </c>
      <c r="EX78" s="21">
        <f>EXP(-LN(2)/2)*EX77+(1-EXP(-LN(2)/2))/(LN(2)/2)*ER78*EU78*VLOOKUP('Données projet'!$B$15,Paramètres!$A$1:$I$89,3,0)*0.475*44/12</f>
        <v>1.2958747561655459</v>
      </c>
      <c r="EY78" s="22">
        <f t="shared" si="75"/>
        <v>10.892897206459578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6.8810000000000002</v>
      </c>
      <c r="N79" s="13">
        <f>IF('Données projet'!$A$36&gt;35,N78+M79-V78,IF(A79&lt;'Données projet'!$A$36,$K$205^A79,IF(A79='Données projet'!$A$36,'Données projet'!$B$36,N78+M79-V78)))</f>
        <v>184.99300000000017</v>
      </c>
      <c r="O79" s="13">
        <f>N79*VLOOKUP('Données projet'!$B$9,Paramètres!$A$1:$I$89,3,0)*VLOOKUP('Données projet'!$B$9,Paramètres!$A$1:$I$89,5,0)</f>
        <v>187.58290200000016</v>
      </c>
      <c r="P79" s="13">
        <f t="shared" si="87"/>
        <v>47.005169259197217</v>
      </c>
      <c r="Q79" s="20">
        <f t="shared" si="54"/>
        <v>408.57422410976869</v>
      </c>
      <c r="R79" s="59">
        <f t="shared" si="55"/>
        <v>701.90755744310195</v>
      </c>
      <c r="S79" s="59">
        <f ca="1">AVERAGE(OFFSET($R$3,0,0,'Données projet'!$E$9+1,1))-AVERAGE(OFFSET($H$3,0,0,'Données projet'!$E$9+1,1))</f>
        <v>543.67050511722618</v>
      </c>
      <c r="T79" s="59">
        <f t="shared" si="88"/>
        <v>249.0871389941106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39.78008276071224</v>
      </c>
      <c r="AB79" s="21">
        <f>EXP(-LN(2)/2)*AB78+(1-EXP(-LN(2)/2))/(LN(2)/2)*V79*Y79*VLOOKUP('Données projet'!$B$9,Paramètres!$A$1:$I$89,3,0)*0.475*44/12</f>
        <v>2.5754080462271305</v>
      </c>
      <c r="AC79" s="22">
        <f t="shared" si="57"/>
        <v>42.355490806939372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9.546999999999997</v>
      </c>
      <c r="AI79" s="13">
        <f>IF('Données projet'!$A$62&gt;35,AI78+AH79-AQ78,IF(A79&lt;'Données projet'!$A$62,$AF$205^A79,IF(A79='Données projet'!$A$62,'Données projet'!$B$62,AI78+AH79-AQ78)))</f>
        <v>278.71400000000028</v>
      </c>
      <c r="AJ79" s="13">
        <f>AI79*VLOOKUP('Données projet'!$B$10,Paramètres!$A$1:$I$89,3,0)*VLOOKUP('Données projet'!$B$10,Paramètres!$A$1:$I$89,5,0)</f>
        <v>252.18042720000025</v>
      </c>
      <c r="AK79" s="13">
        <f t="shared" si="89"/>
        <v>61.052610283141384</v>
      </c>
      <c r="AL79" s="20">
        <f t="shared" si="58"/>
        <v>545.54754028313835</v>
      </c>
      <c r="AM79" s="59">
        <f t="shared" si="59"/>
        <v>838.88087361647172</v>
      </c>
      <c r="AN79" s="59">
        <f ca="1">AVERAGE(OFFSET($AM$3,0,0,'Données projet'!$E$10+1,1))-AVERAGE(OFFSET($H$3,0,0,'Données projet'!$E$10+1,1))</f>
        <v>635.71275911100679</v>
      </c>
      <c r="AO79" s="59">
        <f t="shared" si="90"/>
        <v>281.7776857269169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14.057195420863451</v>
      </c>
      <c r="AV79" s="21">
        <f>EXP(-LN(2)/25)*AV78+(1-EXP(-LN(2)/25))/(LN(2)/25)*Calculateur!AQ79*Calculateur!AS79*VLOOKUP('Données projet'!$B$10,Paramètres!$A$1:$I$89,3,0)*0.475*44/12</f>
        <v>29.790731813625509</v>
      </c>
      <c r="AW79" s="21">
        <f>EXP(-LN(2)/2)*AW78+(1-EXP(-LN(2)/2))/(LN(2)/2)*AQ79*AT79*VLOOKUP('Données projet'!$B$10,Paramètres!$A$1:$I$89,3,0)*0.475*44/12</f>
        <v>2.3514420027375915</v>
      </c>
      <c r="AX79" s="21">
        <f t="shared" si="60"/>
        <v>46.199369237226556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2.0512820512820582</v>
      </c>
      <c r="BD79" s="12">
        <f>IF('Données projet'!$A$88&gt;35,BD78+BC79-BL78,IF(A79&lt;'Données projet'!$A$88,$BA$205^A79,IF(A79='Données projet'!$A$88,'Données projet'!$B$88,BD78+BC79-BL78)))</f>
        <v>125.12820512820507</v>
      </c>
      <c r="BE79" s="13">
        <f>BD79*VLOOKUP('Données projet'!$B$11,Paramètres!$A$1:$I$89,3,0)*VLOOKUP('Données projet'!$B$11,Paramètres!$A$1:$I$89,5,0)</f>
        <v>109.31199999999997</v>
      </c>
      <c r="BF79" s="13">
        <f t="shared" si="91"/>
        <v>29.168827262472519</v>
      </c>
      <c r="BG79" s="20">
        <f t="shared" si="61"/>
        <v>241.18744081547288</v>
      </c>
      <c r="BH79" s="59">
        <f t="shared" si="62"/>
        <v>534.52077414880614</v>
      </c>
      <c r="BI79" s="59">
        <f ca="1">AVERAGE(OFFSET($BH$3,0,0,'Données projet'!$E$11+1,1))-AVERAGE(OFFSET($H$3,0,0,'Données projet'!$E$11+1,1))</f>
        <v>204.11804238362862</v>
      </c>
      <c r="BJ79" s="59">
        <f t="shared" si="92"/>
        <v>185.53854651509408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0.96522876744657082</v>
      </c>
      <c r="BQ79" s="21">
        <f>EXP(-LN(2)/25)*BQ78+(1-EXP(-LN(2)/25))/(LN(2)/25)*Calculateur!BL79*Calculateur!BN79*VLOOKUP('Données projet'!$B$11,Paramètres!$A$1:$I$89,3,0)*0.475*44/12</f>
        <v>13.427094686296353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14.392323453742923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6.8810000000000002</v>
      </c>
      <c r="BY79" s="12">
        <f>IF('Données projet'!$A$114&gt;35,BY78+BX79-CG78,IF(A79&lt;'Données projet'!$A$114,$BV$205^A79,IF(A79='Données projet'!$A$114,'Données projet'!$B$114,BY78+BX79-CG78)))</f>
        <v>184.99300000000017</v>
      </c>
      <c r="BZ79" s="13">
        <f>BY79*VLOOKUP('Données projet'!$B$12,Paramètres!$A$1:$I$89,3,0)*VLOOKUP('Données projet'!$B$12,Paramètres!$A$1:$I$89,5,0)</f>
        <v>184.69701120000016</v>
      </c>
      <c r="CA79" s="13">
        <f t="shared" si="93"/>
        <v>46.365612783599431</v>
      </c>
      <c r="CB79" s="20">
        <f t="shared" si="64"/>
        <v>402.43407010476926</v>
      </c>
      <c r="CC79" s="59">
        <f t="shared" si="65"/>
        <v>695.76740343810252</v>
      </c>
      <c r="CD79" s="59">
        <f ca="1">AVERAGE(OFFSET($CC$3,0,0,'Données projet'!$E$12+1,1))-AVERAGE(OFFSET($H$3,0,0,'Données projet'!$E$12+1,1))</f>
        <v>535.99935263833549</v>
      </c>
      <c r="CE79" s="59">
        <f t="shared" si="94"/>
        <v>245.89966477332644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12.240025464834535</v>
      </c>
      <c r="CM79" s="21">
        <f>EXP(-LN(2)/2)*CM78+(1-EXP(-LN(2)/2))/(LN(2)/2)*CG79*CJ79*VLOOKUP('Données projet'!$B$12,Paramètres!$A$1:$I$89,3,0)*0.475*44/12</f>
        <v>3.1697329799718519</v>
      </c>
      <c r="CN79" s="22">
        <f t="shared" si="66"/>
        <v>15.409758444806386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9.4837500000000006</v>
      </c>
      <c r="CT79" s="12">
        <f>IF('Données projet'!$A$140&gt;35,CT78+CS79-DB78,IF(A79&lt;'Données projet'!$A$140,$CQ$205^A79,IF(A79='Données projet'!$A$140,'Données projet'!$B$140,CT78+CS79-DB78)))</f>
        <v>239.72375</v>
      </c>
      <c r="CU79" s="17">
        <f>CT79*VLOOKUP('Données projet'!$B$13,Paramètres!$A$1:$I$89,3,0)*VLOOKUP('Données projet'!$B$13,Paramètres!$A$1:$I$89,5,0)</f>
        <v>228.12112049999999</v>
      </c>
      <c r="CV79" s="13">
        <f t="shared" si="95"/>
        <v>55.876230114888095</v>
      </c>
      <c r="CW79" s="20">
        <f t="shared" si="67"/>
        <v>494.62871898759676</v>
      </c>
      <c r="CX79" s="59">
        <f t="shared" si="68"/>
        <v>787.96205232093007</v>
      </c>
      <c r="CY79" s="59">
        <f ca="1">AVERAGE(OFFSET($CX$3,0,0,'Données projet'!$E$13+1,1))-AVERAGE(OFFSET($H$3,0,0,'Données projet'!$E$13+1,1))</f>
        <v>449.28947235329758</v>
      </c>
      <c r="CZ79" s="59">
        <f t="shared" si="96"/>
        <v>289.36994109443964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15.349402413609681</v>
      </c>
      <c r="DG79" s="21">
        <f>EXP(-LN(2)/25)*DG78+(1-EXP(-LN(2)/25))/(LN(2)/25)*Calculateur!DB79*Calculateur!DD79*VLOOKUP('Données projet'!$B$13,Paramètres!$A$1:$I$89,3,0)*0.475*44/12</f>
        <v>18.812149640213818</v>
      </c>
      <c r="DH79" s="21">
        <f>EXP(-LN(2)/2)*DH78+(1-EXP(-LN(2)/2))/(LN(2)/2)*DB79*DE79*VLOOKUP('Données projet'!$B$13,Paramètres!$A$1:$I$89,3,0)*0.475*44/12</f>
        <v>7.3582136161432947</v>
      </c>
      <c r="DI79" s="22">
        <f t="shared" si="69"/>
        <v>41.519765669966795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5.6843418860808015E-14</v>
      </c>
      <c r="DP79" s="17">
        <f>DO79*VLOOKUP('Données projet'!$B$14,Paramètres!$A$1:$I$89,3,0)*VLOOKUP('Données projet'!$B$14,Paramètres!$A$1:$I$89,5,0)</f>
        <v>4.4337866711430253E-14</v>
      </c>
      <c r="DQ79" s="13">
        <f t="shared" si="97"/>
        <v>7.3222115536967035E-13</v>
      </c>
      <c r="DR79" s="20">
        <f t="shared" si="70"/>
        <v>1.3525069634579169E-12</v>
      </c>
      <c r="DS79" s="59">
        <f t="shared" si="71"/>
        <v>293.33333333333468</v>
      </c>
      <c r="DT79" s="59">
        <f ca="1">AVERAGE(OFFSET($DS$3,0,0,'Données projet'!$E$14+1,1))-AVERAGE(OFFSET($H$3,0,0,'Données projet'!$E$14+1,1))</f>
        <v>288.82868507674738</v>
      </c>
      <c r="DU79" s="59">
        <f t="shared" si="98"/>
        <v>283.48738729114024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37.432438135031894</v>
      </c>
      <c r="EB79" s="21">
        <f>EXP(-LN(2)/25)*EB78+(1-EXP(-LN(2)/25))/(LN(2)/25)*Calculateur!DW79*Calculateur!DY79*VLOOKUP('Données projet'!$B$14,Paramètres!$A$1:$I$89,3,0)*0.475*44/12</f>
        <v>34.866875543749622</v>
      </c>
      <c r="EC79" s="21">
        <f>EXP(-LN(2)/2)*EC78+(1-EXP(-LN(2)/2))/(LN(2)/2)*DW79*DZ79*VLOOKUP('Données projet'!$B$14,Paramètres!$A$1:$I$89,3,0)*0.475*44/12</f>
        <v>5.3701243636191771</v>
      </c>
      <c r="ED79" s="22">
        <f t="shared" si="72"/>
        <v>77.669438042400699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6.7437500000000021</v>
      </c>
      <c r="EJ79" s="12">
        <f>IF('Données projet'!$A$192&gt;35,EJ78+EI79-ER78,IF(A79&lt;'Données projet'!$A$192,$EG$205^A79,IF(A79='Données projet'!$A$192,'Données projet'!$B$192,EJ78+EI79-ER78)))</f>
        <v>195.77625000000003</v>
      </c>
      <c r="EK79" s="17">
        <f>EJ79*VLOOKUP('Données projet'!$B$15,Paramètres!$A$1:$I$89,3,0)*VLOOKUP('Données projet'!$B$15,Paramètres!$A$1:$I$89,5,0)</f>
        <v>189.35478900000004</v>
      </c>
      <c r="EL79" s="13">
        <f t="shared" si="99"/>
        <v>47.39727763176937</v>
      </c>
      <c r="EM79" s="20">
        <f t="shared" si="73"/>
        <v>412.3431827169984</v>
      </c>
      <c r="EN79" s="59">
        <f t="shared" si="74"/>
        <v>705.67651605033166</v>
      </c>
      <c r="EO79" s="59">
        <f ca="1">AVERAGE(OFFSET($EN$3,0,0,'Données projet'!$E$15+1,1))-AVERAGE(OFFSET($H$3,0,0,'Données projet'!$E$15+1,1))</f>
        <v>510.71380643466227</v>
      </c>
      <c r="EP79" s="59">
        <f t="shared" si="100"/>
        <v>252.40654099948841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9.3345913667052649</v>
      </c>
      <c r="EX79" s="21">
        <f>EXP(-LN(2)/2)*EX78+(1-EXP(-LN(2)/2))/(LN(2)/2)*ER79*EU79*VLOOKUP('Données projet'!$B$15,Paramètres!$A$1:$I$89,3,0)*0.475*44/12</f>
        <v>0.91632182765312142</v>
      </c>
      <c r="EY79" s="22">
        <f t="shared" si="75"/>
        <v>10.250913194358386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6.8810000000000002</v>
      </c>
      <c r="N80" s="13">
        <f>IF('Données projet'!$A$36&gt;35,N79+M80-V79,IF(A80&lt;'Données projet'!$A$36,$K$205^A80,IF(A80='Données projet'!$A$36,'Données projet'!$B$36,N79+M80-V79)))</f>
        <v>191.87400000000017</v>
      </c>
      <c r="O80" s="13">
        <f>N80*VLOOKUP('Données projet'!$B$9,Paramètres!$A$1:$I$89,3,0)*VLOOKUP('Données projet'!$B$9,Paramètres!$A$1:$I$89,5,0)</f>
        <v>194.56023600000017</v>
      </c>
      <c r="P80" s="13">
        <f t="shared" si="87"/>
        <v>48.546760373537118</v>
      </c>
      <c r="Q80" s="20">
        <f t="shared" si="54"/>
        <v>423.4113520172441</v>
      </c>
      <c r="R80" s="59">
        <f t="shared" si="55"/>
        <v>716.74468535057736</v>
      </c>
      <c r="S80" s="59">
        <f ca="1">AVERAGE(OFFSET($R$3,0,0,'Données projet'!$E$9+1,1))-AVERAGE(OFFSET($H$3,0,0,'Données projet'!$E$9+1,1))</f>
        <v>543.67050511722618</v>
      </c>
      <c r="T80" s="59">
        <f t="shared" si="88"/>
        <v>249.0871389941106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38.692294305676931</v>
      </c>
      <c r="AB80" s="21">
        <f>EXP(-LN(2)/2)*AB79+(1-EXP(-LN(2)/2))/(LN(2)/2)*V80*Y80*VLOOKUP('Données projet'!$B$9,Paramètres!$A$1:$I$89,3,0)*0.475*44/12</f>
        <v>1.8210884938096015</v>
      </c>
      <c r="AC80" s="22">
        <f t="shared" si="57"/>
        <v>40.513382799486536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9.546999999999997</v>
      </c>
      <c r="AI80" s="13">
        <f>IF('Données projet'!$A$62&gt;35,AI79+AH80-AQ79,IF(A80&lt;'Données projet'!$A$62,$AF$205^A80,IF(A80='Données projet'!$A$62,'Données projet'!$B$62,AI79+AH80-AQ79)))</f>
        <v>288.26100000000031</v>
      </c>
      <c r="AJ80" s="13">
        <f>AI80*VLOOKUP('Données projet'!$B$10,Paramètres!$A$1:$I$89,3,0)*VLOOKUP('Données projet'!$B$10,Paramètres!$A$1:$I$89,5,0)</f>
        <v>260.8185528000003</v>
      </c>
      <c r="AK80" s="13">
        <f t="shared" si="89"/>
        <v>62.896828401660521</v>
      </c>
      <c r="AL80" s="20">
        <f t="shared" si="58"/>
        <v>563.80428892622592</v>
      </c>
      <c r="AM80" s="59">
        <f t="shared" si="59"/>
        <v>857.13762225955929</v>
      </c>
      <c r="AN80" s="59">
        <f ca="1">AVERAGE(OFFSET($AM$3,0,0,'Données projet'!$E$10+1,1))-AVERAGE(OFFSET($H$3,0,0,'Données projet'!$E$10+1,1))</f>
        <v>635.71275911100679</v>
      </c>
      <c r="AO80" s="59">
        <f t="shared" si="90"/>
        <v>281.7776857269169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13.781542392702908</v>
      </c>
      <c r="AV80" s="21">
        <f>EXP(-LN(2)/25)*AV79+(1-EXP(-LN(2)/25))/(LN(2)/25)*Calculateur!AQ80*Calculateur!AS80*VLOOKUP('Données projet'!$B$10,Paramètres!$A$1:$I$89,3,0)*0.475*44/12</f>
        <v>28.976102685555421</v>
      </c>
      <c r="AW80" s="21">
        <f>EXP(-LN(2)/2)*AW79+(1-EXP(-LN(2)/2))/(LN(2)/2)*AQ80*AT80*VLOOKUP('Données projet'!$B$10,Paramètres!$A$1:$I$89,3,0)*0.475*44/12</f>
        <v>1.6627205857026273</v>
      </c>
      <c r="AX80" s="21">
        <f t="shared" si="60"/>
        <v>44.420365663960958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2.0512820512820582</v>
      </c>
      <c r="BD80" s="12">
        <f>IF('Données projet'!$A$88&gt;35,BD79+BC80-BL79,IF(A80&lt;'Données projet'!$A$88,$BA$205^A80,IF(A80='Données projet'!$A$88,'Données projet'!$B$88,BD79+BC80-BL79)))</f>
        <v>127.17948717948713</v>
      </c>
      <c r="BE80" s="13">
        <f>BD80*VLOOKUP('Données projet'!$B$11,Paramètres!$A$1:$I$89,3,0)*VLOOKUP('Données projet'!$B$11,Paramètres!$A$1:$I$89,5,0)</f>
        <v>111.10399999999997</v>
      </c>
      <c r="BF80" s="13">
        <f t="shared" si="91"/>
        <v>29.590944212805727</v>
      </c>
      <c r="BG80" s="20">
        <f t="shared" si="61"/>
        <v>245.04369450396993</v>
      </c>
      <c r="BH80" s="59">
        <f t="shared" si="62"/>
        <v>538.37702783730322</v>
      </c>
      <c r="BI80" s="59">
        <f ca="1">AVERAGE(OFFSET($BH$3,0,0,'Données projet'!$E$11+1,1))-AVERAGE(OFFSET($H$3,0,0,'Données projet'!$E$11+1,1))</f>
        <v>204.11804238362862</v>
      </c>
      <c r="BJ80" s="59">
        <f t="shared" si="92"/>
        <v>185.53854651509408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0.94630122004835926</v>
      </c>
      <c r="BQ80" s="21">
        <f>EXP(-LN(2)/25)*BQ79+(1-EXP(-LN(2)/25))/(LN(2)/25)*Calculateur!BL80*Calculateur!BN80*VLOOKUP('Données projet'!$B$11,Paramètres!$A$1:$I$89,3,0)*0.475*44/12</f>
        <v>13.059930075999358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14.006231296047718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6.8810000000000002</v>
      </c>
      <c r="BY80" s="12">
        <f>IF('Données projet'!$A$114&gt;35,BY79+BX80-CG79,IF(A80&lt;'Données projet'!$A$114,$BV$205^A80,IF(A80='Données projet'!$A$114,'Données projet'!$B$114,BY79+BX80-CG79)))</f>
        <v>191.87400000000017</v>
      </c>
      <c r="BZ80" s="13">
        <f>BY80*VLOOKUP('Données projet'!$B$12,Paramètres!$A$1:$I$89,3,0)*VLOOKUP('Données projet'!$B$12,Paramètres!$A$1:$I$89,5,0)</f>
        <v>191.56700160000017</v>
      </c>
      <c r="CA80" s="13">
        <f t="shared" si="93"/>
        <v>47.886228873374236</v>
      </c>
      <c r="CB80" s="20">
        <f t="shared" si="64"/>
        <v>417.04770974112699</v>
      </c>
      <c r="CC80" s="59">
        <f t="shared" si="65"/>
        <v>710.38104307446031</v>
      </c>
      <c r="CD80" s="59">
        <f ca="1">AVERAGE(OFFSET($CC$3,0,0,'Données projet'!$E$12+1,1))-AVERAGE(OFFSET($H$3,0,0,'Données projet'!$E$12+1,1))</f>
        <v>535.99935263833549</v>
      </c>
      <c r="CE80" s="59">
        <f t="shared" si="94"/>
        <v>245.89966477332644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11.905321324823669</v>
      </c>
      <c r="CM80" s="21">
        <f>EXP(-LN(2)/2)*CM79+(1-EXP(-LN(2)/2))/(LN(2)/2)*CG80*CJ80*VLOOKUP('Données projet'!$B$12,Paramètres!$A$1:$I$89,3,0)*0.475*44/12</f>
        <v>2.2413396846887395</v>
      </c>
      <c r="CN80" s="22">
        <f t="shared" si="66"/>
        <v>14.146661009512409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9.4837500000000006</v>
      </c>
      <c r="CT80" s="12">
        <f>IF('Données projet'!$A$140&gt;35,CT79+CS80-DB79,IF(A80&lt;'Données projet'!$A$140,$CQ$205^A80,IF(A80='Données projet'!$A$140,'Données projet'!$B$140,CT79+CS80-DB79)))</f>
        <v>249.20749999999998</v>
      </c>
      <c r="CU80" s="17">
        <f>CT80*VLOOKUP('Données projet'!$B$13,Paramètres!$A$1:$I$89,3,0)*VLOOKUP('Données projet'!$B$13,Paramètres!$A$1:$I$89,5,0)</f>
        <v>237.14585699999998</v>
      </c>
      <c r="CV80" s="13">
        <f t="shared" si="95"/>
        <v>57.825020794330889</v>
      </c>
      <c r="CW80" s="20">
        <f t="shared" si="67"/>
        <v>513.74094549179301</v>
      </c>
      <c r="CX80" s="59">
        <f t="shared" si="68"/>
        <v>807.07427882512638</v>
      </c>
      <c r="CY80" s="59">
        <f ca="1">AVERAGE(OFFSET($CX$3,0,0,'Données projet'!$E$13+1,1))-AVERAGE(OFFSET($H$3,0,0,'Données projet'!$E$13+1,1))</f>
        <v>449.28947235329758</v>
      </c>
      <c r="CZ80" s="59">
        <f t="shared" si="96"/>
        <v>289.36994109443964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15.048409994489827</v>
      </c>
      <c r="DG80" s="21">
        <f>EXP(-LN(2)/25)*DG79+(1-EXP(-LN(2)/25))/(LN(2)/25)*Calculateur!DB80*Calculateur!DD80*VLOOKUP('Données projet'!$B$13,Paramètres!$A$1:$I$89,3,0)*0.475*44/12</f>
        <v>18.297730419014218</v>
      </c>
      <c r="DH80" s="21">
        <f>EXP(-LN(2)/2)*DH79+(1-EXP(-LN(2)/2))/(LN(2)/2)*DB80*DE80*VLOOKUP('Données projet'!$B$13,Paramètres!$A$1:$I$89,3,0)*0.475*44/12</f>
        <v>5.2030427453941117</v>
      </c>
      <c r="DI80" s="22">
        <f t="shared" si="69"/>
        <v>38.54918315889816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5.6843418860808015E-14</v>
      </c>
      <c r="DP80" s="17">
        <f>DO80*VLOOKUP('Données projet'!$B$14,Paramètres!$A$1:$I$89,3,0)*VLOOKUP('Données projet'!$B$14,Paramètres!$A$1:$I$89,5,0)</f>
        <v>4.4337866711430253E-14</v>
      </c>
      <c r="DQ80" s="13">
        <f t="shared" si="97"/>
        <v>7.3222115536967035E-13</v>
      </c>
      <c r="DR80" s="20">
        <f t="shared" si="70"/>
        <v>1.3525069634579169E-12</v>
      </c>
      <c r="DS80" s="59">
        <f t="shared" si="71"/>
        <v>293.33333333333468</v>
      </c>
      <c r="DT80" s="59">
        <f ca="1">AVERAGE(OFFSET($DS$3,0,0,'Données projet'!$E$14+1,1))-AVERAGE(OFFSET($H$3,0,0,'Données projet'!$E$14+1,1))</f>
        <v>288.82868507674738</v>
      </c>
      <c r="DU80" s="59">
        <f t="shared" si="98"/>
        <v>283.48738729114024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36.698410854736757</v>
      </c>
      <c r="EB80" s="21">
        <f>EXP(-LN(2)/25)*EB79+(1-EXP(-LN(2)/25))/(LN(2)/25)*Calculateur!DW80*Calculateur!DY80*VLOOKUP('Données projet'!$B$14,Paramètres!$A$1:$I$89,3,0)*0.475*44/12</f>
        <v>33.91343899843649</v>
      </c>
      <c r="EC80" s="21">
        <f>EXP(-LN(2)/2)*EC79+(1-EXP(-LN(2)/2))/(LN(2)/2)*DW80*DZ80*VLOOKUP('Données projet'!$B$14,Paramètres!$A$1:$I$89,3,0)*0.475*44/12</f>
        <v>3.7972513533302137</v>
      </c>
      <c r="ED80" s="22">
        <f t="shared" si="72"/>
        <v>74.409101206503465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>
        <f>VLOOKUP(A80,'Données projet'!$A$191:$I$211,2,0)</f>
        <v>202.52</v>
      </c>
      <c r="EH80" s="12">
        <f>VLOOKUP(A80,'Données projet'!$A$191:$I$211,9,0)</f>
        <v>6.7437500000000021</v>
      </c>
      <c r="EI80" s="12">
        <f t="array" ref="EI80">INDEX(EH:EH,MIN(IF(ISNUMBER(EH80:EH276),ROW(EH80:EH276),"")))</f>
        <v>6.7437500000000021</v>
      </c>
      <c r="EJ80" s="12">
        <f>IF('Données projet'!$A$192&gt;35,EJ79+EI80-ER79,IF(A80&lt;'Données projet'!$A$192,$EG$205^A80,IF(A80='Données projet'!$A$192,'Données projet'!$B$192,EJ79+EI80-ER79)))</f>
        <v>202.52000000000004</v>
      </c>
      <c r="EK80" s="17">
        <f>EJ80*VLOOKUP('Données projet'!$B$15,Paramètres!$A$1:$I$89,3,0)*VLOOKUP('Données projet'!$B$15,Paramètres!$A$1:$I$89,5,0)</f>
        <v>195.87734400000005</v>
      </c>
      <c r="EL80" s="13">
        <f t="shared" si="99"/>
        <v>48.8370373231038</v>
      </c>
      <c r="EM80" s="20">
        <f t="shared" si="73"/>
        <v>426.21088080440586</v>
      </c>
      <c r="EN80" s="59">
        <f t="shared" si="74"/>
        <v>719.54421413773912</v>
      </c>
      <c r="EO80" s="59">
        <f ca="1">AVERAGE(OFFSET($EN$3,0,0,'Données projet'!$E$15+1,1))-AVERAGE(OFFSET($H$3,0,0,'Données projet'!$E$15+1,1))</f>
        <v>510.71380643466227</v>
      </c>
      <c r="EP80" s="59">
        <f t="shared" si="100"/>
        <v>252.40654099948841</v>
      </c>
      <c r="EQ80" s="15">
        <f>IF(ISNA(VLOOKUP(A80,'Données projet'!$A$191:$I$211,3,0)),0,VLOOKUP(A80,'Données projet'!$A$191:$I$211,3,0))</f>
        <v>3</v>
      </c>
      <c r="ER80" s="15">
        <f>IF(ISNA(VLOOKUP(A80,'Données projet'!$A$191:$I$211,4,0)),0,VLOOKUP(A80,'Données projet'!$A$191:$I$211,4,0))</f>
        <v>33.950000000000017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0.1075</v>
      </c>
      <c r="EU80" s="16">
        <f>IF(ISNA(VLOOKUP(A80,'Données projet'!$A$191:$I$211,7,0)),0%,VLOOKUP(A80,'Données projet'!$A$191:$I$211,7,0))</f>
        <v>0.25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12.966190969115489</v>
      </c>
      <c r="EX80" s="21">
        <f>EXP(-LN(2)/2)*EX79+(1-EXP(-LN(2)/2))/(LN(2)/2)*ER80*EU80*VLOOKUP('Données projet'!$B$15,Paramètres!$A$1:$I$89,3,0)*0.475*44/12</f>
        <v>8.3934536080390156</v>
      </c>
      <c r="EY80" s="22">
        <f t="shared" si="75"/>
        <v>21.359644577154505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6.8810000000000002</v>
      </c>
      <c r="N81" s="13">
        <f>IF('Données projet'!$A$36&gt;35,N80+M81-V80,IF(A81&lt;'Données projet'!$A$36,$K$205^A81,IF(A81='Données projet'!$A$36,'Données projet'!$B$36,N80+M81-V80)))</f>
        <v>198.75500000000017</v>
      </c>
      <c r="O81" s="13">
        <f>N81*VLOOKUP('Données projet'!$B$9,Paramètres!$A$1:$I$89,3,0)*VLOOKUP('Données projet'!$B$9,Paramètres!$A$1:$I$89,5,0)</f>
        <v>201.53757000000019</v>
      </c>
      <c r="P81" s="13">
        <f t="shared" si="87"/>
        <v>50.081928311920905</v>
      </c>
      <c r="Q81" s="20">
        <f t="shared" si="54"/>
        <v>438.23729289326252</v>
      </c>
      <c r="R81" s="59">
        <f t="shared" si="55"/>
        <v>731.57062622659578</v>
      </c>
      <c r="S81" s="59">
        <f ca="1">AVERAGE(OFFSET($R$3,0,0,'Données projet'!$E$9+1,1))-AVERAGE(OFFSET($H$3,0,0,'Données projet'!$E$9+1,1))</f>
        <v>543.67050511722618</v>
      </c>
      <c r="T81" s="59">
        <f t="shared" si="88"/>
        <v>249.0871389941106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37.634251483148873</v>
      </c>
      <c r="AB81" s="21">
        <f>EXP(-LN(2)/2)*AB80+(1-EXP(-LN(2)/2))/(LN(2)/2)*V81*Y81*VLOOKUP('Données projet'!$B$9,Paramètres!$A$1:$I$89,3,0)*0.475*44/12</f>
        <v>1.2877040231135655</v>
      </c>
      <c r="AC81" s="22">
        <f t="shared" si="57"/>
        <v>38.921955506262435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9.546999999999997</v>
      </c>
      <c r="AI81" s="13">
        <f>IF('Données projet'!$A$62&gt;35,AI80+AH81-AQ80,IF(A81&lt;'Données projet'!$A$62,$AF$205^A81,IF(A81='Données projet'!$A$62,'Données projet'!$B$62,AI80+AH81-AQ80)))</f>
        <v>297.80800000000033</v>
      </c>
      <c r="AJ81" s="13">
        <f>AI81*VLOOKUP('Données projet'!$B$10,Paramètres!$A$1:$I$89,3,0)*VLOOKUP('Données projet'!$B$10,Paramètres!$A$1:$I$89,5,0)</f>
        <v>269.45667840000027</v>
      </c>
      <c r="AK81" s="13">
        <f t="shared" si="89"/>
        <v>64.733949217436958</v>
      </c>
      <c r="AL81" s="20">
        <f t="shared" si="58"/>
        <v>582.04867643370324</v>
      </c>
      <c r="AM81" s="59">
        <f t="shared" si="59"/>
        <v>875.38200976703661</v>
      </c>
      <c r="AN81" s="59">
        <f ca="1">AVERAGE(OFFSET($AM$3,0,0,'Données projet'!$E$10+1,1))-AVERAGE(OFFSET($H$3,0,0,'Données projet'!$E$10+1,1))</f>
        <v>635.71275911100679</v>
      </c>
      <c r="AO81" s="59">
        <f t="shared" si="90"/>
        <v>281.7776857269169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13.51129475229285</v>
      </c>
      <c r="AV81" s="21">
        <f>EXP(-LN(2)/25)*AV80+(1-EXP(-LN(2)/25))/(LN(2)/25)*Calculateur!AQ81*Calculateur!AS81*VLOOKUP('Données projet'!$B$10,Paramètres!$A$1:$I$89,3,0)*0.475*44/12</f>
        <v>28.183749633831894</v>
      </c>
      <c r="AW81" s="21">
        <f>EXP(-LN(2)/2)*AW80+(1-EXP(-LN(2)/2))/(LN(2)/2)*AQ81*AT81*VLOOKUP('Données projet'!$B$10,Paramètres!$A$1:$I$89,3,0)*0.475*44/12</f>
        <v>1.175721001368796</v>
      </c>
      <c r="AX81" s="21">
        <f t="shared" si="60"/>
        <v>42.870765387493535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2.0512820512820582</v>
      </c>
      <c r="BD81" s="12">
        <f>IF('Données projet'!$A$88&gt;35,BD80+BC81-BL80,IF(A81&lt;'Données projet'!$A$88,$BA$205^A81,IF(A81='Données projet'!$A$88,'Données projet'!$B$88,BD80+BC81-BL80)))</f>
        <v>129.23076923076917</v>
      </c>
      <c r="BE81" s="13">
        <f>BD81*VLOOKUP('Données projet'!$B$11,Paramètres!$A$1:$I$89,3,0)*VLOOKUP('Données projet'!$B$11,Paramètres!$A$1:$I$89,5,0)</f>
        <v>112.89599999999996</v>
      </c>
      <c r="BF81" s="13">
        <f t="shared" si="91"/>
        <v>30.012269379763534</v>
      </c>
      <c r="BG81" s="20">
        <f t="shared" si="61"/>
        <v>248.89856916975472</v>
      </c>
      <c r="BH81" s="59">
        <f t="shared" si="62"/>
        <v>542.23190250308801</v>
      </c>
      <c r="BI81" s="59">
        <f ca="1">AVERAGE(OFFSET($BH$3,0,0,'Données projet'!$E$11+1,1))-AVERAGE(OFFSET($H$3,0,0,'Données projet'!$E$11+1,1))</f>
        <v>204.11804238362862</v>
      </c>
      <c r="BJ81" s="59">
        <f t="shared" si="92"/>
        <v>185.53854651509408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0.92774483030996269</v>
      </c>
      <c r="BQ81" s="21">
        <f>EXP(-LN(2)/25)*BQ80+(1-EXP(-LN(2)/25))/(LN(2)/25)*Calculateur!BL81*Calculateur!BN81*VLOOKUP('Données projet'!$B$11,Paramètres!$A$1:$I$89,3,0)*0.475*44/12</f>
        <v>12.702805601279282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13.630550431589246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6.8810000000000002</v>
      </c>
      <c r="BY81" s="12">
        <f>IF('Données projet'!$A$114&gt;35,BY80+BX81-CG80,IF(A81&lt;'Données projet'!$A$114,$BV$205^A81,IF(A81='Données projet'!$A$114,'Données projet'!$B$114,BY80+BX81-CG80)))</f>
        <v>198.75500000000017</v>
      </c>
      <c r="BZ81" s="13">
        <f>BY81*VLOOKUP('Données projet'!$B$12,Paramètres!$A$1:$I$89,3,0)*VLOOKUP('Données projet'!$B$12,Paramètres!$A$1:$I$89,5,0)</f>
        <v>198.43699200000017</v>
      </c>
      <c r="CA81" s="13">
        <f t="shared" si="93"/>
        <v>49.400509181490989</v>
      </c>
      <c r="CB81" s="20">
        <f t="shared" si="64"/>
        <v>431.65031455776375</v>
      </c>
      <c r="CC81" s="59">
        <f t="shared" si="65"/>
        <v>724.98364789109701</v>
      </c>
      <c r="CD81" s="59">
        <f ca="1">AVERAGE(OFFSET($CC$3,0,0,'Données projet'!$E$12+1,1))-AVERAGE(OFFSET($H$3,0,0,'Données projet'!$E$12+1,1))</f>
        <v>535.99935263833549</v>
      </c>
      <c r="CE81" s="59">
        <f t="shared" si="94"/>
        <v>245.89966477332644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11.579769687122727</v>
      </c>
      <c r="CM81" s="21">
        <f>EXP(-LN(2)/2)*CM80+(1-EXP(-LN(2)/2))/(LN(2)/2)*CG81*CJ81*VLOOKUP('Données projet'!$B$12,Paramètres!$A$1:$I$89,3,0)*0.475*44/12</f>
        <v>1.5848664899859259</v>
      </c>
      <c r="CN81" s="22">
        <f t="shared" si="66"/>
        <v>13.164636177108653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9.4837500000000006</v>
      </c>
      <c r="CT81" s="12">
        <f>IF('Données projet'!$A$140&gt;35,CT80+CS81-DB80,IF(A81&lt;'Données projet'!$A$140,$CQ$205^A81,IF(A81='Données projet'!$A$140,'Données projet'!$B$140,CT80+CS81-DB80)))</f>
        <v>258.69124999999997</v>
      </c>
      <c r="CU81" s="17">
        <f>CT81*VLOOKUP('Données projet'!$B$13,Paramètres!$A$1:$I$89,3,0)*VLOOKUP('Données projet'!$B$13,Paramètres!$A$1:$I$89,5,0)</f>
        <v>246.17059349999994</v>
      </c>
      <c r="CV81" s="13">
        <f t="shared" si="95"/>
        <v>59.765195857244478</v>
      </c>
      <c r="CW81" s="20">
        <f t="shared" si="67"/>
        <v>532.83816646386731</v>
      </c>
      <c r="CX81" s="59">
        <f t="shared" si="68"/>
        <v>826.17149979720057</v>
      </c>
      <c r="CY81" s="59">
        <f ca="1">AVERAGE(OFFSET($CX$3,0,0,'Données projet'!$E$13+1,1))-AVERAGE(OFFSET($H$3,0,0,'Données projet'!$E$13+1,1))</f>
        <v>449.28947235329758</v>
      </c>
      <c r="CZ81" s="59">
        <f t="shared" si="96"/>
        <v>289.36994109443964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14.753319853121663</v>
      </c>
      <c r="DG81" s="21">
        <f>EXP(-LN(2)/25)*DG80+(1-EXP(-LN(2)/25))/(LN(2)/25)*Calculateur!DB81*Calculateur!DD81*VLOOKUP('Données projet'!$B$13,Paramètres!$A$1:$I$89,3,0)*0.475*44/12</f>
        <v>17.79737801847045</v>
      </c>
      <c r="DH81" s="21">
        <f>EXP(-LN(2)/2)*DH80+(1-EXP(-LN(2)/2))/(LN(2)/2)*DB81*DE81*VLOOKUP('Données projet'!$B$13,Paramètres!$A$1:$I$89,3,0)*0.475*44/12</f>
        <v>3.6791068080716478</v>
      </c>
      <c r="DI81" s="22">
        <f t="shared" si="69"/>
        <v>36.229804679663758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5.6843418860808015E-14</v>
      </c>
      <c r="DP81" s="17">
        <f>DO81*VLOOKUP('Données projet'!$B$14,Paramètres!$A$1:$I$89,3,0)*VLOOKUP('Données projet'!$B$14,Paramètres!$A$1:$I$89,5,0)</f>
        <v>4.4337866711430253E-14</v>
      </c>
      <c r="DQ81" s="13">
        <f t="shared" si="97"/>
        <v>7.3222115536967035E-13</v>
      </c>
      <c r="DR81" s="20">
        <f t="shared" si="70"/>
        <v>1.3525069634579169E-12</v>
      </c>
      <c r="DS81" s="59">
        <f t="shared" si="71"/>
        <v>293.33333333333468</v>
      </c>
      <c r="DT81" s="59">
        <f ca="1">AVERAGE(OFFSET($DS$3,0,0,'Données projet'!$E$14+1,1))-AVERAGE(OFFSET($H$3,0,0,'Données projet'!$E$14+1,1))</f>
        <v>288.82868507674738</v>
      </c>
      <c r="DU81" s="59">
        <f t="shared" si="98"/>
        <v>283.48738729114024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35.978777401695773</v>
      </c>
      <c r="EB81" s="21">
        <f>EXP(-LN(2)/25)*EB80+(1-EXP(-LN(2)/25))/(LN(2)/25)*Calculateur!DW81*Calculateur!DY81*VLOOKUP('Données projet'!$B$14,Paramètres!$A$1:$I$89,3,0)*0.475*44/12</f>
        <v>32.986074225593995</v>
      </c>
      <c r="EC81" s="21">
        <f>EXP(-LN(2)/2)*EC80+(1-EXP(-LN(2)/2))/(LN(2)/2)*DW81*DZ81*VLOOKUP('Données projet'!$B$14,Paramètres!$A$1:$I$89,3,0)*0.475*44/12</f>
        <v>2.685062181809589</v>
      </c>
      <c r="ED81" s="22">
        <f t="shared" si="72"/>
        <v>71.649913809099345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6.7444444444444462</v>
      </c>
      <c r="EJ81" s="12">
        <f>IF('Données projet'!$A$192&gt;35,EJ80+EI81-ER80,IF(A81&lt;'Données projet'!$A$192,$EG$205^A81,IF(A81='Données projet'!$A$192,'Données projet'!$B$192,EJ80+EI81-ER80)))</f>
        <v>175.31444444444446</v>
      </c>
      <c r="EK81" s="17">
        <f>EJ81*VLOOKUP('Données projet'!$B$15,Paramètres!$A$1:$I$89,3,0)*VLOOKUP('Données projet'!$B$15,Paramètres!$A$1:$I$89,5,0)</f>
        <v>169.5641306666667</v>
      </c>
      <c r="EL81" s="13">
        <f t="shared" si="99"/>
        <v>42.992388773200261</v>
      </c>
      <c r="EM81" s="20">
        <f t="shared" si="73"/>
        <v>370.20260469110161</v>
      </c>
      <c r="EN81" s="59">
        <f t="shared" si="74"/>
        <v>663.53593802443493</v>
      </c>
      <c r="EO81" s="59">
        <f ca="1">AVERAGE(OFFSET($EN$3,0,0,'Données projet'!$E$15+1,1))-AVERAGE(OFFSET($H$3,0,0,'Données projet'!$E$15+1,1))</f>
        <v>510.71380643466227</v>
      </c>
      <c r="EP81" s="59">
        <f t="shared" si="100"/>
        <v>252.40654099948841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12.611629795202678</v>
      </c>
      <c r="EX81" s="21">
        <f>EXP(-LN(2)/2)*EX80+(1-EXP(-LN(2)/2))/(LN(2)/2)*ER81*EU81*VLOOKUP('Données projet'!$B$15,Paramètres!$A$1:$I$89,3,0)*0.475*44/12</f>
        <v>5.9350679638190824</v>
      </c>
      <c r="EY81" s="22">
        <f t="shared" si="75"/>
        <v>18.546697759021761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6.8810000000000002</v>
      </c>
      <c r="N82" s="13">
        <f>IF('Données projet'!$A$36&gt;35,N81+M82-V81,IF(A82&lt;'Données projet'!$A$36,$K$205^A82,IF(A82='Données projet'!$A$36,'Données projet'!$B$36,N81+M82-V81)))</f>
        <v>205.63600000000017</v>
      </c>
      <c r="O82" s="13">
        <f>N82*VLOOKUP('Données projet'!$B$9,Paramètres!$A$1:$I$89,3,0)*VLOOKUP('Données projet'!$B$9,Paramètres!$A$1:$I$89,5,0)</f>
        <v>208.51490400000017</v>
      </c>
      <c r="P82" s="13">
        <f t="shared" si="87"/>
        <v>51.610920933370728</v>
      </c>
      <c r="Q82" s="20">
        <f t="shared" si="54"/>
        <v>453.0524784256209</v>
      </c>
      <c r="R82" s="59">
        <f t="shared" si="55"/>
        <v>746.38581175895422</v>
      </c>
      <c r="S82" s="59">
        <f ca="1">AVERAGE(OFFSET($R$3,0,0,'Données projet'!$E$9+1,1))-AVERAGE(OFFSET($H$3,0,0,'Données projet'!$E$9+1,1))</f>
        <v>543.67050511722618</v>
      </c>
      <c r="T82" s="59">
        <f t="shared" si="88"/>
        <v>249.0871389941106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36.605140897242897</v>
      </c>
      <c r="AB82" s="21">
        <f>EXP(-LN(2)/2)*AB81+(1-EXP(-LN(2)/2))/(LN(2)/2)*V82*Y82*VLOOKUP('Données projet'!$B$9,Paramètres!$A$1:$I$89,3,0)*0.475*44/12</f>
        <v>0.91054424690480096</v>
      </c>
      <c r="AC82" s="22">
        <f t="shared" si="57"/>
        <v>37.515685144147696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9.546999999999997</v>
      </c>
      <c r="AI82" s="13">
        <f>IF('Données projet'!$A$62&gt;35,AI81+AH82-AQ81,IF(A82&lt;'Données projet'!$A$62,$AF$205^A82,IF(A82='Données projet'!$A$62,'Données projet'!$B$62,AI81+AH82-AQ81)))</f>
        <v>307.35500000000036</v>
      </c>
      <c r="AJ82" s="13">
        <f>AI82*VLOOKUP('Données projet'!$B$10,Paramètres!$A$1:$I$89,3,0)*VLOOKUP('Données projet'!$B$10,Paramètres!$A$1:$I$89,5,0)</f>
        <v>278.09480400000029</v>
      </c>
      <c r="AK82" s="13">
        <f t="shared" si="89"/>
        <v>66.564226351179173</v>
      </c>
      <c r="AL82" s="20">
        <f t="shared" si="58"/>
        <v>600.28114452830425</v>
      </c>
      <c r="AM82" s="59">
        <f t="shared" si="59"/>
        <v>893.61447786163762</v>
      </c>
      <c r="AN82" s="59">
        <f ca="1">AVERAGE(OFFSET($AM$3,0,0,'Données projet'!$E$10+1,1))-AVERAGE(OFFSET($H$3,0,0,'Données projet'!$E$10+1,1))</f>
        <v>635.71275911100679</v>
      </c>
      <c r="AO82" s="59">
        <f t="shared" si="90"/>
        <v>281.7776857269169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13.246346503276447</v>
      </c>
      <c r="AV82" s="21">
        <f>EXP(-LN(2)/25)*AV81+(1-EXP(-LN(2)/25))/(LN(2)/25)*Calculateur!AQ82*Calculateur!AS82*VLOOKUP('Données projet'!$B$10,Paramètres!$A$1:$I$89,3,0)*0.475*44/12</f>
        <v>27.413063517975782</v>
      </c>
      <c r="AW82" s="21">
        <f>EXP(-LN(2)/2)*AW81+(1-EXP(-LN(2)/2))/(LN(2)/2)*AQ82*AT82*VLOOKUP('Données projet'!$B$10,Paramètres!$A$1:$I$89,3,0)*0.475*44/12</f>
        <v>0.83136029285131385</v>
      </c>
      <c r="AX82" s="21">
        <f t="shared" si="60"/>
        <v>41.490770314103543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2.0512820512820582</v>
      </c>
      <c r="BD82" s="12">
        <f>IF('Données projet'!$A$88&gt;35,BD81+BC82-BL81,IF(A82&lt;'Données projet'!$A$88,$BA$205^A82,IF(A82='Données projet'!$A$88,'Données projet'!$B$88,BD81+BC82-BL81)))</f>
        <v>131.28205128205121</v>
      </c>
      <c r="BE82" s="13">
        <f>BD82*VLOOKUP('Données projet'!$B$11,Paramètres!$A$1:$I$89,3,0)*VLOOKUP('Données projet'!$B$11,Paramètres!$A$1:$I$89,5,0)</f>
        <v>114.68799999999995</v>
      </c>
      <c r="BF82" s="13">
        <f t="shared" si="91"/>
        <v>30.432816782482064</v>
      </c>
      <c r="BG82" s="20">
        <f t="shared" si="61"/>
        <v>252.75208922948948</v>
      </c>
      <c r="BH82" s="59">
        <f t="shared" si="62"/>
        <v>546.08542256282283</v>
      </c>
      <c r="BI82" s="59">
        <f ca="1">AVERAGE(OFFSET($BH$3,0,0,'Données projet'!$E$11+1,1))-AVERAGE(OFFSET($H$3,0,0,'Données projet'!$E$11+1,1))</f>
        <v>204.11804238362862</v>
      </c>
      <c r="BJ82" s="59">
        <f t="shared" si="92"/>
        <v>185.53854651509408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0.90955232005605591</v>
      </c>
      <c r="BQ82" s="21">
        <f>EXP(-LN(2)/25)*BQ81+(1-EXP(-LN(2)/25))/(LN(2)/25)*Calculateur!BL82*Calculateur!BN82*VLOOKUP('Données projet'!$B$11,Paramètres!$A$1:$I$89,3,0)*0.475*44/12</f>
        <v>12.355446714100786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13.264999034156842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6.8810000000000002</v>
      </c>
      <c r="BY82" s="12">
        <f>IF('Données projet'!$A$114&gt;35,BY81+BX82-CG81,IF(A82&lt;'Données projet'!$A$114,$BV$205^A82,IF(A82='Données projet'!$A$114,'Données projet'!$B$114,BY81+BX82-CG81)))</f>
        <v>205.63600000000017</v>
      </c>
      <c r="BZ82" s="13">
        <f>BY82*VLOOKUP('Données projet'!$B$12,Paramètres!$A$1:$I$89,3,0)*VLOOKUP('Données projet'!$B$12,Paramètres!$A$1:$I$89,5,0)</f>
        <v>205.30698240000015</v>
      </c>
      <c r="CA82" s="13">
        <f t="shared" si="93"/>
        <v>50.908698194580268</v>
      </c>
      <c r="CB82" s="20">
        <f t="shared" si="64"/>
        <v>446.24231036889415</v>
      </c>
      <c r="CC82" s="59">
        <f t="shared" si="65"/>
        <v>739.57564370222747</v>
      </c>
      <c r="CD82" s="59">
        <f ca="1">AVERAGE(OFFSET($CC$3,0,0,'Données projet'!$E$12+1,1))-AVERAGE(OFFSET($H$3,0,0,'Données projet'!$E$12+1,1))</f>
        <v>535.99935263833549</v>
      </c>
      <c r="CE82" s="59">
        <f t="shared" si="94"/>
        <v>245.89966477332644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11.263120276074735</v>
      </c>
      <c r="CM82" s="21">
        <f>EXP(-LN(2)/2)*CM81+(1-EXP(-LN(2)/2))/(LN(2)/2)*CG82*CJ82*VLOOKUP('Données projet'!$B$12,Paramètres!$A$1:$I$89,3,0)*0.475*44/12</f>
        <v>1.1206698423443697</v>
      </c>
      <c r="CN82" s="22">
        <f t="shared" si="66"/>
        <v>12.383790118419105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9.4837500000000006</v>
      </c>
      <c r="CT82" s="12">
        <f>IF('Données projet'!$A$140&gt;35,CT81+CS82-DB81,IF(A82&lt;'Données projet'!$A$140,$CQ$205^A82,IF(A82='Données projet'!$A$140,'Données projet'!$B$140,CT81+CS82-DB81)))</f>
        <v>268.17499999999995</v>
      </c>
      <c r="CU82" s="17">
        <f>CT82*VLOOKUP('Données projet'!$B$13,Paramètres!$A$1:$I$89,3,0)*VLOOKUP('Données projet'!$B$13,Paramètres!$A$1:$I$89,5,0)</f>
        <v>255.19532999999996</v>
      </c>
      <c r="CV82" s="13">
        <f t="shared" si="95"/>
        <v>61.697107330819122</v>
      </c>
      <c r="CW82" s="20">
        <f t="shared" si="67"/>
        <v>551.92099501784321</v>
      </c>
      <c r="CX82" s="59">
        <f t="shared" si="68"/>
        <v>845.25432835117658</v>
      </c>
      <c r="CY82" s="59">
        <f ca="1">AVERAGE(OFFSET($CX$3,0,0,'Données projet'!$E$13+1,1))-AVERAGE(OFFSET($H$3,0,0,'Données projet'!$E$13+1,1))</f>
        <v>449.28947235329758</v>
      </c>
      <c r="CZ82" s="59">
        <f t="shared" si="96"/>
        <v>289.36994109443964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14.464016249438517</v>
      </c>
      <c r="DG82" s="21">
        <f>EXP(-LN(2)/25)*DG81+(1-EXP(-LN(2)/25))/(LN(2)/25)*Calculateur!DB82*Calculateur!DD82*VLOOKUP('Données projet'!$B$13,Paramètres!$A$1:$I$89,3,0)*0.475*44/12</f>
        <v>17.310707780631944</v>
      </c>
      <c r="DH82" s="21">
        <f>EXP(-LN(2)/2)*DH81+(1-EXP(-LN(2)/2))/(LN(2)/2)*DB82*DE82*VLOOKUP('Données projet'!$B$13,Paramètres!$A$1:$I$89,3,0)*0.475*44/12</f>
        <v>2.6015213726970563</v>
      </c>
      <c r="DI82" s="22">
        <f t="shared" si="69"/>
        <v>34.376245402767516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5.6843418860808015E-14</v>
      </c>
      <c r="DP82" s="17">
        <f>DO82*VLOOKUP('Données projet'!$B$14,Paramètres!$A$1:$I$89,3,0)*VLOOKUP('Données projet'!$B$14,Paramètres!$A$1:$I$89,5,0)</f>
        <v>4.4337866711430253E-14</v>
      </c>
      <c r="DQ82" s="13">
        <f t="shared" si="97"/>
        <v>7.3222115536967035E-13</v>
      </c>
      <c r="DR82" s="20">
        <f t="shared" si="70"/>
        <v>1.3525069634579169E-12</v>
      </c>
      <c r="DS82" s="59">
        <f t="shared" si="71"/>
        <v>293.33333333333468</v>
      </c>
      <c r="DT82" s="59">
        <f ca="1">AVERAGE(OFFSET($DS$3,0,0,'Données projet'!$E$14+1,1))-AVERAGE(OFFSET($H$3,0,0,'Données projet'!$E$14+1,1))</f>
        <v>288.82868507674738</v>
      </c>
      <c r="DU82" s="59">
        <f t="shared" si="98"/>
        <v>283.48738729114024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35.273255521735855</v>
      </c>
      <c r="EB82" s="21">
        <f>EXP(-LN(2)/25)*EB81+(1-EXP(-LN(2)/25))/(LN(2)/25)*Calculateur!DW82*Calculateur!DY82*VLOOKUP('Données projet'!$B$14,Paramètres!$A$1:$I$89,3,0)*0.475*44/12</f>
        <v>32.084068291232875</v>
      </c>
      <c r="EC82" s="21">
        <f>EXP(-LN(2)/2)*EC81+(1-EXP(-LN(2)/2))/(LN(2)/2)*DW82*DZ82*VLOOKUP('Données projet'!$B$14,Paramètres!$A$1:$I$89,3,0)*0.475*44/12</f>
        <v>1.8986256766651071</v>
      </c>
      <c r="ED82" s="22">
        <f t="shared" si="72"/>
        <v>69.255949489633835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6.7444444444444462</v>
      </c>
      <c r="EJ82" s="12">
        <f>IF('Données projet'!$A$192&gt;35,EJ81+EI82-ER81,IF(A82&lt;'Données projet'!$A$192,$EG$205^A82,IF(A82='Données projet'!$A$192,'Données projet'!$B$192,EJ81+EI82-ER81)))</f>
        <v>182.0588888888889</v>
      </c>
      <c r="EK82" s="17">
        <f>EJ82*VLOOKUP('Données projet'!$B$15,Paramètres!$A$1:$I$89,3,0)*VLOOKUP('Données projet'!$B$15,Paramètres!$A$1:$I$89,5,0)</f>
        <v>176.08735733333333</v>
      </c>
      <c r="EL82" s="13">
        <f t="shared" si="99"/>
        <v>44.450585000092076</v>
      </c>
      <c r="EM82" s="20">
        <f t="shared" si="73"/>
        <v>384.10358289738252</v>
      </c>
      <c r="EN82" s="59">
        <f t="shared" si="74"/>
        <v>677.43691623071584</v>
      </c>
      <c r="EO82" s="59">
        <f ca="1">AVERAGE(OFFSET($EN$3,0,0,'Données projet'!$E$15+1,1))-AVERAGE(OFFSET($H$3,0,0,'Données projet'!$E$15+1,1))</f>
        <v>510.71380643466227</v>
      </c>
      <c r="EP82" s="59">
        <f t="shared" si="100"/>
        <v>252.40654099948841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12.266764115236073</v>
      </c>
      <c r="EX82" s="21">
        <f>EXP(-LN(2)/2)*EX81+(1-EXP(-LN(2)/2))/(LN(2)/2)*ER82*EU82*VLOOKUP('Données projet'!$B$15,Paramètres!$A$1:$I$89,3,0)*0.475*44/12</f>
        <v>4.1967268040195087</v>
      </c>
      <c r="EY82" s="22">
        <f t="shared" si="75"/>
        <v>16.463490919255584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6.8810000000000002</v>
      </c>
      <c r="N83" s="13">
        <f>IF('Données projet'!$A$36&gt;35,N82+M83-V82,IF(A83&lt;'Données projet'!$A$36,$K$205^A83,IF(A83='Données projet'!$A$36,'Données projet'!$B$36,N82+M83-V82)))</f>
        <v>212.51700000000017</v>
      </c>
      <c r="O83" s="13">
        <f>N83*VLOOKUP('Données projet'!$B$9,Paramètres!$A$1:$I$89,3,0)*VLOOKUP('Données projet'!$B$9,Paramètres!$A$1:$I$89,5,0)</f>
        <v>215.49223800000021</v>
      </c>
      <c r="P83" s="13">
        <f t="shared" si="87"/>
        <v>53.133968567957446</v>
      </c>
      <c r="Q83" s="20">
        <f t="shared" si="54"/>
        <v>467.85730977252615</v>
      </c>
      <c r="R83" s="59">
        <f t="shared" si="55"/>
        <v>761.19064310585941</v>
      </c>
      <c r="S83" s="59">
        <f ca="1">AVERAGE(OFFSET($R$3,0,0,'Données projet'!$E$9+1,1))-AVERAGE(OFFSET($H$3,0,0,'Données projet'!$E$9+1,1))</f>
        <v>543.67050511722618</v>
      </c>
      <c r="T83" s="59">
        <f t="shared" si="88"/>
        <v>249.0871389941106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35.604171394427091</v>
      </c>
      <c r="AB83" s="21">
        <f>EXP(-LN(2)/2)*AB82+(1-EXP(-LN(2)/2))/(LN(2)/2)*V83*Y83*VLOOKUP('Données projet'!$B$9,Paramètres!$A$1:$I$89,3,0)*0.475*44/12</f>
        <v>0.64385201155678284</v>
      </c>
      <c r="AC83" s="22">
        <f t="shared" si="57"/>
        <v>36.248023405983872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9.546999999999997</v>
      </c>
      <c r="AI83" s="13">
        <f>IF('Données projet'!$A$62&gt;35,AI82+AH83-AQ82,IF(A83&lt;'Données projet'!$A$62,$AF$205^A83,IF(A83='Données projet'!$A$62,'Données projet'!$B$62,AI82+AH83-AQ82)))</f>
        <v>316.90200000000038</v>
      </c>
      <c r="AJ83" s="13">
        <f>AI83*VLOOKUP('Données projet'!$B$10,Paramètres!$A$1:$I$89,3,0)*VLOOKUP('Données projet'!$B$10,Paramètres!$A$1:$I$89,5,0)</f>
        <v>286.73292960000038</v>
      </c>
      <c r="AK83" s="13">
        <f t="shared" si="89"/>
        <v>68.387896772756079</v>
      </c>
      <c r="AL83" s="20">
        <f t="shared" si="58"/>
        <v>618.50210593255088</v>
      </c>
      <c r="AM83" s="59">
        <f t="shared" si="59"/>
        <v>911.83543926588413</v>
      </c>
      <c r="AN83" s="59">
        <f ca="1">AVERAGE(OFFSET($AM$3,0,0,'Données projet'!$E$10+1,1))-AVERAGE(OFFSET($H$3,0,0,'Données projet'!$E$10+1,1))</f>
        <v>635.71275911100679</v>
      </c>
      <c r="AO83" s="59">
        <f t="shared" si="90"/>
        <v>281.7776857269169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12.986593727820781</v>
      </c>
      <c r="AV83" s="21">
        <f>EXP(-LN(2)/25)*AV82+(1-EXP(-LN(2)/25))/(LN(2)/25)*Calculateur!AQ83*Calculateur!AS83*VLOOKUP('Données projet'!$B$10,Paramètres!$A$1:$I$89,3,0)*0.475*44/12</f>
        <v>26.663451854486379</v>
      </c>
      <c r="AW83" s="21">
        <f>EXP(-LN(2)/2)*AW82+(1-EXP(-LN(2)/2))/(LN(2)/2)*AQ83*AT83*VLOOKUP('Données projet'!$B$10,Paramètres!$A$1:$I$89,3,0)*0.475*44/12</f>
        <v>0.5878605006843981</v>
      </c>
      <c r="AX83" s="21">
        <f t="shared" si="60"/>
        <v>40.237906082991557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133.33333333333334</v>
      </c>
      <c r="BB83" s="12">
        <f>VLOOKUP(A83,'Données projet'!$A$87:$I$107,9,0)</f>
        <v>2.0512820512820582</v>
      </c>
      <c r="BC83" s="12">
        <f t="array" ref="BC83">INDEX(BB:BB,MIN(IF(ISNUMBER(BB83:BB279),ROW(BB83:BB279),"")))</f>
        <v>2.0512820512820582</v>
      </c>
      <c r="BD83" s="12">
        <f>IF('Données projet'!$A$88&gt;35,BD82+BC83-BL82,IF(A83&lt;'Données projet'!$A$88,$BA$205^A83,IF(A83='Données projet'!$A$88,'Données projet'!$B$88,BD82+BC83-BL82)))</f>
        <v>133.33333333333326</v>
      </c>
      <c r="BE83" s="13">
        <f>BD83*VLOOKUP('Données projet'!$B$11,Paramètres!$A$1:$I$89,3,0)*VLOOKUP('Données projet'!$B$11,Paramètres!$A$1:$I$89,5,0)</f>
        <v>116.47999999999995</v>
      </c>
      <c r="BF83" s="13">
        <f t="shared" si="91"/>
        <v>30.852599976867037</v>
      </c>
      <c r="BG83" s="20">
        <f t="shared" si="61"/>
        <v>256.60427829304331</v>
      </c>
      <c r="BH83" s="59">
        <f t="shared" si="62"/>
        <v>549.93761162637657</v>
      </c>
      <c r="BI83" s="59">
        <f ca="1">AVERAGE(OFFSET($BH$3,0,0,'Données projet'!$E$11+1,1))-AVERAGE(OFFSET($H$3,0,0,'Données projet'!$E$11+1,1))</f>
        <v>204.11804238362862</v>
      </c>
      <c r="BJ83" s="59">
        <f t="shared" si="92"/>
        <v>185.53854651509408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7.0512820512820511</v>
      </c>
      <c r="BM83" s="16">
        <f>IF(ISNA(VLOOKUP(A83,'Données projet'!$A$87:$I$107,5,0)),0%,VLOOKUP(A83,'Données projet'!$A$87:$I$107,5,0)*VLOOKUP('Données projet'!$B$11,Paramètres!$A$1:$I$89,7,0))</f>
        <v>4.3000000000000003E-2</v>
      </c>
      <c r="BN83" s="16">
        <f>IF(ISNA(VLOOKUP(A83,'Données projet'!$A$87:$I$107,6,0)),0%,VLOOKUP(A83,'Données projet'!$A$87:$I$107,6,0)*VLOOKUP('Données projet'!$B$11,Paramètres!$A$1:$I$89,7,0))</f>
        <v>0.215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1.1845335479625805</v>
      </c>
      <c r="BQ83" s="21">
        <f>EXP(-LN(2)/25)*BQ82+(1-EXP(-LN(2)/25))/(LN(2)/25)*Calculateur!BL83*Calculateur!BN83*VLOOKUP('Données projet'!$B$11,Paramètres!$A$1:$I$89,3,0)*0.475*44/12</f>
        <v>13.475906684222863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14.660440232185444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6.8810000000000002</v>
      </c>
      <c r="BY83" s="12">
        <f>IF('Données projet'!$A$114&gt;35,BY82+BX83-CG82,IF(A83&lt;'Données projet'!$A$114,$BV$205^A83,IF(A83='Données projet'!$A$114,'Données projet'!$B$114,BY82+BX83-CG82)))</f>
        <v>212.51700000000017</v>
      </c>
      <c r="BZ83" s="13">
        <f>BY83*VLOOKUP('Données projet'!$B$12,Paramètres!$A$1:$I$89,3,0)*VLOOKUP('Données projet'!$B$12,Paramètres!$A$1:$I$89,5,0)</f>
        <v>212.17697280000016</v>
      </c>
      <c r="CA83" s="13">
        <f t="shared" si="93"/>
        <v>52.411023108821695</v>
      </c>
      <c r="CB83" s="20">
        <f t="shared" si="64"/>
        <v>460.82409287453146</v>
      </c>
      <c r="CC83" s="59">
        <f t="shared" si="65"/>
        <v>754.15742620786477</v>
      </c>
      <c r="CD83" s="59">
        <f ca="1">AVERAGE(OFFSET($CC$3,0,0,'Données projet'!$E$12+1,1))-AVERAGE(OFFSET($H$3,0,0,'Données projet'!$E$12+1,1))</f>
        <v>535.99935263833549</v>
      </c>
      <c r="CE83" s="59">
        <f t="shared" si="94"/>
        <v>245.89966477332644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10.955129659823719</v>
      </c>
      <c r="CM83" s="21">
        <f>EXP(-LN(2)/2)*CM82+(1-EXP(-LN(2)/2))/(LN(2)/2)*CG83*CJ83*VLOOKUP('Données projet'!$B$12,Paramètres!$A$1:$I$89,3,0)*0.475*44/12</f>
        <v>0.79243324499296297</v>
      </c>
      <c r="CN83" s="22">
        <f t="shared" si="66"/>
        <v>11.747562904816682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9.4837500000000006</v>
      </c>
      <c r="CT83" s="12">
        <f>IF('Données projet'!$A$140&gt;35,CT82+CS83-DB82,IF(A83&lt;'Données projet'!$A$140,$CQ$205^A83,IF(A83='Données projet'!$A$140,'Données projet'!$B$140,CT82+CS83-DB82)))</f>
        <v>277.65874999999994</v>
      </c>
      <c r="CU83" s="17">
        <f>CT83*VLOOKUP('Données projet'!$B$13,Paramètres!$A$1:$I$89,3,0)*VLOOKUP('Données projet'!$B$13,Paramètres!$A$1:$I$89,5,0)</f>
        <v>264.22006649999997</v>
      </c>
      <c r="CV83" s="13">
        <f t="shared" si="95"/>
        <v>63.621080932408354</v>
      </c>
      <c r="CW83" s="20">
        <f t="shared" si="67"/>
        <v>570.98999844477783</v>
      </c>
      <c r="CX83" s="59">
        <f t="shared" si="68"/>
        <v>864.3233317781112</v>
      </c>
      <c r="CY83" s="59">
        <f ca="1">AVERAGE(OFFSET($CX$3,0,0,'Données projet'!$E$13+1,1))-AVERAGE(OFFSET($H$3,0,0,'Données projet'!$E$13+1,1))</f>
        <v>449.28947235329758</v>
      </c>
      <c r="CZ83" s="59">
        <f t="shared" si="96"/>
        <v>289.36994109443964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14.180385712965823</v>
      </c>
      <c r="DG83" s="21">
        <f>EXP(-LN(2)/25)*DG82+(1-EXP(-LN(2)/25))/(LN(2)/25)*Calculateur!DB83*Calculateur!DD83*VLOOKUP('Données projet'!$B$13,Paramètres!$A$1:$I$89,3,0)*0.475*44/12</f>
        <v>16.837345566040007</v>
      </c>
      <c r="DH83" s="21">
        <f>EXP(-LN(2)/2)*DH82+(1-EXP(-LN(2)/2))/(LN(2)/2)*DB83*DE83*VLOOKUP('Données projet'!$B$13,Paramètres!$A$1:$I$89,3,0)*0.475*44/12</f>
        <v>1.8395534040358243</v>
      </c>
      <c r="DI83" s="22">
        <f t="shared" si="69"/>
        <v>32.857284683041655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5.6843418860808015E-14</v>
      </c>
      <c r="DP83" s="17">
        <f>DO83*VLOOKUP('Données projet'!$B$14,Paramètres!$A$1:$I$89,3,0)*VLOOKUP('Données projet'!$B$14,Paramètres!$A$1:$I$89,5,0)</f>
        <v>4.4337866711430253E-14</v>
      </c>
      <c r="DQ83" s="13">
        <f t="shared" si="97"/>
        <v>7.3222115536967035E-13</v>
      </c>
      <c r="DR83" s="20">
        <f t="shared" si="70"/>
        <v>1.3525069634579169E-12</v>
      </c>
      <c r="DS83" s="59">
        <f t="shared" si="71"/>
        <v>293.33333333333468</v>
      </c>
      <c r="DT83" s="59">
        <f ca="1">AVERAGE(OFFSET($DS$3,0,0,'Données projet'!$E$14+1,1))-AVERAGE(OFFSET($H$3,0,0,'Données projet'!$E$14+1,1))</f>
        <v>288.82868507674738</v>
      </c>
      <c r="DU83" s="59">
        <f t="shared" si="98"/>
        <v>283.48738729114024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34.581568495516095</v>
      </c>
      <c r="EB83" s="21">
        <f>EXP(-LN(2)/25)*EB82+(1-EXP(-LN(2)/25))/(LN(2)/25)*Calculateur!DW83*Calculateur!DY83*VLOOKUP('Données projet'!$B$14,Paramètres!$A$1:$I$89,3,0)*0.475*44/12</f>
        <v>31.206727756581291</v>
      </c>
      <c r="EC83" s="21">
        <f>EXP(-LN(2)/2)*EC82+(1-EXP(-LN(2)/2))/(LN(2)/2)*DW83*DZ83*VLOOKUP('Données projet'!$B$14,Paramètres!$A$1:$I$89,3,0)*0.475*44/12</f>
        <v>1.3425310909047947</v>
      </c>
      <c r="ED83" s="22">
        <f t="shared" si="72"/>
        <v>67.130827343002181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6.7444444444444462</v>
      </c>
      <c r="EJ83" s="12">
        <f>IF('Données projet'!$A$192&gt;35,EJ82+EI83-ER82,IF(A83&lt;'Données projet'!$A$192,$EG$205^A83,IF(A83='Données projet'!$A$192,'Données projet'!$B$192,EJ82+EI83-ER82)))</f>
        <v>188.80333333333334</v>
      </c>
      <c r="EK83" s="17">
        <f>EJ83*VLOOKUP('Données projet'!$B$15,Paramètres!$A$1:$I$89,3,0)*VLOOKUP('Données projet'!$B$15,Paramètres!$A$1:$I$89,5,0)</f>
        <v>182.61058400000002</v>
      </c>
      <c r="EL83" s="13">
        <f t="shared" si="99"/>
        <v>45.9025053826808</v>
      </c>
      <c r="EM83" s="20">
        <f t="shared" si="73"/>
        <v>397.99363067483574</v>
      </c>
      <c r="EN83" s="59">
        <f t="shared" si="74"/>
        <v>691.32696400816906</v>
      </c>
      <c r="EO83" s="59">
        <f ca="1">AVERAGE(OFFSET($EN$3,0,0,'Données projet'!$E$15+1,1))-AVERAGE(OFFSET($H$3,0,0,'Données projet'!$E$15+1,1))</f>
        <v>510.71380643466227</v>
      </c>
      <c r="EP83" s="59">
        <f t="shared" si="100"/>
        <v>252.40654099948841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11.931328805423854</v>
      </c>
      <c r="EX83" s="21">
        <f>EXP(-LN(2)/2)*EX82+(1-EXP(-LN(2)/2))/(LN(2)/2)*ER83*EU83*VLOOKUP('Données projet'!$B$15,Paramètres!$A$1:$I$89,3,0)*0.475*44/12</f>
        <v>2.9675339819095417</v>
      </c>
      <c r="EY83" s="22">
        <f t="shared" si="75"/>
        <v>14.898862787333396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6.8810000000000002</v>
      </c>
      <c r="N84" s="13">
        <f>IF('Données projet'!$A$36&gt;35,N83+M84-V83,IF(A84&lt;'Données projet'!$A$36,$K$205^A84,IF(A84='Données projet'!$A$36,'Données projet'!$B$36,N83+M84-V83)))</f>
        <v>219.39800000000017</v>
      </c>
      <c r="O84" s="13">
        <f>N84*VLOOKUP('Données projet'!$B$9,Paramètres!$A$1:$I$89,3,0)*VLOOKUP('Données projet'!$B$9,Paramètres!$A$1:$I$89,5,0)</f>
        <v>222.46957200000017</v>
      </c>
      <c r="P84" s="13">
        <f t="shared" si="87"/>
        <v>54.651285783483857</v>
      </c>
      <c r="Q84" s="20">
        <f t="shared" si="54"/>
        <v>482.65216063956808</v>
      </c>
      <c r="R84" s="59">
        <f t="shared" si="55"/>
        <v>775.98549397290139</v>
      </c>
      <c r="S84" s="59">
        <f ca="1">AVERAGE(OFFSET($R$3,0,0,'Données projet'!$E$9+1,1))-AVERAGE(OFFSET($H$3,0,0,'Données projet'!$E$9+1,1))</f>
        <v>543.67050511722618</v>
      </c>
      <c r="T84" s="59">
        <f t="shared" si="88"/>
        <v>249.0871389941106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34.630573455304486</v>
      </c>
      <c r="AB84" s="21">
        <f>EXP(-LN(2)/2)*AB83+(1-EXP(-LN(2)/2))/(LN(2)/2)*V84*Y84*VLOOKUP('Données projet'!$B$9,Paramètres!$A$1:$I$89,3,0)*0.475*44/12</f>
        <v>0.45527212345240053</v>
      </c>
      <c r="AC84" s="22">
        <f t="shared" si="57"/>
        <v>35.085845578756889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9.546999999999997</v>
      </c>
      <c r="AI84" s="13">
        <f>IF('Données projet'!$A$62&gt;35,AI83+AH84-AQ83,IF(A84&lt;'Données projet'!$A$62,$AF$205^A84,IF(A84='Données projet'!$A$62,'Données projet'!$B$62,AI83+AH84-AQ83)))</f>
        <v>326.44900000000041</v>
      </c>
      <c r="AJ84" s="13">
        <f>AI84*VLOOKUP('Données projet'!$B$10,Paramètres!$A$1:$I$89,3,0)*VLOOKUP('Données projet'!$B$10,Paramètres!$A$1:$I$89,5,0)</f>
        <v>295.37105520000034</v>
      </c>
      <c r="AK84" s="13">
        <f t="shared" si="89"/>
        <v>70.205182362680091</v>
      </c>
      <c r="AL84" s="20">
        <f t="shared" si="58"/>
        <v>636.71194708833502</v>
      </c>
      <c r="AM84" s="59">
        <f t="shared" si="59"/>
        <v>930.04528042166839</v>
      </c>
      <c r="AN84" s="59">
        <f ca="1">AVERAGE(OFFSET($AM$3,0,0,'Données projet'!$E$10+1,1))-AVERAGE(OFFSET($H$3,0,0,'Données projet'!$E$10+1,1))</f>
        <v>635.71275911100679</v>
      </c>
      <c r="AO84" s="59">
        <f t="shared" si="90"/>
        <v>281.7776857269169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12.731934545858252</v>
      </c>
      <c r="AV84" s="21">
        <f>EXP(-LN(2)/25)*AV83+(1-EXP(-LN(2)/25))/(LN(2)/25)*Calculateur!AQ84*Calculateur!AS84*VLOOKUP('Données projet'!$B$10,Paramètres!$A$1:$I$89,3,0)*0.475*44/12</f>
        <v>25.934338361355454</v>
      </c>
      <c r="AW84" s="21">
        <f>EXP(-LN(2)/2)*AW83+(1-EXP(-LN(2)/2))/(LN(2)/2)*AQ84*AT84*VLOOKUP('Données projet'!$B$10,Paramètres!$A$1:$I$89,3,0)*0.475*44/12</f>
        <v>0.41568014642565698</v>
      </c>
      <c r="AX84" s="21">
        <f t="shared" si="60"/>
        <v>39.081953053639367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1.7948717948717898</v>
      </c>
      <c r="BD84" s="12">
        <f>IF('Données projet'!$A$88&gt;35,BD83+BC84-BL83,IF(A84&lt;'Données projet'!$A$88,$BA$205^A84,IF(A84='Données projet'!$A$88,'Données projet'!$B$88,BD83+BC84-BL83)))</f>
        <v>128.07692307692301</v>
      </c>
      <c r="BE84" s="13">
        <f>BD84*VLOOKUP('Données projet'!$B$11,Paramètres!$A$1:$I$89,3,0)*VLOOKUP('Données projet'!$B$11,Paramètres!$A$1:$I$89,5,0)</f>
        <v>111.88799999999995</v>
      </c>
      <c r="BF84" s="13">
        <f t="shared" si="91"/>
        <v>29.775370562311142</v>
      </c>
      <c r="BG84" s="20">
        <f t="shared" si="61"/>
        <v>246.73037039602514</v>
      </c>
      <c r="BH84" s="59">
        <f t="shared" si="62"/>
        <v>540.06370372935839</v>
      </c>
      <c r="BI84" s="59">
        <f ca="1">AVERAGE(OFFSET($BH$3,0,0,'Données projet'!$E$11+1,1))-AVERAGE(OFFSET($H$3,0,0,'Données projet'!$E$11+1,1))</f>
        <v>204.11804238362862</v>
      </c>
      <c r="BJ84" s="59">
        <f t="shared" si="92"/>
        <v>185.53854651509408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1.1613055675811581</v>
      </c>
      <c r="BQ84" s="21">
        <f>EXP(-LN(2)/25)*BQ83+(1-EXP(-LN(2)/25))/(LN(2)/25)*Calculateur!BL84*Calculateur!BN84*VLOOKUP('Données projet'!$B$11,Paramètres!$A$1:$I$89,3,0)*0.475*44/12</f>
        <v>13.107407307275656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14.268712874856813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6.8810000000000002</v>
      </c>
      <c r="BY84" s="12">
        <f>IF('Données projet'!$A$114&gt;35,BY83+BX84-CG83,IF(A84&lt;'Données projet'!$A$114,$BV$205^A84,IF(A84='Données projet'!$A$114,'Données projet'!$B$114,BY83+BX84-CG83)))</f>
        <v>219.39800000000017</v>
      </c>
      <c r="BZ84" s="13">
        <f>BY84*VLOOKUP('Données projet'!$B$12,Paramètres!$A$1:$I$89,3,0)*VLOOKUP('Données projet'!$B$12,Paramètres!$A$1:$I$89,5,0)</f>
        <v>219.04696320000016</v>
      </c>
      <c r="CA84" s="13">
        <f t="shared" si="93"/>
        <v>53.907695572589482</v>
      </c>
      <c r="CB84" s="20">
        <f t="shared" si="64"/>
        <v>475.39603069559365</v>
      </c>
      <c r="CC84" s="59">
        <f t="shared" si="65"/>
        <v>768.72936402892697</v>
      </c>
      <c r="CD84" s="59">
        <f ca="1">AVERAGE(OFFSET($CC$3,0,0,'Données projet'!$E$12+1,1))-AVERAGE(OFFSET($H$3,0,0,'Données projet'!$E$12+1,1))</f>
        <v>535.99935263833549</v>
      </c>
      <c r="CE84" s="59">
        <f t="shared" si="94"/>
        <v>245.89966477332644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10.655561063170609</v>
      </c>
      <c r="CM84" s="21">
        <f>EXP(-LN(2)/2)*CM83+(1-EXP(-LN(2)/2))/(LN(2)/2)*CG84*CJ84*VLOOKUP('Données projet'!$B$12,Paramètres!$A$1:$I$89,3,0)*0.475*44/12</f>
        <v>0.56033492117218486</v>
      </c>
      <c r="CN84" s="22">
        <f t="shared" si="66"/>
        <v>11.215895984342794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9.4837500000000006</v>
      </c>
      <c r="CT84" s="12">
        <f>IF('Données projet'!$A$140&gt;35,CT83+CS84-DB83,IF(A84&lt;'Données projet'!$A$140,$CQ$205^A84,IF(A84='Données projet'!$A$140,'Données projet'!$B$140,CT83+CS84-DB83)))</f>
        <v>287.14249999999993</v>
      </c>
      <c r="CU84" s="17">
        <f>CT84*VLOOKUP('Données projet'!$B$13,Paramètres!$A$1:$I$89,3,0)*VLOOKUP('Données projet'!$B$13,Paramètres!$A$1:$I$89,5,0)</f>
        <v>273.24480299999993</v>
      </c>
      <c r="CV84" s="13">
        <f t="shared" si="95"/>
        <v>65.537418866724181</v>
      </c>
      <c r="CW84" s="20">
        <f t="shared" si="67"/>
        <v>590.04570308454447</v>
      </c>
      <c r="CX84" s="59">
        <f t="shared" si="68"/>
        <v>883.37903641787784</v>
      </c>
      <c r="CY84" s="59">
        <f ca="1">AVERAGE(OFFSET($CX$3,0,0,'Données projet'!$E$13+1,1))-AVERAGE(OFFSET($H$3,0,0,'Données projet'!$E$13+1,1))</f>
        <v>449.28947235329758</v>
      </c>
      <c r="CZ84" s="59">
        <f t="shared" si="96"/>
        <v>289.36994109443964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13.902316998315811</v>
      </c>
      <c r="DG84" s="21">
        <f>EXP(-LN(2)/25)*DG83+(1-EXP(-LN(2)/25))/(LN(2)/25)*Calculateur!DB84*Calculateur!DD84*VLOOKUP('Données projet'!$B$13,Paramètres!$A$1:$I$89,3,0)*0.475*44/12</f>
        <v>16.376927466099122</v>
      </c>
      <c r="DH84" s="21">
        <f>EXP(-LN(2)/2)*DH83+(1-EXP(-LN(2)/2))/(LN(2)/2)*DB84*DE84*VLOOKUP('Données projet'!$B$13,Paramètres!$A$1:$I$89,3,0)*0.475*44/12</f>
        <v>1.3007606863485284</v>
      </c>
      <c r="DI84" s="22">
        <f t="shared" si="69"/>
        <v>31.580005150763462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5.6843418860808015E-14</v>
      </c>
      <c r="DP84" s="17">
        <f>DO84*VLOOKUP('Données projet'!$B$14,Paramètres!$A$1:$I$89,3,0)*VLOOKUP('Données projet'!$B$14,Paramètres!$A$1:$I$89,5,0)</f>
        <v>4.4337866711430253E-14</v>
      </c>
      <c r="DQ84" s="13">
        <f t="shared" si="97"/>
        <v>7.3222115536967035E-13</v>
      </c>
      <c r="DR84" s="20">
        <f t="shared" si="70"/>
        <v>1.3525069634579169E-12</v>
      </c>
      <c r="DS84" s="59">
        <f t="shared" si="71"/>
        <v>293.33333333333468</v>
      </c>
      <c r="DT84" s="59">
        <f ca="1">AVERAGE(OFFSET($DS$3,0,0,'Données projet'!$E$14+1,1))-AVERAGE(OFFSET($H$3,0,0,'Données projet'!$E$14+1,1))</f>
        <v>288.82868507674738</v>
      </c>
      <c r="DU84" s="59">
        <f t="shared" si="98"/>
        <v>283.48738729114024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33.90344502999308</v>
      </c>
      <c r="EB84" s="21">
        <f>EXP(-LN(2)/25)*EB83+(1-EXP(-LN(2)/25))/(LN(2)/25)*Calculateur!DW84*Calculateur!DY84*VLOOKUP('Données projet'!$B$14,Paramètres!$A$1:$I$89,3,0)*0.475*44/12</f>
        <v>30.353378144987087</v>
      </c>
      <c r="EC84" s="21">
        <f>EXP(-LN(2)/2)*EC83+(1-EXP(-LN(2)/2))/(LN(2)/2)*DW84*DZ84*VLOOKUP('Données projet'!$B$14,Paramètres!$A$1:$I$89,3,0)*0.475*44/12</f>
        <v>0.94931283833255364</v>
      </c>
      <c r="ED84" s="22">
        <f t="shared" si="72"/>
        <v>65.206136013312729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6.7444444444444462</v>
      </c>
      <c r="EJ84" s="12">
        <f>IF('Données projet'!$A$192&gt;35,EJ83+EI84-ER83,IF(A84&lt;'Données projet'!$A$192,$EG$205^A84,IF(A84='Données projet'!$A$192,'Données projet'!$B$192,EJ83+EI84-ER83)))</f>
        <v>195.54777777777778</v>
      </c>
      <c r="EK84" s="17">
        <f>EJ84*VLOOKUP('Données projet'!$B$15,Paramètres!$A$1:$I$89,3,0)*VLOOKUP('Données projet'!$B$15,Paramètres!$A$1:$I$89,5,0)</f>
        <v>189.13381066666668</v>
      </c>
      <c r="EL84" s="13">
        <f t="shared" si="99"/>
        <v>47.348399790775353</v>
      </c>
      <c r="EM84" s="20">
        <f t="shared" si="73"/>
        <v>411.87318321337824</v>
      </c>
      <c r="EN84" s="59">
        <f t="shared" si="74"/>
        <v>705.20651654671155</v>
      </c>
      <c r="EO84" s="59">
        <f ca="1">AVERAGE(OFFSET($EN$3,0,0,'Données projet'!$E$15+1,1))-AVERAGE(OFFSET($H$3,0,0,'Données projet'!$E$15+1,1))</f>
        <v>510.71380643466227</v>
      </c>
      <c r="EP84" s="59">
        <f t="shared" si="100"/>
        <v>252.40654099948841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11.605065991798227</v>
      </c>
      <c r="EX84" s="21">
        <f>EXP(-LN(2)/2)*EX83+(1-EXP(-LN(2)/2))/(LN(2)/2)*ER84*EU84*VLOOKUP('Données projet'!$B$15,Paramètres!$A$1:$I$89,3,0)*0.475*44/12</f>
        <v>2.0983634020097544</v>
      </c>
      <c r="EY84" s="22">
        <f t="shared" si="75"/>
        <v>13.703429393807982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6.8810000000000002</v>
      </c>
      <c r="N85" s="13">
        <f>IF('Données projet'!$A$36&gt;35,N84+M85-V84,IF(A85&lt;'Données projet'!$A$36,$K$205^A85,IF(A85='Données projet'!$A$36,'Données projet'!$B$36,N84+M85-V84)))</f>
        <v>226.27900000000017</v>
      </c>
      <c r="O85" s="13">
        <f>N85*VLOOKUP('Données projet'!$B$9,Paramètres!$A$1:$I$89,3,0)*VLOOKUP('Données projet'!$B$9,Paramètres!$A$1:$I$89,5,0)</f>
        <v>229.44690600000015</v>
      </c>
      <c r="P85" s="13">
        <f t="shared" si="87"/>
        <v>56.16307292430686</v>
      </c>
      <c r="Q85" s="20">
        <f t="shared" si="54"/>
        <v>497.43737995983474</v>
      </c>
      <c r="R85" s="59">
        <f t="shared" si="55"/>
        <v>790.770713293168</v>
      </c>
      <c r="S85" s="59">
        <f ca="1">AVERAGE(OFFSET($R$3,0,0,'Données projet'!$E$9+1,1))-AVERAGE(OFFSET($H$3,0,0,'Données projet'!$E$9+1,1))</f>
        <v>543.67050511722618</v>
      </c>
      <c r="T85" s="59">
        <f t="shared" si="88"/>
        <v>249.0871389941106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33.683598603026475</v>
      </c>
      <c r="AB85" s="21">
        <f>EXP(-LN(2)/2)*AB84+(1-EXP(-LN(2)/2))/(LN(2)/2)*V85*Y85*VLOOKUP('Données projet'!$B$9,Paramètres!$A$1:$I$89,3,0)*0.475*44/12</f>
        <v>0.32192600577839148</v>
      </c>
      <c r="AC85" s="22">
        <f t="shared" si="57"/>
        <v>34.005524608804869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9.546999999999997</v>
      </c>
      <c r="AI85" s="13">
        <f>IF('Données projet'!$A$62&gt;35,AI84+AH85-AQ84,IF(A85&lt;'Données projet'!$A$62,$AF$205^A85,IF(A85='Données projet'!$A$62,'Données projet'!$B$62,AI84+AH85-AQ84)))</f>
        <v>335.99600000000044</v>
      </c>
      <c r="AJ85" s="13">
        <f>AI85*VLOOKUP('Données projet'!$B$10,Paramètres!$A$1:$I$89,3,0)*VLOOKUP('Données projet'!$B$10,Paramètres!$A$1:$I$89,5,0)</f>
        <v>304.00918080000037</v>
      </c>
      <c r="AK85" s="13">
        <f t="shared" si="89"/>
        <v>72.016291285794935</v>
      </c>
      <c r="AL85" s="20">
        <f t="shared" si="58"/>
        <v>654.91103054942675</v>
      </c>
      <c r="AM85" s="59">
        <f t="shared" si="59"/>
        <v>948.24436388276013</v>
      </c>
      <c r="AN85" s="59">
        <f ca="1">AVERAGE(OFFSET($AM$3,0,0,'Données projet'!$E$10+1,1))-AVERAGE(OFFSET($H$3,0,0,'Données projet'!$E$10+1,1))</f>
        <v>635.71275911100679</v>
      </c>
      <c r="AO85" s="59">
        <f t="shared" si="90"/>
        <v>281.7776857269169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12.482269075127244</v>
      </c>
      <c r="AV85" s="21">
        <f>EXP(-LN(2)/25)*AV84+(1-EXP(-LN(2)/25))/(LN(2)/25)*Calculateur!AQ85*Calculateur!AS85*VLOOKUP('Données projet'!$B$10,Paramètres!$A$1:$I$89,3,0)*0.475*44/12</f>
        <v>25.225162515036608</v>
      </c>
      <c r="AW85" s="21">
        <f>EXP(-LN(2)/2)*AW84+(1-EXP(-LN(2)/2))/(LN(2)/2)*AQ85*AT85*VLOOKUP('Données projet'!$B$10,Paramètres!$A$1:$I$89,3,0)*0.475*44/12</f>
        <v>0.29393025034219911</v>
      </c>
      <c r="AX85" s="21">
        <f t="shared" si="60"/>
        <v>38.00136184050605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1.7948717948717898</v>
      </c>
      <c r="BD85" s="12">
        <f>IF('Données projet'!$A$88&gt;35,BD84+BC85-BL84,IF(A85&lt;'Données projet'!$A$88,$BA$205^A85,IF(A85='Données projet'!$A$88,'Données projet'!$B$88,BD84+BC85-BL84)))</f>
        <v>129.8717948717948</v>
      </c>
      <c r="BE85" s="13">
        <f>BD85*VLOOKUP('Données projet'!$B$11,Paramètres!$A$1:$I$89,3,0)*VLOOKUP('Données projet'!$B$11,Paramètres!$A$1:$I$89,5,0)</f>
        <v>113.45599999999996</v>
      </c>
      <c r="BF85" s="13">
        <f t="shared" si="91"/>
        <v>30.143773345943128</v>
      </c>
      <c r="BG85" s="20">
        <f t="shared" si="61"/>
        <v>250.10293857751753</v>
      </c>
      <c r="BH85" s="59">
        <f t="shared" si="62"/>
        <v>543.43627191085079</v>
      </c>
      <c r="BI85" s="59">
        <f ca="1">AVERAGE(OFFSET($BH$3,0,0,'Données projet'!$E$11+1,1))-AVERAGE(OFFSET($H$3,0,0,'Données projet'!$E$11+1,1))</f>
        <v>204.11804238362862</v>
      </c>
      <c r="BJ85" s="59">
        <f t="shared" si="92"/>
        <v>185.53854651509408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1.1385330737273465</v>
      </c>
      <c r="BQ85" s="21">
        <f>EXP(-LN(2)/25)*BQ84+(1-EXP(-LN(2)/25))/(LN(2)/25)*Calculateur!BL85*Calculateur!BN85*VLOOKUP('Données projet'!$B$11,Paramètres!$A$1:$I$89,3,0)*0.475*44/12</f>
        <v>12.748984565169611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13.887517638896957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6.8810000000000002</v>
      </c>
      <c r="BY85" s="12">
        <f>IF('Données projet'!$A$114&gt;35,BY84+BX85-CG84,IF(A85&lt;'Données projet'!$A$114,$BV$205^A85,IF(A85='Données projet'!$A$114,'Données projet'!$B$114,BY84+BX85-CG84)))</f>
        <v>226.27900000000017</v>
      </c>
      <c r="BZ85" s="13">
        <f>BY85*VLOOKUP('Données projet'!$B$12,Paramètres!$A$1:$I$89,3,0)*VLOOKUP('Données projet'!$B$12,Paramètres!$A$1:$I$89,5,0)</f>
        <v>225.91695360000017</v>
      </c>
      <c r="CA85" s="13">
        <f t="shared" si="93"/>
        <v>55.398913204337745</v>
      </c>
      <c r="CB85" s="20">
        <f t="shared" si="64"/>
        <v>489.95846801755528</v>
      </c>
      <c r="CC85" s="59">
        <f t="shared" si="65"/>
        <v>783.29180135088859</v>
      </c>
      <c r="CD85" s="59">
        <f ca="1">AVERAGE(OFFSET($CC$3,0,0,'Données projet'!$E$12+1,1))-AVERAGE(OFFSET($H$3,0,0,'Données projet'!$E$12+1,1))</f>
        <v>535.99935263833549</v>
      </c>
      <c r="CE85" s="59">
        <f t="shared" si="94"/>
        <v>245.89966477332644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10.364184185546605</v>
      </c>
      <c r="CM85" s="21">
        <f>EXP(-LN(2)/2)*CM84+(1-EXP(-LN(2)/2))/(LN(2)/2)*CG85*CJ85*VLOOKUP('Données projet'!$B$12,Paramètres!$A$1:$I$89,3,0)*0.475*44/12</f>
        <v>0.39621662249648149</v>
      </c>
      <c r="CN85" s="22">
        <f t="shared" si="66"/>
        <v>10.760400808043087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9.4837500000000006</v>
      </c>
      <c r="CT85" s="12">
        <f>IF('Données projet'!$A$140&gt;35,CT84+CS85-DB84,IF(A85&lt;'Données projet'!$A$140,$CQ$205^A85,IF(A85='Données projet'!$A$140,'Données projet'!$B$140,CT84+CS85-DB84)))</f>
        <v>296.62624999999991</v>
      </c>
      <c r="CU85" s="17">
        <f>CT85*VLOOKUP('Données projet'!$B$13,Paramètres!$A$1:$I$89,3,0)*VLOOKUP('Données projet'!$B$13,Paramètres!$A$1:$I$89,5,0)</f>
        <v>282.26953949999995</v>
      </c>
      <c r="CV85" s="13">
        <f t="shared" si="95"/>
        <v>67.446402243109091</v>
      </c>
      <c r="CW85" s="20">
        <f t="shared" si="67"/>
        <v>609.08859853591491</v>
      </c>
      <c r="CX85" s="59">
        <f t="shared" si="68"/>
        <v>902.42193186924828</v>
      </c>
      <c r="CY85" s="59">
        <f ca="1">AVERAGE(OFFSET($CX$3,0,0,'Données projet'!$E$13+1,1))-AVERAGE(OFFSET($H$3,0,0,'Données projet'!$E$13+1,1))</f>
        <v>449.28947235329758</v>
      </c>
      <c r="CZ85" s="59">
        <f t="shared" si="96"/>
        <v>289.36994109443964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13.629701041554918</v>
      </c>
      <c r="DG85" s="21">
        <f>EXP(-LN(2)/25)*DG84+(1-EXP(-LN(2)/25))/(LN(2)/25)*Calculateur!DB85*Calculateur!DD85*VLOOKUP('Données projet'!$B$13,Paramètres!$A$1:$I$89,3,0)*0.475*44/12</f>
        <v>15.929099523313456</v>
      </c>
      <c r="DH85" s="21">
        <f>EXP(-LN(2)/2)*DH84+(1-EXP(-LN(2)/2))/(LN(2)/2)*DB85*DE85*VLOOKUP('Données projet'!$B$13,Paramètres!$A$1:$I$89,3,0)*0.475*44/12</f>
        <v>0.91977670201791228</v>
      </c>
      <c r="DI85" s="22">
        <f t="shared" si="69"/>
        <v>30.478577266886287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5.6843418860808015E-14</v>
      </c>
      <c r="DP85" s="17">
        <f>DO85*VLOOKUP('Données projet'!$B$14,Paramètres!$A$1:$I$89,3,0)*VLOOKUP('Données projet'!$B$14,Paramètres!$A$1:$I$89,5,0)</f>
        <v>4.4337866711430253E-14</v>
      </c>
      <c r="DQ85" s="13">
        <f t="shared" si="97"/>
        <v>7.3222115536967035E-13</v>
      </c>
      <c r="DR85" s="20">
        <f t="shared" si="70"/>
        <v>1.3525069634579169E-12</v>
      </c>
      <c r="DS85" s="59">
        <f t="shared" si="71"/>
        <v>293.33333333333468</v>
      </c>
      <c r="DT85" s="59">
        <f ca="1">AVERAGE(OFFSET($DS$3,0,0,'Données projet'!$E$14+1,1))-AVERAGE(OFFSET($H$3,0,0,'Données projet'!$E$14+1,1))</f>
        <v>288.82868507674738</v>
      </c>
      <c r="DU85" s="59">
        <f t="shared" si="98"/>
        <v>283.48738729114024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33.238619152014493</v>
      </c>
      <c r="EB85" s="21">
        <f>EXP(-LN(2)/25)*EB84+(1-EXP(-LN(2)/25))/(LN(2)/25)*Calculateur!DW85*Calculateur!DY85*VLOOKUP('Données projet'!$B$14,Paramètres!$A$1:$I$89,3,0)*0.475*44/12</f>
        <v>29.523363423397633</v>
      </c>
      <c r="EC85" s="21">
        <f>EXP(-LN(2)/2)*EC84+(1-EXP(-LN(2)/2))/(LN(2)/2)*DW85*DZ85*VLOOKUP('Données projet'!$B$14,Paramètres!$A$1:$I$89,3,0)*0.475*44/12</f>
        <v>0.67126554545239747</v>
      </c>
      <c r="ED85" s="22">
        <f t="shared" si="72"/>
        <v>63.433248120864526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6.7444444444444462</v>
      </c>
      <c r="EJ85" s="12">
        <f>IF('Données projet'!$A$192&gt;35,EJ84+EI85-ER84,IF(A85&lt;'Données projet'!$A$192,$EG$205^A85,IF(A85='Données projet'!$A$192,'Données projet'!$B$192,EJ84+EI85-ER84)))</f>
        <v>202.29222222222222</v>
      </c>
      <c r="EK85" s="17">
        <f>EJ85*VLOOKUP('Données projet'!$B$15,Paramètres!$A$1:$I$89,3,0)*VLOOKUP('Données projet'!$B$15,Paramètres!$A$1:$I$89,5,0)</f>
        <v>195.65703733333334</v>
      </c>
      <c r="EL85" s="13">
        <f t="shared" si="99"/>
        <v>48.788499880593612</v>
      </c>
      <c r="EM85" s="20">
        <f t="shared" si="73"/>
        <v>425.74264398092276</v>
      </c>
      <c r="EN85" s="59">
        <f t="shared" si="74"/>
        <v>719.07597731425608</v>
      </c>
      <c r="EO85" s="59">
        <f ca="1">AVERAGE(OFFSET($EN$3,0,0,'Données projet'!$E$15+1,1))-AVERAGE(OFFSET($H$3,0,0,'Données projet'!$E$15+1,1))</f>
        <v>510.71380643466227</v>
      </c>
      <c r="EP85" s="59">
        <f t="shared" si="100"/>
        <v>252.40654099948841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11.287724851968608</v>
      </c>
      <c r="EX85" s="21">
        <f>EXP(-LN(2)/2)*EX84+(1-EXP(-LN(2)/2))/(LN(2)/2)*ER85*EU85*VLOOKUP('Données projet'!$B$15,Paramètres!$A$1:$I$89,3,0)*0.475*44/12</f>
        <v>1.4837669909547708</v>
      </c>
      <c r="EY85" s="22">
        <f t="shared" si="75"/>
        <v>12.771491842923378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>
        <f>VLOOKUP(A86,'Données projet'!$A$35:$I$55,2,0)</f>
        <v>233.16</v>
      </c>
      <c r="L86" s="12">
        <f>VLOOKUP(A86,'Données projet'!$A$35:$I$55,9,0)</f>
        <v>6.8810000000000002</v>
      </c>
      <c r="M86" s="12">
        <f t="array" ref="M86">INDEX(L:L,MIN(IF(ISNUMBER(L86:L282),ROW(L86:L282),"")))</f>
        <v>6.8810000000000002</v>
      </c>
      <c r="N86" s="13">
        <f>IF('Données projet'!$A$36&gt;35,N85+M86-V85,IF(A86&lt;'Données projet'!$A$36,$K$205^A86,IF(A86='Données projet'!$A$36,'Données projet'!$B$36,N85+M86-V85)))</f>
        <v>233.16000000000017</v>
      </c>
      <c r="O86" s="13">
        <f>N86*VLOOKUP('Données projet'!$B$9,Paramètres!$A$1:$I$89,3,0)*VLOOKUP('Données projet'!$B$9,Paramètres!$A$1:$I$89,5,0)</f>
        <v>236.4242400000002</v>
      </c>
      <c r="P86" s="13">
        <f t="shared" si="87"/>
        <v>57.669517457723209</v>
      </c>
      <c r="Q86" s="20">
        <f t="shared" si="54"/>
        <v>512.21329423886823</v>
      </c>
      <c r="R86" s="59">
        <f t="shared" si="55"/>
        <v>805.54662757220149</v>
      </c>
      <c r="S86" s="59">
        <f ca="1">AVERAGE(OFFSET($R$3,0,0,'Données projet'!$E$9+1,1))-AVERAGE(OFFSET($H$3,0,0,'Données projet'!$E$9+1,1))</f>
        <v>543.67050511722618</v>
      </c>
      <c r="T86" s="59">
        <f t="shared" si="88"/>
        <v>249.0871389941106</v>
      </c>
      <c r="U86" s="15">
        <f>IF(ISNA(VLOOKUP(A86,'Données projet'!$A$35:$I$55,3,0)),0,VLOOKUP(A86,'Données projet'!$A$35:$I$55,3,0))</f>
        <v>5</v>
      </c>
      <c r="V86" s="15">
        <f>IF(ISNA(VLOOKUP(A86,'Données projet'!$A$35:$I$55,4,0)),0,VLOOKUP(A86,'Données projet'!$A$35:$I$55,4,0))</f>
        <v>40.069999999999993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0.34400000000000003</v>
      </c>
      <c r="Y86" s="16">
        <f>IF(ISNA(VLOOKUP(A86,'Données projet'!$A$35:$I$55,7,0)),0%,VLOOKUP(A86,'Données projet'!$A$35:$I$55,7,0))</f>
        <v>0.2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48.152904116175449</v>
      </c>
      <c r="AB86" s="21">
        <f>EXP(-LN(2)/2)*AB85+(1-EXP(-LN(2)/2))/(LN(2)/2)*V86*Y86*VLOOKUP('Données projet'!$B$9,Paramètres!$A$1:$I$89,3,0)*0.475*44/12</f>
        <v>7.8949207010848461</v>
      </c>
      <c r="AC86" s="22">
        <f t="shared" si="57"/>
        <v>56.047824817260292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9.546999999999997</v>
      </c>
      <c r="AI86" s="13">
        <f>IF('Données projet'!$A$62&gt;35,AI85+AH86-AQ85,IF(A86&lt;'Données projet'!$A$62,$AF$205^A86,IF(A86='Données projet'!$A$62,'Données projet'!$B$62,AI85+AH86-AQ85)))</f>
        <v>345.54300000000046</v>
      </c>
      <c r="AJ86" s="13">
        <f>AI86*VLOOKUP('Données projet'!$B$10,Paramètres!$A$1:$I$89,3,0)*VLOOKUP('Données projet'!$B$10,Paramètres!$A$1:$I$89,5,0)</f>
        <v>312.64730640000039</v>
      </c>
      <c r="AK86" s="13">
        <f t="shared" si="89"/>
        <v>73.821419204446315</v>
      </c>
      <c r="AL86" s="20">
        <f t="shared" si="58"/>
        <v>673.09969709441123</v>
      </c>
      <c r="AM86" s="59">
        <f t="shared" si="59"/>
        <v>966.4330304277446</v>
      </c>
      <c r="AN86" s="59">
        <f ca="1">AVERAGE(OFFSET($AM$3,0,0,'Données projet'!$E$10+1,1))-AVERAGE(OFFSET($H$3,0,0,'Données projet'!$E$10+1,1))</f>
        <v>635.71275911100679</v>
      </c>
      <c r="AO86" s="59">
        <f t="shared" si="90"/>
        <v>281.7776857269169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12.237499391996371</v>
      </c>
      <c r="AV86" s="21">
        <f>EXP(-LN(2)/25)*AV85+(1-EXP(-LN(2)/25))/(LN(2)/25)*Calculateur!AQ86*Calculateur!AS86*VLOOKUP('Données projet'!$B$10,Paramètres!$A$1:$I$89,3,0)*0.475*44/12</f>
        <v>24.535379119529289</v>
      </c>
      <c r="AW86" s="21">
        <f>EXP(-LN(2)/2)*AW85+(1-EXP(-LN(2)/2))/(LN(2)/2)*AQ86*AT86*VLOOKUP('Données projet'!$B$10,Paramètres!$A$1:$I$89,3,0)*0.475*44/12</f>
        <v>0.20784007321282855</v>
      </c>
      <c r="AX86" s="21">
        <f t="shared" si="60"/>
        <v>36.98071858473849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1.7948717948717898</v>
      </c>
      <c r="BD86" s="12">
        <f>IF('Données projet'!$A$88&gt;35,BD85+BC86-BL85,IF(A86&lt;'Données projet'!$A$88,$BA$205^A86,IF(A86='Données projet'!$A$88,'Données projet'!$B$88,BD85+BC86-BL85)))</f>
        <v>131.6666666666666</v>
      </c>
      <c r="BE86" s="13">
        <f>BD86*VLOOKUP('Données projet'!$B$11,Paramètres!$A$1:$I$89,3,0)*VLOOKUP('Données projet'!$B$11,Paramètres!$A$1:$I$89,5,0)</f>
        <v>115.02399999999996</v>
      </c>
      <c r="BF86" s="13">
        <f t="shared" si="91"/>
        <v>30.511583941282172</v>
      </c>
      <c r="BG86" s="20">
        <f t="shared" si="61"/>
        <v>253.47447536439972</v>
      </c>
      <c r="BH86" s="59">
        <f t="shared" si="62"/>
        <v>546.80780869773298</v>
      </c>
      <c r="BI86" s="59">
        <f ca="1">AVERAGE(OFFSET($BH$3,0,0,'Données projet'!$E$11+1,1))-AVERAGE(OFFSET($H$3,0,0,'Données projet'!$E$11+1,1))</f>
        <v>204.11804238362862</v>
      </c>
      <c r="BJ86" s="59">
        <f t="shared" si="92"/>
        <v>185.53854651509408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1.1162071345881583</v>
      </c>
      <c r="BQ86" s="21">
        <f>EXP(-LN(2)/25)*BQ85+(1-EXP(-LN(2)/25))/(LN(2)/25)*Calculateur!BL86*Calculateur!BN86*VLOOKUP('Données projet'!$B$11,Paramètres!$A$1:$I$89,3,0)*0.475*44/12</f>
        <v>12.400362911795087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13.516570046383245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>
        <f>VLOOKUP(A86,'Données projet'!$A$113:$I$133,2,0)</f>
        <v>233.16</v>
      </c>
      <c r="BW86" s="12">
        <f>VLOOKUP(A86,'Données projet'!$A$113:$I$133,9,0)</f>
        <v>6.8810000000000002</v>
      </c>
      <c r="BX86" s="12">
        <f t="array" ref="BX86">INDEX(BW:BW,MIN(IF(ISNUMBER(BW86:BW282),ROW(BW86:BW282),"")))</f>
        <v>6.8810000000000002</v>
      </c>
      <c r="BY86" s="12">
        <f>IF('Données projet'!$A$114&gt;35,BY85+BX86-CG85,IF(A86&lt;'Données projet'!$A$114,$BV$205^A86,IF(A86='Données projet'!$A$114,'Données projet'!$B$114,BY85+BX86-CG85)))</f>
        <v>233.16000000000017</v>
      </c>
      <c r="BZ86" s="13">
        <f>BY86*VLOOKUP('Données projet'!$B$12,Paramètres!$A$1:$I$89,3,0)*VLOOKUP('Données projet'!$B$12,Paramètres!$A$1:$I$89,5,0)</f>
        <v>232.78694400000018</v>
      </c>
      <c r="CA86" s="13">
        <f t="shared" si="93"/>
        <v>56.884860920666497</v>
      </c>
      <c r="CB86" s="20">
        <f t="shared" si="64"/>
        <v>504.51172690349432</v>
      </c>
      <c r="CC86" s="59">
        <f t="shared" si="65"/>
        <v>797.84506023682763</v>
      </c>
      <c r="CD86" s="59">
        <f ca="1">AVERAGE(OFFSET($CC$3,0,0,'Données projet'!$E$12+1,1))-AVERAGE(OFFSET($H$3,0,0,'Données projet'!$E$12+1,1))</f>
        <v>535.99935263833549</v>
      </c>
      <c r="CE86" s="59">
        <f t="shared" si="94"/>
        <v>245.89966477332644</v>
      </c>
      <c r="CF86" s="15">
        <f>IF(ISNA(VLOOKUP(A86,'Données projet'!$A$113:$I$133,3,0)),0,VLOOKUP(A86,'Données projet'!$A$113:$I$133,3,0))</f>
        <v>5</v>
      </c>
      <c r="CG86" s="15">
        <f>IF(ISNA(VLOOKUP(A86,'Données projet'!$A$113:$I$133,4,0)),0,VLOOKUP(A86,'Données projet'!$A$113:$I$133,4,0))</f>
        <v>40.069999999999993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0.1075</v>
      </c>
      <c r="CJ86" s="16">
        <f>IF(ISNA(VLOOKUP(A86,'Données projet'!$A$113:$I$133,7,0)),0%,VLOOKUP(A86,'Données projet'!$A$113:$I$133,7,0))</f>
        <v>0.25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14.816278189592442</v>
      </c>
      <c r="CM86" s="21">
        <f>EXP(-LN(2)/2)*CM85+(1-EXP(-LN(2)/2))/(LN(2)/2)*CG86*CJ86*VLOOKUP('Données projet'!$B$12,Paramètres!$A$1:$I$89,3,0)*0.475*44/12</f>
        <v>9.7168254782582721</v>
      </c>
      <c r="CN86" s="22">
        <f t="shared" si="66"/>
        <v>24.533103667850714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>
        <f>VLOOKUP(A86,'Données projet'!$A$139:$I$159,2,0)</f>
        <v>306.11</v>
      </c>
      <c r="CR86" s="12">
        <f>VLOOKUP(A86,'Données projet'!$A$139:$I$159,9,0)</f>
        <v>9.4837500000000006</v>
      </c>
      <c r="CS86" s="12">
        <f t="array" ref="CS86">INDEX(CR:CR,MIN(IF(ISNUMBER(CR86:CR282),ROW(CR86:CR282),"")))</f>
        <v>9.4837500000000006</v>
      </c>
      <c r="CT86" s="12">
        <f>IF('Données projet'!$A$140&gt;35,CT85+CS86-DB85,IF(A86&lt;'Données projet'!$A$140,$CQ$205^A86,IF(A86='Données projet'!$A$140,'Données projet'!$B$140,CT85+CS86-DB85)))</f>
        <v>306.1099999999999</v>
      </c>
      <c r="CU86" s="17">
        <f>CT86*VLOOKUP('Données projet'!$B$13,Paramètres!$A$1:$I$89,3,0)*VLOOKUP('Données projet'!$B$13,Paramètres!$A$1:$I$89,5,0)</f>
        <v>291.29427599999991</v>
      </c>
      <c r="CV86" s="13">
        <f t="shared" si="95"/>
        <v>69.348293174982246</v>
      </c>
      <c r="CW86" s="20">
        <f t="shared" si="67"/>
        <v>628.11914131309391</v>
      </c>
      <c r="CX86" s="59">
        <f t="shared" si="68"/>
        <v>921.45247464642716</v>
      </c>
      <c r="CY86" s="59">
        <f ca="1">AVERAGE(OFFSET($CX$3,0,0,'Données projet'!$E$13+1,1))-AVERAGE(OFFSET($H$3,0,0,'Données projet'!$E$13+1,1))</f>
        <v>449.28947235329758</v>
      </c>
      <c r="CZ86" s="59">
        <f t="shared" si="96"/>
        <v>289.36994109443964</v>
      </c>
      <c r="DA86" s="15">
        <f>IF(ISNA(VLOOKUP(A86,'Données projet'!$A$139:$I$159,3,0)),0,VLOOKUP(A86,'Données projet'!$A$139:$I$159,3,0))</f>
        <v>7</v>
      </c>
      <c r="DB86" s="15">
        <f>IF(ISNA(VLOOKUP(A86,'Données projet'!$A$139:$I$159,4,0)),0,VLOOKUP(A86,'Données projet'!$A$139:$I$159,4,0))</f>
        <v>49.980000000000018</v>
      </c>
      <c r="DC86" s="16">
        <f>IF(ISNA(VLOOKUP(A86,'Données projet'!$A$139:$I$159,5,0)),0%,VLOOKUP(A86,'Données projet'!$A$139:$I$159,5,0)*VLOOKUP('Données projet'!$B$13,Paramètres!$A$1:$I$89,7,0))</f>
        <v>0.1075</v>
      </c>
      <c r="DD86" s="16">
        <f>IF(ISNA(VLOOKUP(A86,'Données projet'!$A$139:$I$159,6,0)),0%,VLOOKUP(A86,'Données projet'!$A$139:$I$159,6,0)*VLOOKUP('Données projet'!$B$13,Paramètres!$A$1:$I$89,7,0))</f>
        <v>0.1075</v>
      </c>
      <c r="DE86" s="16">
        <f>IF(ISNA(VLOOKUP(A86,'Données projet'!$A$139:$I$159,7,0)),0%,VLOOKUP(A86,'Données projet'!$A$139:$I$159,7,0))</f>
        <v>0.25</v>
      </c>
      <c r="DF86" s="21">
        <f>EXP(-LN(2)/35)*DF85+(1-EXP(-LN(2)/35))/(LN(2)/35)*DB86*DC86*VLOOKUP('Données projet'!$B$13,Paramètres!$A$1:$I$89,3,0)*0.475*44/12</f>
        <v>19.014484362112601</v>
      </c>
      <c r="DG86" s="21">
        <f>EXP(-LN(2)/25)*DG85+(1-EXP(-LN(2)/25))/(LN(2)/25)*Calculateur!DB86*Calculateur!DD86*VLOOKUP('Données projet'!$B$13,Paramètres!$A$1:$I$89,3,0)*0.475*44/12</f>
        <v>21.123316615846392</v>
      </c>
      <c r="DH86" s="21">
        <f>EXP(-LN(2)/2)*DH85+(1-EXP(-LN(2)/2))/(LN(2)/2)*DB86*DE86*VLOOKUP('Données projet'!$B$13,Paramètres!$A$1:$I$89,3,0)*0.475*44/12</f>
        <v>11.86914369134567</v>
      </c>
      <c r="DI86" s="22">
        <f t="shared" si="69"/>
        <v>52.006944669304659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5.6843418860808015E-14</v>
      </c>
      <c r="DP86" s="17">
        <f>DO86*VLOOKUP('Données projet'!$B$14,Paramètres!$A$1:$I$89,3,0)*VLOOKUP('Données projet'!$B$14,Paramètres!$A$1:$I$89,5,0)</f>
        <v>4.4337866711430253E-14</v>
      </c>
      <c r="DQ86" s="13">
        <f t="shared" si="97"/>
        <v>7.3222115536967035E-13</v>
      </c>
      <c r="DR86" s="20">
        <f t="shared" si="70"/>
        <v>1.3525069634579169E-12</v>
      </c>
      <c r="DS86" s="59">
        <f t="shared" si="71"/>
        <v>293.33333333333468</v>
      </c>
      <c r="DT86" s="59">
        <f ca="1">AVERAGE(OFFSET($DS$3,0,0,'Données projet'!$E$14+1,1))-AVERAGE(OFFSET($H$3,0,0,'Données projet'!$E$14+1,1))</f>
        <v>288.82868507674738</v>
      </c>
      <c r="DU86" s="59">
        <f t="shared" si="98"/>
        <v>283.48738729114024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32.586830103999326</v>
      </c>
      <c r="EB86" s="21">
        <f>EXP(-LN(2)/25)*EB85+(1-EXP(-LN(2)/25))/(LN(2)/25)*Calculateur!DW86*Calculateur!DY86*VLOOKUP('Données projet'!$B$14,Paramètres!$A$1:$I$89,3,0)*0.475*44/12</f>
        <v>28.716045498018619</v>
      </c>
      <c r="EC86" s="21">
        <f>EXP(-LN(2)/2)*EC85+(1-EXP(-LN(2)/2))/(LN(2)/2)*DW86*DZ86*VLOOKUP('Données projet'!$B$14,Paramètres!$A$1:$I$89,3,0)*0.475*44/12</f>
        <v>0.47465641916627693</v>
      </c>
      <c r="ED86" s="22">
        <f t="shared" si="72"/>
        <v>61.777532021184228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6.7444444444444462</v>
      </c>
      <c r="EJ86" s="12">
        <f>IF('Données projet'!$A$192&gt;35,EJ85+EI86-ER85,IF(A86&lt;'Données projet'!$A$192,$EG$205^A86,IF(A86='Données projet'!$A$192,'Données projet'!$B$192,EJ85+EI86-ER85)))</f>
        <v>209.03666666666666</v>
      </c>
      <c r="EK86" s="17">
        <f>EJ86*VLOOKUP('Données projet'!$B$15,Paramètres!$A$1:$I$89,3,0)*VLOOKUP('Données projet'!$B$15,Paramètres!$A$1:$I$89,5,0)</f>
        <v>202.18026399999999</v>
      </c>
      <c r="EL86" s="13">
        <f t="shared" si="99"/>
        <v>50.223020984939033</v>
      </c>
      <c r="EM86" s="20">
        <f t="shared" si="73"/>
        <v>439.60238801543551</v>
      </c>
      <c r="EN86" s="59">
        <f t="shared" si="74"/>
        <v>732.93572134876877</v>
      </c>
      <c r="EO86" s="59">
        <f ca="1">AVERAGE(OFFSET($EN$3,0,0,'Données projet'!$E$15+1,1))-AVERAGE(OFFSET($H$3,0,0,'Données projet'!$E$15+1,1))</f>
        <v>510.71380643466227</v>
      </c>
      <c r="EP86" s="59">
        <f t="shared" si="100"/>
        <v>252.40654099948841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10.979061422295874</v>
      </c>
      <c r="EX86" s="21">
        <f>EXP(-LN(2)/2)*EX85+(1-EXP(-LN(2)/2))/(LN(2)/2)*ER86*EU86*VLOOKUP('Données projet'!$B$15,Paramètres!$A$1:$I$89,3,0)*0.475*44/12</f>
        <v>1.0491817010048772</v>
      </c>
      <c r="EY86" s="22">
        <f t="shared" si="75"/>
        <v>12.028243123300751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6.8999999999999968</v>
      </c>
      <c r="N87" s="13">
        <f>IF('Données projet'!$A$36&gt;35,N86+M87-V86,IF(A87&lt;'Données projet'!$A$36,$K$205^A87,IF(A87='Données projet'!$A$36,'Données projet'!$B$36,N86+M87-V86)))</f>
        <v>199.99000000000018</v>
      </c>
      <c r="O87" s="13">
        <f>N87*VLOOKUP('Données projet'!$B$9,Paramètres!$A$1:$I$89,3,0)*VLOOKUP('Données projet'!$B$9,Paramètres!$A$1:$I$89,5,0)</f>
        <v>202.7898600000002</v>
      </c>
      <c r="P87" s="13">
        <f t="shared" si="87"/>
        <v>50.356799311191317</v>
      </c>
      <c r="Q87" s="20">
        <f t="shared" si="54"/>
        <v>440.89709830032524</v>
      </c>
      <c r="R87" s="59">
        <f t="shared" si="55"/>
        <v>734.23043163365855</v>
      </c>
      <c r="S87" s="59">
        <f ca="1">AVERAGE(OFFSET($R$3,0,0,'Données projet'!$E$9+1,1))-AVERAGE(OFFSET($H$3,0,0,'Données projet'!$E$9+1,1))</f>
        <v>543.67050511722618</v>
      </c>
      <c r="T87" s="59">
        <f t="shared" si="88"/>
        <v>249.0871389941106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46.836160420867458</v>
      </c>
      <c r="AB87" s="21">
        <f>EXP(-LN(2)/2)*AB86+(1-EXP(-LN(2)/2))/(LN(2)/2)*V87*Y87*VLOOKUP('Données projet'!$B$9,Paramètres!$A$1:$I$89,3,0)*0.475*44/12</f>
        <v>5.5825519646671466</v>
      </c>
      <c r="AC87" s="22">
        <f t="shared" si="57"/>
        <v>52.418712385534604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9.546999999999997</v>
      </c>
      <c r="AH87" s="12">
        <f t="array" ref="AH87">INDEX(AG:AG,MIN(IF(ISNUMBER(AG87:AG283),ROW(AG87:AG283),"")))</f>
        <v>9.546999999999997</v>
      </c>
      <c r="AI87" s="13">
        <f>IF('Données projet'!$A$62&gt;35,AI86+AH87-AQ86,IF(A87&lt;'Données projet'!$A$62,$AF$205^A87,IF(A87='Données projet'!$A$62,'Données projet'!$B$62,AI86+AH87-AQ86)))</f>
        <v>355.09000000000049</v>
      </c>
      <c r="AJ87" s="13">
        <f>AI87*VLOOKUP('Données projet'!$B$10,Paramètres!$A$1:$I$89,3,0)*VLOOKUP('Données projet'!$B$10,Paramètres!$A$1:$I$89,5,0)</f>
        <v>321.28543200000041</v>
      </c>
      <c r="AK87" s="13">
        <f t="shared" si="89"/>
        <v>75.620750353808944</v>
      </c>
      <c r="AL87" s="20">
        <f t="shared" si="58"/>
        <v>691.27826759955133</v>
      </c>
      <c r="AM87" s="59">
        <f t="shared" si="59"/>
        <v>984.61160093288458</v>
      </c>
      <c r="AN87" s="59">
        <f ca="1">AVERAGE(OFFSET($AM$3,0,0,'Données projet'!$E$10+1,1))-AVERAGE(OFFSET($H$3,0,0,'Données projet'!$E$10+1,1))</f>
        <v>635.71275911100679</v>
      </c>
      <c r="AO87" s="59">
        <f t="shared" si="90"/>
        <v>281.7776857269169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66.69</v>
      </c>
      <c r="AR87" s="16">
        <f>IF(ISNA(VLOOKUP(A87,'Données projet'!$A$61:$I$81,5,0)),0%,VLOOKUP(A87,'Données projet'!$A$61:$I$81,5,0)*VLOOKUP('Données projet'!$B$10,Paramètres!$A$1:$I$89,7,0))</f>
        <v>0.15049999999999999</v>
      </c>
      <c r="AS87" s="16">
        <f>IF(ISNA(VLOOKUP(A87,'Données projet'!$A$61:$I$81,6,0)),0%,VLOOKUP(A87,'Données projet'!$A$61:$I$81,6,0)*VLOOKUP('Données projet'!$B$10,Paramètres!$A$1:$I$89,7,0))</f>
        <v>8.6000000000000007E-2</v>
      </c>
      <c r="AT87" s="16">
        <f>IF(ISNA(VLOOKUP(A87,'Données projet'!$A$61:$I$81,7,0)),0%,VLOOKUP(A87,'Données projet'!$A$61:$I$81,7,0))</f>
        <v>0.1</v>
      </c>
      <c r="AU87" s="21">
        <f>EXP(-LN(2)/35)*AU86+(1-EXP(-LN(2)/35))/(LN(2)/35)*AQ87*AR87*VLOOKUP('Données projet'!$B$10,Paramètres!$A$1:$I$89,3,0)*0.475*44/12</f>
        <v>22.036678946661006</v>
      </c>
      <c r="AV87" s="21">
        <f>EXP(-LN(2)/25)*AV86+(1-EXP(-LN(2)/25))/(LN(2)/25)*Calculateur!AQ87*Calculateur!AS87*VLOOKUP('Données projet'!$B$10,Paramètres!$A$1:$I$89,3,0)*0.475*44/12</f>
        <v>29.578527314097339</v>
      </c>
      <c r="AW87" s="21">
        <f>EXP(-LN(2)/2)*AW86+(1-EXP(-LN(2)/2))/(LN(2)/2)*AQ87*AT87*VLOOKUP('Données projet'!$B$10,Paramètres!$A$1:$I$89,3,0)*0.475*44/12</f>
        <v>5.8403114480929164</v>
      </c>
      <c r="AX87" s="21">
        <f t="shared" si="60"/>
        <v>57.455517708851261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1.7948717948717898</v>
      </c>
      <c r="BD87" s="12">
        <f>IF('Données projet'!$A$88&gt;35,BD86+BC87-BL86,IF(A87&lt;'Données projet'!$A$88,$BA$205^A87,IF(A87='Données projet'!$A$88,'Données projet'!$B$88,BD86+BC87-BL86)))</f>
        <v>133.4615384615384</v>
      </c>
      <c r="BE87" s="13">
        <f>BD87*VLOOKUP('Données projet'!$B$11,Paramètres!$A$1:$I$89,3,0)*VLOOKUP('Données projet'!$B$11,Paramètres!$A$1:$I$89,5,0)</f>
        <v>116.59199999999996</v>
      </c>
      <c r="BF87" s="13">
        <f t="shared" si="91"/>
        <v>30.87881135407634</v>
      </c>
      <c r="BG87" s="20">
        <f t="shared" si="61"/>
        <v>256.84499644168284</v>
      </c>
      <c r="BH87" s="59">
        <f t="shared" si="62"/>
        <v>550.17832977501621</v>
      </c>
      <c r="BI87" s="59">
        <f ca="1">AVERAGE(OFFSET($BH$3,0,0,'Données projet'!$E$11+1,1))-AVERAGE(OFFSET($H$3,0,0,'Données projet'!$E$11+1,1))</f>
        <v>204.11804238362862</v>
      </c>
      <c r="BJ87" s="59">
        <f t="shared" si="92"/>
        <v>185.53854651509408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1.0943189934980113</v>
      </c>
      <c r="BQ87" s="21">
        <f>EXP(-LN(2)/25)*BQ86+(1-EXP(-LN(2)/25))/(LN(2)/25)*Calculateur!BL87*Calculateur!BN87*VLOOKUP('Données projet'!$B$11,Paramètres!$A$1:$I$89,3,0)*0.475*44/12</f>
        <v>12.061274335865306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13.155593329363317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6.8999999999999968</v>
      </c>
      <c r="BY87" s="12">
        <f>IF('Données projet'!$A$114&gt;35,BY86+BX87-CG86,IF(A87&lt;'Données projet'!$A$114,$BV$205^A87,IF(A87='Données projet'!$A$114,'Données projet'!$B$114,BY86+BX87-CG86)))</f>
        <v>199.99000000000018</v>
      </c>
      <c r="BZ87" s="13">
        <f>BY87*VLOOKUP('Données projet'!$B$12,Paramètres!$A$1:$I$89,3,0)*VLOOKUP('Données projet'!$B$12,Paramètres!$A$1:$I$89,5,0)</f>
        <v>199.67001600000017</v>
      </c>
      <c r="CA87" s="13">
        <f t="shared" si="93"/>
        <v>49.671640261720412</v>
      </c>
      <c r="CB87" s="20">
        <f t="shared" si="64"/>
        <v>434.27005132249661</v>
      </c>
      <c r="CC87" s="59">
        <f t="shared" si="65"/>
        <v>727.60338465582993</v>
      </c>
      <c r="CD87" s="59">
        <f ca="1">AVERAGE(OFFSET($CC$3,0,0,'Données projet'!$E$12+1,1))-AVERAGE(OFFSET($H$3,0,0,'Données projet'!$E$12+1,1))</f>
        <v>535.99935263833549</v>
      </c>
      <c r="CE87" s="59">
        <f t="shared" si="94"/>
        <v>245.89966477332644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14.41112628334383</v>
      </c>
      <c r="CM87" s="21">
        <f>EXP(-LN(2)/2)*CM86+(1-EXP(-LN(2)/2))/(LN(2)/2)*CG87*CJ87*VLOOKUP('Données projet'!$B$12,Paramètres!$A$1:$I$89,3,0)*0.475*44/12</f>
        <v>6.8708331872826429</v>
      </c>
      <c r="CN87" s="22">
        <f t="shared" si="66"/>
        <v>21.281959470626472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9.2740000000000009</v>
      </c>
      <c r="CT87" s="12">
        <f>IF('Données projet'!$A$140&gt;35,CT86+CS87-DB86,IF(A87&lt;'Données projet'!$A$140,$CQ$205^A87,IF(A87='Données projet'!$A$140,'Données projet'!$B$140,CT86+CS87-DB86)))</f>
        <v>265.40399999999988</v>
      </c>
      <c r="CU87" s="17">
        <f>CT87*VLOOKUP('Données projet'!$B$13,Paramètres!$A$1:$I$89,3,0)*VLOOKUP('Données projet'!$B$13,Paramètres!$A$1:$I$89,5,0)</f>
        <v>252.55844639999989</v>
      </c>
      <c r="CV87" s="13">
        <f t="shared" si="95"/>
        <v>61.133468574024647</v>
      </c>
      <c r="CW87" s="20">
        <f t="shared" si="67"/>
        <v>546.34675191309282</v>
      </c>
      <c r="CX87" s="59">
        <f t="shared" si="68"/>
        <v>839.68008524642619</v>
      </c>
      <c r="CY87" s="59">
        <f ca="1">AVERAGE(OFFSET($CX$3,0,0,'Données projet'!$E$13+1,1))-AVERAGE(OFFSET($H$3,0,0,'Données projet'!$E$13+1,1))</f>
        <v>449.28947235329758</v>
      </c>
      <c r="CZ87" s="59">
        <f t="shared" si="96"/>
        <v>289.36994109443964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18.641621921461855</v>
      </c>
      <c r="DG87" s="21">
        <f>EXP(-LN(2)/25)*DG86+(1-EXP(-LN(2)/25))/(LN(2)/25)*Calculateur!DB87*Calculateur!DD87*VLOOKUP('Données projet'!$B$13,Paramètres!$A$1:$I$89,3,0)*0.475*44/12</f>
        <v>20.54569841215913</v>
      </c>
      <c r="DH87" s="21">
        <f>EXP(-LN(2)/2)*DH86+(1-EXP(-LN(2)/2))/(LN(2)/2)*DB87*DE87*VLOOKUP('Données projet'!$B$13,Paramètres!$A$1:$I$89,3,0)*0.475*44/12</f>
        <v>8.3927519910280548</v>
      </c>
      <c r="DI87" s="22">
        <f t="shared" si="69"/>
        <v>47.580072324649045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5.6843418860808015E-14</v>
      </c>
      <c r="DP87" s="17">
        <f>DO87*VLOOKUP('Données projet'!$B$14,Paramètres!$A$1:$I$89,3,0)*VLOOKUP('Données projet'!$B$14,Paramètres!$A$1:$I$89,5,0)</f>
        <v>4.4337866711430253E-14</v>
      </c>
      <c r="DQ87" s="13">
        <f t="shared" si="97"/>
        <v>7.3222115536967035E-13</v>
      </c>
      <c r="DR87" s="20">
        <f t="shared" si="70"/>
        <v>1.3525069634579169E-12</v>
      </c>
      <c r="DS87" s="59">
        <f t="shared" si="71"/>
        <v>293.33333333333468</v>
      </c>
      <c r="DT87" s="59">
        <f ca="1">AVERAGE(OFFSET($DS$3,0,0,'Données projet'!$E$14+1,1))-AVERAGE(OFFSET($H$3,0,0,'Données projet'!$E$14+1,1))</f>
        <v>288.82868507674738</v>
      </c>
      <c r="DU87" s="59">
        <f t="shared" si="98"/>
        <v>283.48738729114024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31.947822241663669</v>
      </c>
      <c r="EB87" s="21">
        <f>EXP(-LN(2)/25)*EB86+(1-EXP(-LN(2)/25))/(LN(2)/25)*Calculateur!DW87*Calculateur!DY87*VLOOKUP('Données projet'!$B$14,Paramètres!$A$1:$I$89,3,0)*0.475*44/12</f>
        <v>27.9308037237641</v>
      </c>
      <c r="EC87" s="21">
        <f>EXP(-LN(2)/2)*EC86+(1-EXP(-LN(2)/2))/(LN(2)/2)*DW87*DZ87*VLOOKUP('Données projet'!$B$14,Paramètres!$A$1:$I$89,3,0)*0.475*44/12</f>
        <v>0.33563277272619879</v>
      </c>
      <c r="ED87" s="22">
        <f t="shared" si="72"/>
        <v>60.214258738153973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6.7444444444444462</v>
      </c>
      <c r="EJ87" s="12">
        <f>IF('Données projet'!$A$192&gt;35,EJ86+EI87-ER86,IF(A87&lt;'Données projet'!$A$192,$EG$205^A87,IF(A87='Données projet'!$A$192,'Données projet'!$B$192,EJ86+EI87-ER86)))</f>
        <v>215.7811111111111</v>
      </c>
      <c r="EK87" s="17">
        <f>EJ87*VLOOKUP('Données projet'!$B$15,Paramètres!$A$1:$I$89,3,0)*VLOOKUP('Données projet'!$B$15,Paramètres!$A$1:$I$89,5,0)</f>
        <v>208.70349066666665</v>
      </c>
      <c r="EL87" s="13">
        <f t="shared" si="99"/>
        <v>51.652163752582879</v>
      </c>
      <c r="EM87" s="20">
        <f t="shared" si="73"/>
        <v>453.45276478019287</v>
      </c>
      <c r="EN87" s="59">
        <f t="shared" si="74"/>
        <v>746.78609811352612</v>
      </c>
      <c r="EO87" s="59">
        <f ca="1">AVERAGE(OFFSET($EN$3,0,0,'Données projet'!$E$15+1,1))-AVERAGE(OFFSET($H$3,0,0,'Données projet'!$E$15+1,1))</f>
        <v>510.71380643466227</v>
      </c>
      <c r="EP87" s="59">
        <f t="shared" si="100"/>
        <v>252.40654099948841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10.678838410339447</v>
      </c>
      <c r="EX87" s="21">
        <f>EXP(-LN(2)/2)*EX86+(1-EXP(-LN(2)/2))/(LN(2)/2)*ER87*EU87*VLOOKUP('Données projet'!$B$15,Paramètres!$A$1:$I$89,3,0)*0.475*44/12</f>
        <v>0.74188349547738541</v>
      </c>
      <c r="EY87" s="22">
        <f t="shared" si="75"/>
        <v>11.420721905816832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6.8999999999999968</v>
      </c>
      <c r="N88" s="13">
        <f>IF('Données projet'!$A$36&gt;35,N87+M88-V87,IF(A88&lt;'Données projet'!$A$36,$K$205^A88,IF(A88='Données projet'!$A$36,'Données projet'!$B$36,N87+M88-V87)))</f>
        <v>206.89000000000019</v>
      </c>
      <c r="O88" s="13">
        <f>N88*VLOOKUP('Données projet'!$B$9,Paramètres!$A$1:$I$89,3,0)*VLOOKUP('Données projet'!$B$9,Paramètres!$A$1:$I$89,5,0)</f>
        <v>209.78646000000023</v>
      </c>
      <c r="P88" s="13">
        <f t="shared" si="87"/>
        <v>51.888919073049237</v>
      </c>
      <c r="Q88" s="20">
        <f t="shared" si="54"/>
        <v>455.75128521889451</v>
      </c>
      <c r="R88" s="59">
        <f t="shared" si="55"/>
        <v>749.08461855222777</v>
      </c>
      <c r="S88" s="59">
        <f ca="1">AVERAGE(OFFSET($R$3,0,0,'Données projet'!$E$9+1,1))-AVERAGE(OFFSET($H$3,0,0,'Données projet'!$E$9+1,1))</f>
        <v>543.67050511722618</v>
      </c>
      <c r="T88" s="59">
        <f t="shared" si="88"/>
        <v>249.0871389941106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45.555423151152205</v>
      </c>
      <c r="AB88" s="21">
        <f>EXP(-LN(2)/2)*AB87+(1-EXP(-LN(2)/2))/(LN(2)/2)*V88*Y88*VLOOKUP('Données projet'!$B$9,Paramètres!$A$1:$I$89,3,0)*0.475*44/12</f>
        <v>3.9474603505424235</v>
      </c>
      <c r="AC88" s="22">
        <f t="shared" si="57"/>
        <v>49.502883501694626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9.1730000000000018</v>
      </c>
      <c r="AI88" s="13">
        <f>IF('Données projet'!$A$62&gt;35,AI87+AH88-AQ87,IF(A88&lt;'Données projet'!$A$62,$AF$205^A88,IF(A88='Données projet'!$A$62,'Données projet'!$B$62,AI87+AH88-AQ87)))</f>
        <v>297.57300000000049</v>
      </c>
      <c r="AJ88" s="13">
        <f>AI88*VLOOKUP('Données projet'!$B$10,Paramètres!$A$1:$I$89,3,0)*VLOOKUP('Données projet'!$B$10,Paramètres!$A$1:$I$89,5,0)</f>
        <v>269.24405040000045</v>
      </c>
      <c r="AK88" s="13">
        <f t="shared" si="89"/>
        <v>64.688811534365087</v>
      </c>
      <c r="AL88" s="20">
        <f t="shared" si="58"/>
        <v>581.59973453568659</v>
      </c>
      <c r="AM88" s="59">
        <f t="shared" si="59"/>
        <v>874.93306786901985</v>
      </c>
      <c r="AN88" s="59">
        <f ca="1">AVERAGE(OFFSET($AM$3,0,0,'Données projet'!$E$10+1,1))-AVERAGE(OFFSET($H$3,0,0,'Données projet'!$E$10+1,1))</f>
        <v>635.71275911100679</v>
      </c>
      <c r="AO88" s="59">
        <f t="shared" si="90"/>
        <v>281.7776857269169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21.604553113563949</v>
      </c>
      <c r="AV88" s="21">
        <f>EXP(-LN(2)/25)*AV87+(1-EXP(-LN(2)/25))/(LN(2)/25)*Calculateur!AQ88*Calculateur!AS88*VLOOKUP('Données projet'!$B$10,Paramètres!$A$1:$I$89,3,0)*0.475*44/12</f>
        <v>28.7697009292262</v>
      </c>
      <c r="AW88" s="21">
        <f>EXP(-LN(2)/2)*AW87+(1-EXP(-LN(2)/2))/(LN(2)/2)*AQ88*AT88*VLOOKUP('Données projet'!$B$10,Paramètres!$A$1:$I$89,3,0)*0.475*44/12</f>
        <v>4.1297238291879266</v>
      </c>
      <c r="AX88" s="21">
        <f t="shared" si="60"/>
        <v>54.503977871978073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135.25641025641025</v>
      </c>
      <c r="BB88" s="12">
        <f>VLOOKUP(A88,'Données projet'!$A$87:$I$107,9,0)</f>
        <v>1.7948717948717898</v>
      </c>
      <c r="BC88" s="12">
        <f t="array" ref="BC88">INDEX(BB:BB,MIN(IF(ISNUMBER(BB88:BB284),ROW(BB88:BB284),"")))</f>
        <v>1.7948717948717898</v>
      </c>
      <c r="BD88" s="12">
        <f>IF('Données projet'!$A$88&gt;35,BD87+BC88-BL87,IF(A88&lt;'Données projet'!$A$88,$BA$205^A88,IF(A88='Données projet'!$A$88,'Données projet'!$B$88,BD87+BC88-BL87)))</f>
        <v>135.25641025641019</v>
      </c>
      <c r="BE88" s="13">
        <f>BD88*VLOOKUP('Données projet'!$B$11,Paramètres!$A$1:$I$89,3,0)*VLOOKUP('Données projet'!$B$11,Paramètres!$A$1:$I$89,5,0)</f>
        <v>118.15999999999995</v>
      </c>
      <c r="BF88" s="13">
        <f t="shared" si="91"/>
        <v>31.245464333923785</v>
      </c>
      <c r="BG88" s="20">
        <f t="shared" si="61"/>
        <v>260.21451704825046</v>
      </c>
      <c r="BH88" s="59">
        <f t="shared" si="62"/>
        <v>553.54785038158377</v>
      </c>
      <c r="BI88" s="59">
        <f ca="1">AVERAGE(OFFSET($BH$3,0,0,'Données projet'!$E$11+1,1))-AVERAGE(OFFSET($H$3,0,0,'Données projet'!$E$11+1,1))</f>
        <v>204.11804238362862</v>
      </c>
      <c r="BJ88" s="59">
        <f t="shared" si="92"/>
        <v>185.53854651509408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6.4102564102564097</v>
      </c>
      <c r="BM88" s="16">
        <f>IF(ISNA(VLOOKUP(A88,'Données projet'!$A$87:$I$107,5,0)),0%,VLOOKUP(A88,'Données projet'!$A$87:$I$107,5,0)*VLOOKUP('Données projet'!$B$11,Paramètres!$A$1:$I$89,7,0))</f>
        <v>4.3000000000000003E-2</v>
      </c>
      <c r="BN88" s="16">
        <f>IF(ISNA(VLOOKUP(A88,'Données projet'!$A$87:$I$107,6,0)),0%,VLOOKUP(A88,'Données projet'!$A$87:$I$107,6,0)*VLOOKUP('Données projet'!$B$11,Paramètres!$A$1:$I$89,7,0))</f>
        <v>0.215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1.3390573328957287</v>
      </c>
      <c r="BQ88" s="21">
        <f>EXP(-LN(2)/25)*BQ87+(1-EXP(-LN(2)/25))/(LN(2)/25)*Calculateur!BL88*Calculateur!BN88*VLOOKUP('Données projet'!$B$11,Paramètres!$A$1:$I$89,3,0)*0.475*44/12</f>
        <v>13.057203891479734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14.396261224375463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6.8999999999999968</v>
      </c>
      <c r="BY88" s="12">
        <f>IF('Données projet'!$A$114&gt;35,BY87+BX88-CG87,IF(A88&lt;'Données projet'!$A$114,$BV$205^A88,IF(A88='Données projet'!$A$114,'Données projet'!$B$114,BY87+BX88-CG87)))</f>
        <v>206.89000000000019</v>
      </c>
      <c r="BZ88" s="13">
        <f>BY88*VLOOKUP('Données projet'!$B$12,Paramètres!$A$1:$I$89,3,0)*VLOOKUP('Données projet'!$B$12,Paramètres!$A$1:$I$89,5,0)</f>
        <v>206.5589760000002</v>
      </c>
      <c r="CA88" s="13">
        <f t="shared" si="93"/>
        <v>51.182913867069793</v>
      </c>
      <c r="CB88" s="20">
        <f t="shared" si="64"/>
        <v>448.90045818514682</v>
      </c>
      <c r="CC88" s="59">
        <f t="shared" si="65"/>
        <v>742.23379151848007</v>
      </c>
      <c r="CD88" s="59">
        <f ca="1">AVERAGE(OFFSET($CC$3,0,0,'Données projet'!$E$12+1,1))-AVERAGE(OFFSET($H$3,0,0,'Données projet'!$E$12+1,1))</f>
        <v>535.99935263833549</v>
      </c>
      <c r="CE88" s="59">
        <f t="shared" si="94"/>
        <v>245.89966477332644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14.017053277277599</v>
      </c>
      <c r="CM88" s="21">
        <f>EXP(-LN(2)/2)*CM87+(1-EXP(-LN(2)/2))/(LN(2)/2)*CG88*CJ88*VLOOKUP('Données projet'!$B$12,Paramètres!$A$1:$I$89,3,0)*0.475*44/12</f>
        <v>4.858412739129137</v>
      </c>
      <c r="CN88" s="22">
        <f t="shared" si="66"/>
        <v>18.875466016406737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9.2740000000000009</v>
      </c>
      <c r="CT88" s="12">
        <f>IF('Données projet'!$A$140&gt;35,CT87+CS88-DB87,IF(A88&lt;'Données projet'!$A$140,$CQ$205^A88,IF(A88='Données projet'!$A$140,'Données projet'!$B$140,CT87+CS88-DB87)))</f>
        <v>274.67799999999988</v>
      </c>
      <c r="CU88" s="17">
        <f>CT88*VLOOKUP('Données projet'!$B$13,Paramètres!$A$1:$I$89,3,0)*VLOOKUP('Données projet'!$B$13,Paramètres!$A$1:$I$89,5,0)</f>
        <v>261.38358479999988</v>
      </c>
      <c r="CV88" s="13">
        <f t="shared" si="95"/>
        <v>63.017211162903877</v>
      </c>
      <c r="CW88" s="20">
        <f t="shared" si="67"/>
        <v>564.9980529687241</v>
      </c>
      <c r="CX88" s="59">
        <f t="shared" si="68"/>
        <v>858.33138630205735</v>
      </c>
      <c r="CY88" s="59">
        <f ca="1">AVERAGE(OFFSET($CX$3,0,0,'Données projet'!$E$13+1,1))-AVERAGE(OFFSET($H$3,0,0,'Données projet'!$E$13+1,1))</f>
        <v>449.28947235329758</v>
      </c>
      <c r="CZ88" s="59">
        <f t="shared" si="96"/>
        <v>289.36994109443964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18.276071085848638</v>
      </c>
      <c r="DG88" s="21">
        <f>EXP(-LN(2)/25)*DG87+(1-EXP(-LN(2)/25))/(LN(2)/25)*Calculateur!DB88*Calculateur!DD88*VLOOKUP('Données projet'!$B$13,Paramètres!$A$1:$I$89,3,0)*0.475*44/12</f>
        <v>19.983875208627317</v>
      </c>
      <c r="DH88" s="21">
        <f>EXP(-LN(2)/2)*DH87+(1-EXP(-LN(2)/2))/(LN(2)/2)*DB88*DE88*VLOOKUP('Données projet'!$B$13,Paramètres!$A$1:$I$89,3,0)*0.475*44/12</f>
        <v>5.9345718456728358</v>
      </c>
      <c r="DI88" s="22">
        <f t="shared" si="69"/>
        <v>44.194518140148787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5.6843418860808015E-14</v>
      </c>
      <c r="DP88" s="17">
        <f>DO88*VLOOKUP('Données projet'!$B$14,Paramètres!$A$1:$I$89,3,0)*VLOOKUP('Données projet'!$B$14,Paramètres!$A$1:$I$89,5,0)</f>
        <v>4.4337866711430253E-14</v>
      </c>
      <c r="DQ88" s="13">
        <f t="shared" si="97"/>
        <v>7.3222115536967035E-13</v>
      </c>
      <c r="DR88" s="20">
        <f t="shared" si="70"/>
        <v>1.3525069634579169E-12</v>
      </c>
      <c r="DS88" s="59">
        <f t="shared" si="71"/>
        <v>293.33333333333468</v>
      </c>
      <c r="DT88" s="59">
        <f ca="1">AVERAGE(OFFSET($DS$3,0,0,'Données projet'!$E$14+1,1))-AVERAGE(OFFSET($H$3,0,0,'Données projet'!$E$14+1,1))</f>
        <v>288.82868507674738</v>
      </c>
      <c r="DU88" s="59">
        <f t="shared" si="98"/>
        <v>283.48738729114024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31.321344933752105</v>
      </c>
      <c r="EB88" s="21">
        <f>EXP(-LN(2)/25)*EB87+(1-EXP(-LN(2)/25))/(LN(2)/25)*Calculateur!DW88*Calculateur!DY88*VLOOKUP('Données projet'!$B$14,Paramètres!$A$1:$I$89,3,0)*0.475*44/12</f>
        <v>27.16703442712064</v>
      </c>
      <c r="EC88" s="21">
        <f>EXP(-LN(2)/2)*EC87+(1-EXP(-LN(2)/2))/(LN(2)/2)*DW88*DZ88*VLOOKUP('Données projet'!$B$14,Paramètres!$A$1:$I$89,3,0)*0.475*44/12</f>
        <v>0.23732820958313849</v>
      </c>
      <c r="ED88" s="22">
        <f t="shared" si="72"/>
        <v>58.725707570455882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6.7444444444444462</v>
      </c>
      <c r="EJ88" s="12">
        <f>IF('Données projet'!$A$192&gt;35,EJ87+EI88-ER87,IF(A88&lt;'Données projet'!$A$192,$EG$205^A88,IF(A88='Données projet'!$A$192,'Données projet'!$B$192,EJ87+EI88-ER87)))</f>
        <v>222.52555555555554</v>
      </c>
      <c r="EK88" s="17">
        <f>EJ88*VLOOKUP('Données projet'!$B$15,Paramètres!$A$1:$I$89,3,0)*VLOOKUP('Données projet'!$B$15,Paramètres!$A$1:$I$89,5,0)</f>
        <v>215.22671733333331</v>
      </c>
      <c r="EL88" s="13">
        <f t="shared" si="99"/>
        <v>53.076115576927016</v>
      </c>
      <c r="EM88" s="20">
        <f t="shared" si="73"/>
        <v>467.29410065203678</v>
      </c>
      <c r="EN88" s="59">
        <f t="shared" si="74"/>
        <v>760.62743398537009</v>
      </c>
      <c r="EO88" s="59">
        <f ca="1">AVERAGE(OFFSET($EN$3,0,0,'Données projet'!$E$15+1,1))-AVERAGE(OFFSET($H$3,0,0,'Données projet'!$E$15+1,1))</f>
        <v>510.71380643466227</v>
      </c>
      <c r="EP88" s="59">
        <f t="shared" si="100"/>
        <v>252.40654099948841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10.386825012433009</v>
      </c>
      <c r="EX88" s="21">
        <f>EXP(-LN(2)/2)*EX87+(1-EXP(-LN(2)/2))/(LN(2)/2)*ER88*EU88*VLOOKUP('Données projet'!$B$15,Paramètres!$A$1:$I$89,3,0)*0.475*44/12</f>
        <v>0.52459085050243859</v>
      </c>
      <c r="EY88" s="22">
        <f t="shared" si="75"/>
        <v>10.911415862935447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6.8999999999999968</v>
      </c>
      <c r="N89" s="13">
        <f>IF('Données projet'!$A$36&gt;35,N88+M89-V88,IF(A89&lt;'Données projet'!$A$36,$K$205^A89,IF(A89='Données projet'!$A$36,'Données projet'!$B$36,N88+M89-V88)))</f>
        <v>213.79000000000019</v>
      </c>
      <c r="O89" s="13">
        <f>N89*VLOOKUP('Données projet'!$B$9,Paramètres!$A$1:$I$89,3,0)*VLOOKUP('Données projet'!$B$9,Paramètres!$A$1:$I$89,5,0)</f>
        <v>216.78306000000021</v>
      </c>
      <c r="P89" s="13">
        <f t="shared" si="87"/>
        <v>53.415101416680123</v>
      </c>
      <c r="Q89" s="20">
        <f t="shared" si="54"/>
        <v>470.59513113405154</v>
      </c>
      <c r="R89" s="59">
        <f t="shared" si="55"/>
        <v>763.92846446738486</v>
      </c>
      <c r="S89" s="59">
        <f ca="1">AVERAGE(OFFSET($R$3,0,0,'Données projet'!$E$9+1,1))-AVERAGE(OFFSET($H$3,0,0,'Données projet'!$E$9+1,1))</f>
        <v>543.67050511722618</v>
      </c>
      <c r="T89" s="59">
        <f t="shared" si="88"/>
        <v>249.0871389941106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44.309707709428359</v>
      </c>
      <c r="AB89" s="21">
        <f>EXP(-LN(2)/2)*AB88+(1-EXP(-LN(2)/2))/(LN(2)/2)*V89*Y89*VLOOKUP('Données projet'!$B$9,Paramètres!$A$1:$I$89,3,0)*0.475*44/12</f>
        <v>2.7912759823335738</v>
      </c>
      <c r="AC89" s="22">
        <f t="shared" si="57"/>
        <v>47.100983691761932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9.1730000000000018</v>
      </c>
      <c r="AI89" s="13">
        <f>IF('Données projet'!$A$62&gt;35,AI88+AH89-AQ88,IF(A89&lt;'Données projet'!$A$62,$AF$205^A89,IF(A89='Données projet'!$A$62,'Données projet'!$B$62,AI88+AH89-AQ88)))</f>
        <v>306.74600000000049</v>
      </c>
      <c r="AJ89" s="13">
        <f>AI89*VLOOKUP('Données projet'!$B$10,Paramètres!$A$1:$I$89,3,0)*VLOOKUP('Données projet'!$B$10,Paramètres!$A$1:$I$89,5,0)</f>
        <v>277.54378080000043</v>
      </c>
      <c r="AK89" s="13">
        <f t="shared" si="89"/>
        <v>66.447673279805883</v>
      </c>
      <c r="AL89" s="20">
        <f t="shared" si="58"/>
        <v>599.11844918899601</v>
      </c>
      <c r="AM89" s="59">
        <f t="shared" si="59"/>
        <v>892.45178252232927</v>
      </c>
      <c r="AN89" s="59">
        <f ca="1">AVERAGE(OFFSET($AM$3,0,0,'Données projet'!$E$10+1,1))-AVERAGE(OFFSET($H$3,0,0,'Données projet'!$E$10+1,1))</f>
        <v>635.71275911100679</v>
      </c>
      <c r="AO89" s="59">
        <f t="shared" si="90"/>
        <v>281.7776857269169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21.180901004483189</v>
      </c>
      <c r="AV89" s="21">
        <f>EXP(-LN(2)/25)*AV88+(1-EXP(-LN(2)/25))/(LN(2)/25)*Calculateur!AQ89*Calculateur!AS89*VLOOKUP('Données projet'!$B$10,Paramètres!$A$1:$I$89,3,0)*0.475*44/12</f>
        <v>27.982991944383691</v>
      </c>
      <c r="AW89" s="21">
        <f>EXP(-LN(2)/2)*AW88+(1-EXP(-LN(2)/2))/(LN(2)/2)*AQ89*AT89*VLOOKUP('Données projet'!$B$10,Paramètres!$A$1:$I$89,3,0)*0.475*44/12</f>
        <v>2.9201557240464586</v>
      </c>
      <c r="AX89" s="21">
        <f t="shared" si="60"/>
        <v>52.08404867291334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1.7948717948717956</v>
      </c>
      <c r="BD89" s="12">
        <f>IF('Données projet'!$A$88&gt;35,BD88+BC89-BL88,IF(A89&lt;'Données projet'!$A$88,$BA$205^A89,IF(A89='Données projet'!$A$88,'Données projet'!$B$88,BD88+BC89-BL88)))</f>
        <v>130.64102564102558</v>
      </c>
      <c r="BE89" s="13">
        <f>BD89*VLOOKUP('Données projet'!$B$11,Paramètres!$A$1:$I$89,3,0)*VLOOKUP('Données projet'!$B$11,Paramètres!$A$1:$I$89,5,0)</f>
        <v>114.12799999999996</v>
      </c>
      <c r="BF89" s="13">
        <f t="shared" si="91"/>
        <v>30.301478439970456</v>
      </c>
      <c r="BG89" s="20">
        <f t="shared" si="61"/>
        <v>251.54800828294844</v>
      </c>
      <c r="BH89" s="59">
        <f t="shared" si="62"/>
        <v>544.88134161628182</v>
      </c>
      <c r="BI89" s="59">
        <f ca="1">AVERAGE(OFFSET($BH$3,0,0,'Données projet'!$E$11+1,1))-AVERAGE(OFFSET($H$3,0,0,'Données projet'!$E$11+1,1))</f>
        <v>204.11804238362862</v>
      </c>
      <c r="BJ89" s="59">
        <f t="shared" si="92"/>
        <v>185.53854651509408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1.3127992353419697</v>
      </c>
      <c r="BQ89" s="21">
        <f>EXP(-LN(2)/25)*BQ88+(1-EXP(-LN(2)/25))/(LN(2)/25)*Calculateur!BL89*Calculateur!BN89*VLOOKUP('Données projet'!$B$11,Paramètres!$A$1:$I$89,3,0)*0.475*44/12</f>
        <v>12.70015396441871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14.01295319976068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6.8999999999999968</v>
      </c>
      <c r="BY89" s="12">
        <f>IF('Données projet'!$A$114&gt;35,BY88+BX89-CG88,IF(A89&lt;'Données projet'!$A$114,$BV$205^A89,IF(A89='Données projet'!$A$114,'Données projet'!$B$114,BY88+BX89-CG88)))</f>
        <v>213.79000000000019</v>
      </c>
      <c r="BZ89" s="13">
        <f>BY89*VLOOKUP('Données projet'!$B$12,Paramètres!$A$1:$I$89,3,0)*VLOOKUP('Données projet'!$B$12,Paramètres!$A$1:$I$89,5,0)</f>
        <v>213.4479360000002</v>
      </c>
      <c r="CA89" s="13">
        <f t="shared" si="93"/>
        <v>52.68833083922781</v>
      </c>
      <c r="CB89" s="20">
        <f t="shared" si="64"/>
        <v>463.52066474498884</v>
      </c>
      <c r="CC89" s="59">
        <f t="shared" si="65"/>
        <v>756.85399807832209</v>
      </c>
      <c r="CD89" s="59">
        <f ca="1">AVERAGE(OFFSET($CC$3,0,0,'Données projet'!$E$12+1,1))-AVERAGE(OFFSET($H$3,0,0,'Données projet'!$E$12+1,1))</f>
        <v>535.99935263833549</v>
      </c>
      <c r="CE89" s="59">
        <f t="shared" si="94"/>
        <v>245.89966477332644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13.633756218285647</v>
      </c>
      <c r="CM89" s="21">
        <f>EXP(-LN(2)/2)*CM88+(1-EXP(-LN(2)/2))/(LN(2)/2)*CG89*CJ89*VLOOKUP('Données projet'!$B$12,Paramètres!$A$1:$I$89,3,0)*0.475*44/12</f>
        <v>3.4354165936413219</v>
      </c>
      <c r="CN89" s="22">
        <f t="shared" si="66"/>
        <v>17.069172811926968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9.2740000000000009</v>
      </c>
      <c r="CT89" s="12">
        <f>IF('Données projet'!$A$140&gt;35,CT88+CS89-DB88,IF(A89&lt;'Données projet'!$A$140,$CQ$205^A89,IF(A89='Données projet'!$A$140,'Données projet'!$B$140,CT88+CS89-DB88)))</f>
        <v>283.95199999999988</v>
      </c>
      <c r="CU89" s="17">
        <f>CT89*VLOOKUP('Données projet'!$B$13,Paramètres!$A$1:$I$89,3,0)*VLOOKUP('Données projet'!$B$13,Paramètres!$A$1:$I$89,5,0)</f>
        <v>270.20872319999989</v>
      </c>
      <c r="CV89" s="13">
        <f t="shared" si="95"/>
        <v>64.893563626315952</v>
      </c>
      <c r="CW89" s="20">
        <f t="shared" si="67"/>
        <v>583.63648288916681</v>
      </c>
      <c r="CX89" s="59">
        <f t="shared" si="68"/>
        <v>876.96981622250019</v>
      </c>
      <c r="CY89" s="59">
        <f ca="1">AVERAGE(OFFSET($CX$3,0,0,'Données projet'!$E$13+1,1))-AVERAGE(OFFSET($H$3,0,0,'Données projet'!$E$13+1,1))</f>
        <v>449.28947235329758</v>
      </c>
      <c r="CZ89" s="59">
        <f t="shared" si="96"/>
        <v>289.36994109443964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17.917688479157803</v>
      </c>
      <c r="DG89" s="21">
        <f>EXP(-LN(2)/25)*DG88+(1-EXP(-LN(2)/25))/(LN(2)/25)*Calculateur!DB89*Calculateur!DD89*VLOOKUP('Données projet'!$B$13,Paramètres!$A$1:$I$89,3,0)*0.475*44/12</f>
        <v>19.43741509014108</v>
      </c>
      <c r="DH89" s="21">
        <f>EXP(-LN(2)/2)*DH88+(1-EXP(-LN(2)/2))/(LN(2)/2)*DB89*DE89*VLOOKUP('Données projet'!$B$13,Paramètres!$A$1:$I$89,3,0)*0.475*44/12</f>
        <v>4.1963759955140274</v>
      </c>
      <c r="DI89" s="22">
        <f t="shared" si="69"/>
        <v>41.551479564812908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5.6843418860808015E-14</v>
      </c>
      <c r="DP89" s="17">
        <f>DO89*VLOOKUP('Données projet'!$B$14,Paramètres!$A$1:$I$89,3,0)*VLOOKUP('Données projet'!$B$14,Paramètres!$A$1:$I$89,5,0)</f>
        <v>4.4337866711430253E-14</v>
      </c>
      <c r="DQ89" s="13">
        <f t="shared" si="97"/>
        <v>7.3222115536967035E-13</v>
      </c>
      <c r="DR89" s="20">
        <f t="shared" si="70"/>
        <v>1.3525069634579169E-12</v>
      </c>
      <c r="DS89" s="59">
        <f t="shared" si="71"/>
        <v>293.33333333333468</v>
      </c>
      <c r="DT89" s="59">
        <f ca="1">AVERAGE(OFFSET($DS$3,0,0,'Données projet'!$E$14+1,1))-AVERAGE(OFFSET($H$3,0,0,'Données projet'!$E$14+1,1))</f>
        <v>288.82868507674738</v>
      </c>
      <c r="DU89" s="59">
        <f t="shared" si="98"/>
        <v>283.48738729114024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30.707152463735259</v>
      </c>
      <c r="EB89" s="21">
        <f>EXP(-LN(2)/25)*EB88+(1-EXP(-LN(2)/25))/(LN(2)/25)*Calculateur!DW89*Calculateur!DY89*VLOOKUP('Données projet'!$B$14,Paramètres!$A$1:$I$89,3,0)*0.475*44/12</f>
        <v>26.424150442058778</v>
      </c>
      <c r="EC89" s="21">
        <f>EXP(-LN(2)/2)*EC88+(1-EXP(-LN(2)/2))/(LN(2)/2)*DW89*DZ89*VLOOKUP('Données projet'!$B$14,Paramètres!$A$1:$I$89,3,0)*0.475*44/12</f>
        <v>0.16781638636309942</v>
      </c>
      <c r="ED89" s="22">
        <f t="shared" si="72"/>
        <v>57.299119292157137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>
        <f>VLOOKUP(A89,'Données projet'!$A$191:$I$211,2,0)</f>
        <v>229.27</v>
      </c>
      <c r="EH89" s="12">
        <f>VLOOKUP(A89,'Données projet'!$A$191:$I$211,9,0)</f>
        <v>6.7444444444444462</v>
      </c>
      <c r="EI89" s="12">
        <f t="array" ref="EI89">INDEX(EH:EH,MIN(IF(ISNUMBER(EH89:EH285),ROW(EH89:EH285),"")))</f>
        <v>6.7444444444444462</v>
      </c>
      <c r="EJ89" s="12">
        <f>IF('Données projet'!$A$192&gt;35,EJ88+EI89-ER88,IF(A89&lt;'Données projet'!$A$192,$EG$205^A89,IF(A89='Données projet'!$A$192,'Données projet'!$B$192,EJ88+EI89-ER88)))</f>
        <v>229.26999999999998</v>
      </c>
      <c r="EK89" s="17">
        <f>EJ89*VLOOKUP('Données projet'!$B$15,Paramètres!$A$1:$I$89,3,0)*VLOOKUP('Données projet'!$B$15,Paramètres!$A$1:$I$89,5,0)</f>
        <v>221.74994399999997</v>
      </c>
      <c r="EL89" s="13">
        <f t="shared" si="99"/>
        <v>54.495051846596574</v>
      </c>
      <c r="EM89" s="20">
        <f t="shared" si="73"/>
        <v>481.12670109948903</v>
      </c>
      <c r="EN89" s="59">
        <f t="shared" si="74"/>
        <v>774.46003443282234</v>
      </c>
      <c r="EO89" s="59">
        <f ca="1">AVERAGE(OFFSET($EN$3,0,0,'Données projet'!$E$15+1,1))-AVERAGE(OFFSET($H$3,0,0,'Données projet'!$E$15+1,1))</f>
        <v>510.71380643466227</v>
      </c>
      <c r="EP89" s="59">
        <f t="shared" si="100"/>
        <v>252.40654099948841</v>
      </c>
      <c r="EQ89" s="15">
        <f>IF(ISNA(VLOOKUP(A89,'Données projet'!$A$191:$I$211,3,0)),0,VLOOKUP(A89,'Données projet'!$A$191:$I$211,3,0))</f>
        <v>4</v>
      </c>
      <c r="ER89" s="15">
        <f>IF(ISNA(VLOOKUP(A89,'Données projet'!$A$191:$I$211,4,0)),0,VLOOKUP(A89,'Données projet'!$A$191:$I$211,4,0))</f>
        <v>37.54000000000002</v>
      </c>
      <c r="ES89" s="16">
        <f>IF(ISNA(VLOOKUP(A89,'Données projet'!$A$191:$I$211,5,0)),0%,VLOOKUP(A89,'Données projet'!$A$191:$I$211,5,0)*VLOOKUP('Données projet'!$B$15,Paramètres!$A$1:$I$89,7,0))</f>
        <v>0.1075</v>
      </c>
      <c r="ET89" s="16">
        <f>IF(ISNA(VLOOKUP(A89,'Données projet'!$A$191:$I$211,6,0)),0%,VLOOKUP(A89,'Données projet'!$A$191:$I$211,6,0)*VLOOKUP('Données projet'!$B$15,Paramètres!$A$1:$I$89,7,0))</f>
        <v>0.1075</v>
      </c>
      <c r="EU89" s="16">
        <f>IF(ISNA(VLOOKUP(A89,'Données projet'!$A$191:$I$211,7,0)),0%,VLOOKUP(A89,'Données projet'!$A$191:$I$211,7,0))</f>
        <v>0.25</v>
      </c>
      <c r="EV89" s="21">
        <f>EXP(-LN(2)/35)*EV88+(1-EXP(-LN(2)/35))/(LN(2)/35)*ER89*ES89*VLOOKUP('Données projet'!$B$15,Paramètres!$A$1:$I$89,3,0)*0.475*44/12</f>
        <v>4.3148542536481251</v>
      </c>
      <c r="EW89" s="21">
        <f>EXP(-LN(2)/25)*EW88+(1-EXP(-LN(2)/25))/(LN(2)/25)*Calculateur!ER89*Calculateur!ET89*VLOOKUP('Données projet'!$B$15,Paramètres!$A$1:$I$89,3,0)*0.475*44/12</f>
        <v>14.400661764611787</v>
      </c>
      <c r="EX89" s="21">
        <f>EXP(-LN(2)/2)*EX88+(1-EXP(-LN(2)/2))/(LN(2)/2)*ER89*EU89*VLOOKUP('Données projet'!$B$15,Paramètres!$A$1:$I$89,3,0)*0.475*44/12</f>
        <v>8.9354978382411172</v>
      </c>
      <c r="EY89" s="22">
        <f t="shared" si="75"/>
        <v>27.651013856501031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6.8999999999999968</v>
      </c>
      <c r="N90" s="13">
        <f>IF('Données projet'!$A$36&gt;35,N89+M90-V89,IF(A90&lt;'Données projet'!$A$36,$K$205^A90,IF(A90='Données projet'!$A$36,'Données projet'!$B$36,N89+M90-V89)))</f>
        <v>220.6900000000002</v>
      </c>
      <c r="O90" s="13">
        <f>N90*VLOOKUP('Données projet'!$B$9,Paramètres!$A$1:$I$89,3,0)*VLOOKUP('Données projet'!$B$9,Paramètres!$A$1:$I$89,5,0)</f>
        <v>223.77966000000023</v>
      </c>
      <c r="P90" s="13">
        <f t="shared" si="87"/>
        <v>54.93555994970724</v>
      </c>
      <c r="Q90" s="20">
        <f t="shared" si="54"/>
        <v>485.42900807907387</v>
      </c>
      <c r="R90" s="59">
        <f t="shared" si="55"/>
        <v>778.76234141240718</v>
      </c>
      <c r="S90" s="59">
        <f ca="1">AVERAGE(OFFSET($R$3,0,0,'Données projet'!$E$9+1,1))-AVERAGE(OFFSET($H$3,0,0,'Données projet'!$E$9+1,1))</f>
        <v>543.67050511722618</v>
      </c>
      <c r="T90" s="59">
        <f t="shared" si="88"/>
        <v>249.0871389941106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43.098056421967783</v>
      </c>
      <c r="AB90" s="21">
        <f>EXP(-LN(2)/2)*AB89+(1-EXP(-LN(2)/2))/(LN(2)/2)*V90*Y90*VLOOKUP('Données projet'!$B$9,Paramètres!$A$1:$I$89,3,0)*0.475*44/12</f>
        <v>1.973730175271212</v>
      </c>
      <c r="AC90" s="22">
        <f t="shared" si="57"/>
        <v>45.071786597238997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9.1730000000000018</v>
      </c>
      <c r="AI90" s="13">
        <f>IF('Données projet'!$A$62&gt;35,AI89+AH90-AQ89,IF(A90&lt;'Données projet'!$A$62,$AF$205^A90,IF(A90='Données projet'!$A$62,'Données projet'!$B$62,AI89+AH90-AQ89)))</f>
        <v>315.91900000000049</v>
      </c>
      <c r="AJ90" s="13">
        <f>AI90*VLOOKUP('Données projet'!$B$10,Paramètres!$A$1:$I$89,3,0)*VLOOKUP('Données projet'!$B$10,Paramètres!$A$1:$I$89,5,0)</f>
        <v>285.84351120000042</v>
      </c>
      <c r="AK90" s="13">
        <f t="shared" si="89"/>
        <v>68.200422369637309</v>
      </c>
      <c r="AL90" s="20">
        <f t="shared" si="58"/>
        <v>616.62651763378562</v>
      </c>
      <c r="AM90" s="59">
        <f t="shared" si="59"/>
        <v>909.95985096711888</v>
      </c>
      <c r="AN90" s="59">
        <f ca="1">AVERAGE(OFFSET($AM$3,0,0,'Données projet'!$E$10+1,1))-AVERAGE(OFFSET($H$3,0,0,'Données projet'!$E$10+1,1))</f>
        <v>635.71275911100679</v>
      </c>
      <c r="AO90" s="59">
        <f t="shared" si="90"/>
        <v>281.7776857269169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20.765556454859233</v>
      </c>
      <c r="AV90" s="21">
        <f>EXP(-LN(2)/25)*AV89+(1-EXP(-LN(2)/25))/(LN(2)/25)*Calculateur!AQ90*Calculateur!AS90*VLOOKUP('Données projet'!$B$10,Paramètres!$A$1:$I$89,3,0)*0.475*44/12</f>
        <v>27.217795558102928</v>
      </c>
      <c r="AW90" s="21">
        <f>EXP(-LN(2)/2)*AW89+(1-EXP(-LN(2)/2))/(LN(2)/2)*AQ90*AT90*VLOOKUP('Données projet'!$B$10,Paramètres!$A$1:$I$89,3,0)*0.475*44/12</f>
        <v>2.0648619145939637</v>
      </c>
      <c r="AX90" s="21">
        <f t="shared" si="60"/>
        <v>50.04821392755612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1.7948717948717956</v>
      </c>
      <c r="BD90" s="12">
        <f>IF('Données projet'!$A$88&gt;35,BD89+BC90-BL89,IF(A90&lt;'Données projet'!$A$88,$BA$205^A90,IF(A90='Données projet'!$A$88,'Données projet'!$B$88,BD89+BC90-BL89)))</f>
        <v>132.43589743589737</v>
      </c>
      <c r="BE90" s="13">
        <f>BD90*VLOOKUP('Données projet'!$B$11,Paramètres!$A$1:$I$89,3,0)*VLOOKUP('Données projet'!$B$11,Paramètres!$A$1:$I$89,5,0)</f>
        <v>115.69599999999996</v>
      </c>
      <c r="BF90" s="13">
        <f t="shared" si="91"/>
        <v>30.669038012373807</v>
      </c>
      <c r="BG90" s="20">
        <f t="shared" si="61"/>
        <v>254.91910787155098</v>
      </c>
      <c r="BH90" s="59">
        <f t="shared" si="62"/>
        <v>548.25244120488424</v>
      </c>
      <c r="BI90" s="59">
        <f ca="1">AVERAGE(OFFSET($BH$3,0,0,'Données projet'!$E$11+1,1))-AVERAGE(OFFSET($H$3,0,0,'Données projet'!$E$11+1,1))</f>
        <v>204.11804238362862</v>
      </c>
      <c r="BJ90" s="59">
        <f t="shared" si="92"/>
        <v>185.53854651509408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1.2870560430653819</v>
      </c>
      <c r="BQ90" s="21">
        <f>EXP(-LN(2)/25)*BQ89+(1-EXP(-LN(2)/25))/(LN(2)/25)*Calculateur!BL90*Calculateur!BN90*VLOOKUP('Données projet'!$B$11,Paramètres!$A$1:$I$89,3,0)*0.475*44/12</f>
        <v>12.35286758638961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13.639923629454993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6.8999999999999968</v>
      </c>
      <c r="BY90" s="12">
        <f>IF('Données projet'!$A$114&gt;35,BY89+BX90-CG89,IF(A90&lt;'Données projet'!$A$114,$BV$205^A90,IF(A90='Données projet'!$A$114,'Données projet'!$B$114,BY89+BX90-CG89)))</f>
        <v>220.6900000000002</v>
      </c>
      <c r="BZ90" s="13">
        <f>BY90*VLOOKUP('Données projet'!$B$12,Paramètres!$A$1:$I$89,3,0)*VLOOKUP('Données projet'!$B$12,Paramètres!$A$1:$I$89,5,0)</f>
        <v>220.33689600000019</v>
      </c>
      <c r="CA90" s="13">
        <f t="shared" si="93"/>
        <v>54.18810187945364</v>
      </c>
      <c r="CB90" s="20">
        <f t="shared" si="64"/>
        <v>478.13103797338209</v>
      </c>
      <c r="CC90" s="59">
        <f t="shared" si="65"/>
        <v>771.46437130671541</v>
      </c>
      <c r="CD90" s="59">
        <f ca="1">AVERAGE(OFFSET($CC$3,0,0,'Données projet'!$E$12+1,1))-AVERAGE(OFFSET($H$3,0,0,'Données projet'!$E$12+1,1))</f>
        <v>535.99935263833549</v>
      </c>
      <c r="CE90" s="59">
        <f t="shared" si="94"/>
        <v>245.89966477332644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13.260940437528546</v>
      </c>
      <c r="CM90" s="21">
        <f>EXP(-LN(2)/2)*CM89+(1-EXP(-LN(2)/2))/(LN(2)/2)*CG90*CJ90*VLOOKUP('Données projet'!$B$12,Paramètres!$A$1:$I$89,3,0)*0.475*44/12</f>
        <v>2.4292063695645689</v>
      </c>
      <c r="CN90" s="22">
        <f t="shared" si="66"/>
        <v>15.690146807093114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9.2740000000000009</v>
      </c>
      <c r="CT90" s="12">
        <f>IF('Données projet'!$A$140&gt;35,CT89+CS90-DB89,IF(A90&lt;'Données projet'!$A$140,$CQ$205^A90,IF(A90='Données projet'!$A$140,'Données projet'!$B$140,CT89+CS90-DB89)))</f>
        <v>293.22599999999989</v>
      </c>
      <c r="CU90" s="17">
        <f>CT90*VLOOKUP('Données projet'!$B$13,Paramètres!$A$1:$I$89,3,0)*VLOOKUP('Données projet'!$B$13,Paramètres!$A$1:$I$89,5,0)</f>
        <v>279.03386159999991</v>
      </c>
      <c r="CV90" s="13">
        <f t="shared" si="95"/>
        <v>66.762795009518257</v>
      </c>
      <c r="CW90" s="20">
        <f t="shared" si="67"/>
        <v>602.2625102615774</v>
      </c>
      <c r="CX90" s="59">
        <f t="shared" si="68"/>
        <v>895.59584359491078</v>
      </c>
      <c r="CY90" s="59">
        <f ca="1">AVERAGE(OFFSET($CX$3,0,0,'Données projet'!$E$13+1,1))-AVERAGE(OFFSET($H$3,0,0,'Données projet'!$E$13+1,1))</f>
        <v>449.28947235329758</v>
      </c>
      <c r="CZ90" s="59">
        <f t="shared" si="96"/>
        <v>289.36994109443964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17.566333536792371</v>
      </c>
      <c r="DG90" s="21">
        <f>EXP(-LN(2)/25)*DG89+(1-EXP(-LN(2)/25))/(LN(2)/25)*Calculateur!DB90*Calculateur!DD90*VLOOKUP('Données projet'!$B$13,Paramètres!$A$1:$I$89,3,0)*0.475*44/12</f>
        <v>18.905897952331937</v>
      </c>
      <c r="DH90" s="21">
        <f>EXP(-LN(2)/2)*DH89+(1-EXP(-LN(2)/2))/(LN(2)/2)*DB90*DE90*VLOOKUP('Données projet'!$B$13,Paramètres!$A$1:$I$89,3,0)*0.475*44/12</f>
        <v>2.9672859228364179</v>
      </c>
      <c r="DI90" s="22">
        <f t="shared" si="69"/>
        <v>39.439517411960729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5.6843418860808015E-14</v>
      </c>
      <c r="DP90" s="17">
        <f>DO90*VLOOKUP('Données projet'!$B$14,Paramètres!$A$1:$I$89,3,0)*VLOOKUP('Données projet'!$B$14,Paramètres!$A$1:$I$89,5,0)</f>
        <v>4.4337866711430253E-14</v>
      </c>
      <c r="DQ90" s="13">
        <f t="shared" si="97"/>
        <v>7.3222115536967035E-13</v>
      </c>
      <c r="DR90" s="20">
        <f t="shared" si="70"/>
        <v>1.3525069634579169E-12</v>
      </c>
      <c r="DS90" s="59">
        <f t="shared" si="71"/>
        <v>293.33333333333468</v>
      </c>
      <c r="DT90" s="59">
        <f ca="1">AVERAGE(OFFSET($DS$3,0,0,'Données projet'!$E$14+1,1))-AVERAGE(OFFSET($H$3,0,0,'Données projet'!$E$14+1,1))</f>
        <v>288.82868507674738</v>
      </c>
      <c r="DU90" s="59">
        <f t="shared" si="98"/>
        <v>283.48738729114024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30.105003933435029</v>
      </c>
      <c r="EB90" s="21">
        <f>EXP(-LN(2)/25)*EB89+(1-EXP(-LN(2)/25))/(LN(2)/25)*Calculateur!DW90*Calculateur!DY90*VLOOKUP('Données projet'!$B$14,Paramètres!$A$1:$I$89,3,0)*0.475*44/12</f>
        <v>25.701580658635002</v>
      </c>
      <c r="EC90" s="21">
        <f>EXP(-LN(2)/2)*EC89+(1-EXP(-LN(2)/2))/(LN(2)/2)*DW90*DZ90*VLOOKUP('Données projet'!$B$14,Paramètres!$A$1:$I$89,3,0)*0.475*44/12</f>
        <v>0.11866410479156927</v>
      </c>
      <c r="ED90" s="22">
        <f t="shared" si="72"/>
        <v>55.925248696861601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6.7600000000000007</v>
      </c>
      <c r="EJ90" s="12">
        <f>IF('Données projet'!$A$192&gt;35,EJ89+EI90-ER89,IF(A90&lt;'Données projet'!$A$192,$EG$205^A90,IF(A90='Données projet'!$A$192,'Données projet'!$B$192,EJ89+EI90-ER89)))</f>
        <v>198.48999999999995</v>
      </c>
      <c r="EK90" s="17">
        <f>EJ90*VLOOKUP('Données projet'!$B$15,Paramètres!$A$1:$I$89,3,0)*VLOOKUP('Données projet'!$B$15,Paramètres!$A$1:$I$89,5,0)</f>
        <v>191.97952799999996</v>
      </c>
      <c r="EL90" s="13">
        <f t="shared" si="99"/>
        <v>47.977334038454906</v>
      </c>
      <c r="EM90" s="20">
        <f t="shared" si="73"/>
        <v>417.92486805030893</v>
      </c>
      <c r="EN90" s="59">
        <f t="shared" si="74"/>
        <v>711.25820138364224</v>
      </c>
      <c r="EO90" s="59">
        <f ca="1">AVERAGE(OFFSET($EN$3,0,0,'Données projet'!$E$15+1,1))-AVERAGE(OFFSET($H$3,0,0,'Données projet'!$E$15+1,1))</f>
        <v>510.71380643466227</v>
      </c>
      <c r="EP90" s="59">
        <f t="shared" si="100"/>
        <v>252.40654099948841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4.2302425935353112</v>
      </c>
      <c r="EW90" s="21">
        <f>EXP(-LN(2)/25)*EW89+(1-EXP(-LN(2)/25))/(LN(2)/25)*Calculateur!ER90*Calculateur!ET90*VLOOKUP('Données projet'!$B$15,Paramètres!$A$1:$I$89,3,0)*0.475*44/12</f>
        <v>14.006874911360589</v>
      </c>
      <c r="EX90" s="21">
        <f>EXP(-LN(2)/2)*EX89+(1-EXP(-LN(2)/2))/(LN(2)/2)*ER90*EU90*VLOOKUP('Données projet'!$B$15,Paramètres!$A$1:$I$89,3,0)*0.475*44/12</f>
        <v>6.3183511146980305</v>
      </c>
      <c r="EY90" s="22">
        <f t="shared" si="75"/>
        <v>24.555468619593931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6.8999999999999968</v>
      </c>
      <c r="N91" s="13">
        <f>IF('Données projet'!$A$36&gt;35,N90+M91-V90,IF(A91&lt;'Données projet'!$A$36,$K$205^A91,IF(A91='Données projet'!$A$36,'Données projet'!$B$36,N90+M91-V90)))</f>
        <v>227.5900000000002</v>
      </c>
      <c r="O91" s="13">
        <f>N91*VLOOKUP('Données projet'!$B$9,Paramètres!$A$1:$I$89,3,0)*VLOOKUP('Données projet'!$B$9,Paramètres!$A$1:$I$89,5,0)</f>
        <v>230.77626000000021</v>
      </c>
      <c r="P91" s="13">
        <f t="shared" si="87"/>
        <v>56.450494163948683</v>
      </c>
      <c r="Q91" s="20">
        <f t="shared" si="54"/>
        <v>500.25326350221093</v>
      </c>
      <c r="R91" s="59">
        <f t="shared" si="55"/>
        <v>793.58659683554424</v>
      </c>
      <c r="S91" s="59">
        <f ca="1">AVERAGE(OFFSET($R$3,0,0,'Données projet'!$E$9+1,1))-AVERAGE(OFFSET($H$3,0,0,'Données projet'!$E$9+1,1))</f>
        <v>543.67050511722618</v>
      </c>
      <c r="T91" s="59">
        <f t="shared" si="88"/>
        <v>249.0871389941106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41.919537802680786</v>
      </c>
      <c r="AB91" s="21">
        <f>EXP(-LN(2)/2)*AB90+(1-EXP(-LN(2)/2))/(LN(2)/2)*V91*Y91*VLOOKUP('Données projet'!$B$9,Paramètres!$A$1:$I$89,3,0)*0.475*44/12</f>
        <v>1.3956379911667871</v>
      </c>
      <c r="AC91" s="22">
        <f t="shared" si="57"/>
        <v>43.315175793847573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9.1730000000000018</v>
      </c>
      <c r="AI91" s="13">
        <f>IF('Données projet'!$A$62&gt;35,AI90+AH91-AQ90,IF(A91&lt;'Données projet'!$A$62,$AF$205^A91,IF(A91='Données projet'!$A$62,'Données projet'!$B$62,AI90+AH91-AQ90)))</f>
        <v>325.0920000000005</v>
      </c>
      <c r="AJ91" s="13">
        <f>AI91*VLOOKUP('Données projet'!$B$10,Paramètres!$A$1:$I$89,3,0)*VLOOKUP('Données projet'!$B$10,Paramètres!$A$1:$I$89,5,0)</f>
        <v>294.14324160000047</v>
      </c>
      <c r="AK91" s="13">
        <f t="shared" si="89"/>
        <v>69.947256671789191</v>
      </c>
      <c r="AL91" s="20">
        <f t="shared" si="58"/>
        <v>634.12428449003357</v>
      </c>
      <c r="AM91" s="59">
        <f t="shared" si="59"/>
        <v>927.45761782336695</v>
      </c>
      <c r="AN91" s="59">
        <f ca="1">AVERAGE(OFFSET($AM$3,0,0,'Données projet'!$E$10+1,1))-AVERAGE(OFFSET($H$3,0,0,'Données projet'!$E$10+1,1))</f>
        <v>635.71275911100679</v>
      </c>
      <c r="AO91" s="59">
        <f t="shared" si="90"/>
        <v>281.7776857269169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20.358356558518242</v>
      </c>
      <c r="AV91" s="21">
        <f>EXP(-LN(2)/25)*AV90+(1-EXP(-LN(2)/25))/(LN(2)/25)*Calculateur!AQ91*Calculateur!AS91*VLOOKUP('Données projet'!$B$10,Paramètres!$A$1:$I$89,3,0)*0.475*44/12</f>
        <v>26.473523507244941</v>
      </c>
      <c r="AW91" s="21">
        <f>EXP(-LN(2)/2)*AW90+(1-EXP(-LN(2)/2))/(LN(2)/2)*AQ91*AT91*VLOOKUP('Données projet'!$B$10,Paramètres!$A$1:$I$89,3,0)*0.475*44/12</f>
        <v>1.4600778620232295</v>
      </c>
      <c r="AX91" s="21">
        <f t="shared" si="60"/>
        <v>48.291957927786413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1.7948717948717956</v>
      </c>
      <c r="BD91" s="12">
        <f>IF('Données projet'!$A$88&gt;35,BD90+BC91-BL90,IF(A91&lt;'Données projet'!$A$88,$BA$205^A91,IF(A91='Données projet'!$A$88,'Données projet'!$B$88,BD90+BC91-BL90)))</f>
        <v>134.23076923076917</v>
      </c>
      <c r="BE91" s="13">
        <f>BD91*VLOOKUP('Données projet'!$B$11,Paramètres!$A$1:$I$89,3,0)*VLOOKUP('Données projet'!$B$11,Paramètres!$A$1:$I$89,5,0)</f>
        <v>117.26399999999995</v>
      </c>
      <c r="BF91" s="13">
        <f t="shared" si="91"/>
        <v>31.03601818279456</v>
      </c>
      <c r="BG91" s="20">
        <f t="shared" si="61"/>
        <v>258.28919833503375</v>
      </c>
      <c r="BH91" s="59">
        <f t="shared" si="62"/>
        <v>551.62253166836706</v>
      </c>
      <c r="BI91" s="59">
        <f ca="1">AVERAGE(OFFSET($BH$3,0,0,'Données projet'!$E$11+1,1))-AVERAGE(OFFSET($H$3,0,0,'Données projet'!$E$11+1,1))</f>
        <v>204.11804238362862</v>
      </c>
      <c r="BJ91" s="59">
        <f t="shared" si="92"/>
        <v>185.53854651509408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1.2618176590875412</v>
      </c>
      <c r="BQ91" s="21">
        <f>EXP(-LN(2)/25)*BQ90+(1-EXP(-LN(2)/25))/(LN(2)/25)*Calculateur!BL91*Calculateur!BN91*VLOOKUP('Données projet'!$B$11,Paramètres!$A$1:$I$89,3,0)*0.475*44/12</f>
        <v>12.015077772630713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13.276895431718254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6.8999999999999968</v>
      </c>
      <c r="BY91" s="12">
        <f>IF('Données projet'!$A$114&gt;35,BY90+BX91-CG90,IF(A91&lt;'Données projet'!$A$114,$BV$205^A91,IF(A91='Données projet'!$A$114,'Données projet'!$B$114,BY90+BX91-CG90)))</f>
        <v>227.5900000000002</v>
      </c>
      <c r="BZ91" s="13">
        <f>BY91*VLOOKUP('Données projet'!$B$12,Paramètres!$A$1:$I$89,3,0)*VLOOKUP('Données projet'!$B$12,Paramètres!$A$1:$I$89,5,0)</f>
        <v>227.22585600000022</v>
      </c>
      <c r="CA91" s="13">
        <f t="shared" si="93"/>
        <v>55.682423765261959</v>
      </c>
      <c r="CB91" s="20">
        <f t="shared" si="64"/>
        <v>492.73192059116496</v>
      </c>
      <c r="CC91" s="59">
        <f t="shared" si="65"/>
        <v>786.06525392449828</v>
      </c>
      <c r="CD91" s="59">
        <f ca="1">AVERAGE(OFFSET($CC$3,0,0,'Données projet'!$E$12+1,1))-AVERAGE(OFFSET($H$3,0,0,'Données projet'!$E$12+1,1))</f>
        <v>535.99935263833549</v>
      </c>
      <c r="CE91" s="59">
        <f t="shared" si="94"/>
        <v>245.89966477332644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12.898319323901779</v>
      </c>
      <c r="CM91" s="21">
        <f>EXP(-LN(2)/2)*CM90+(1-EXP(-LN(2)/2))/(LN(2)/2)*CG91*CJ91*VLOOKUP('Données projet'!$B$12,Paramètres!$A$1:$I$89,3,0)*0.475*44/12</f>
        <v>1.7177082968206612</v>
      </c>
      <c r="CN91" s="22">
        <f t="shared" si="66"/>
        <v>14.61602762072244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9.2740000000000009</v>
      </c>
      <c r="CT91" s="12">
        <f>IF('Données projet'!$A$140&gt;35,CT90+CS91-DB90,IF(A91&lt;'Données projet'!$A$140,$CQ$205^A91,IF(A91='Données projet'!$A$140,'Données projet'!$B$140,CT90+CS91-DB90)))</f>
        <v>302.49999999999989</v>
      </c>
      <c r="CU91" s="17">
        <f>CT91*VLOOKUP('Données projet'!$B$13,Paramètres!$A$1:$I$89,3,0)*VLOOKUP('Données projet'!$B$13,Paramètres!$A$1:$I$89,5,0)</f>
        <v>287.85899999999987</v>
      </c>
      <c r="CV91" s="13">
        <f t="shared" si="95"/>
        <v>68.625156372854391</v>
      </c>
      <c r="CW91" s="20">
        <f t="shared" si="67"/>
        <v>620.87657234938786</v>
      </c>
      <c r="CX91" s="59">
        <f t="shared" si="68"/>
        <v>914.20990568272123</v>
      </c>
      <c r="CY91" s="59">
        <f ca="1">AVERAGE(OFFSET($CX$3,0,0,'Données projet'!$E$13+1,1))-AVERAGE(OFFSET($H$3,0,0,'Données projet'!$E$13+1,1))</f>
        <v>449.28947235329758</v>
      </c>
      <c r="CZ91" s="59">
        <f t="shared" si="96"/>
        <v>289.36994109443964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17.221868450541368</v>
      </c>
      <c r="DG91" s="21">
        <f>EXP(-LN(2)/25)*DG90+(1-EXP(-LN(2)/25))/(LN(2)/25)*Calculateur!DB91*Calculateur!DD91*VLOOKUP('Données projet'!$B$13,Paramètres!$A$1:$I$89,3,0)*0.475*44/12</f>
        <v>18.388915178607459</v>
      </c>
      <c r="DH91" s="21">
        <f>EXP(-LN(2)/2)*DH90+(1-EXP(-LN(2)/2))/(LN(2)/2)*DB91*DE91*VLOOKUP('Données projet'!$B$13,Paramètres!$A$1:$I$89,3,0)*0.475*44/12</f>
        <v>2.0981879977570137</v>
      </c>
      <c r="DI91" s="22">
        <f t="shared" si="69"/>
        <v>37.708971626905843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5.6843418860808015E-14</v>
      </c>
      <c r="DP91" s="17">
        <f>DO91*VLOOKUP('Données projet'!$B$14,Paramètres!$A$1:$I$89,3,0)*VLOOKUP('Données projet'!$B$14,Paramètres!$A$1:$I$89,5,0)</f>
        <v>4.4337866711430253E-14</v>
      </c>
      <c r="DQ91" s="13">
        <f t="shared" si="97"/>
        <v>7.3222115536967035E-13</v>
      </c>
      <c r="DR91" s="20">
        <f t="shared" si="70"/>
        <v>1.3525069634579169E-12</v>
      </c>
      <c r="DS91" s="59">
        <f t="shared" si="71"/>
        <v>293.33333333333468</v>
      </c>
      <c r="DT91" s="59">
        <f ca="1">AVERAGE(OFFSET($DS$3,0,0,'Données projet'!$E$14+1,1))-AVERAGE(OFFSET($H$3,0,0,'Données projet'!$E$14+1,1))</f>
        <v>288.82868507674738</v>
      </c>
      <c r="DU91" s="59">
        <f t="shared" si="98"/>
        <v>283.48738729114024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29.514663168539645</v>
      </c>
      <c r="EB91" s="21">
        <f>EXP(-LN(2)/25)*EB90+(1-EXP(-LN(2)/25))/(LN(2)/25)*Calculateur!DW91*Calculateur!DY91*VLOOKUP('Données projet'!$B$14,Paramètres!$A$1:$I$89,3,0)*0.475*44/12</f>
        <v>24.998769583937243</v>
      </c>
      <c r="EC91" s="21">
        <f>EXP(-LN(2)/2)*EC90+(1-EXP(-LN(2)/2))/(LN(2)/2)*DW91*DZ91*VLOOKUP('Données projet'!$B$14,Paramètres!$A$1:$I$89,3,0)*0.475*44/12</f>
        <v>8.3908193181549726E-2</v>
      </c>
      <c r="ED91" s="22">
        <f t="shared" si="72"/>
        <v>54.597340945658438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6.7600000000000007</v>
      </c>
      <c r="EJ91" s="12">
        <f>IF('Données projet'!$A$192&gt;35,EJ90+EI91-ER90,IF(A91&lt;'Données projet'!$A$192,$EG$205^A91,IF(A91='Données projet'!$A$192,'Données projet'!$B$192,EJ90+EI91-ER90)))</f>
        <v>205.24999999999994</v>
      </c>
      <c r="EK91" s="17">
        <f>EJ91*VLOOKUP('Données projet'!$B$15,Paramètres!$A$1:$I$89,3,0)*VLOOKUP('Données projet'!$B$15,Paramètres!$A$1:$I$89,5,0)</f>
        <v>198.51779999999997</v>
      </c>
      <c r="EL91" s="13">
        <f t="shared" si="99"/>
        <v>49.418284138701907</v>
      </c>
      <c r="EM91" s="20">
        <f t="shared" si="73"/>
        <v>431.82201320823901</v>
      </c>
      <c r="EN91" s="59">
        <f t="shared" si="74"/>
        <v>725.15534654157227</v>
      </c>
      <c r="EO91" s="59">
        <f ca="1">AVERAGE(OFFSET($EN$3,0,0,'Données projet'!$E$15+1,1))-AVERAGE(OFFSET($H$3,0,0,'Données projet'!$E$15+1,1))</f>
        <v>510.71380643466227</v>
      </c>
      <c r="EP91" s="59">
        <f t="shared" si="100"/>
        <v>252.40654099948841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4.1472901164692928</v>
      </c>
      <c r="EW91" s="21">
        <f>EXP(-LN(2)/25)*EW90+(1-EXP(-LN(2)/25))/(LN(2)/25)*Calculateur!ER91*Calculateur!ET91*VLOOKUP('Données projet'!$B$15,Paramètres!$A$1:$I$89,3,0)*0.475*44/12</f>
        <v>13.623856180319894</v>
      </c>
      <c r="EX91" s="21">
        <f>EXP(-LN(2)/2)*EX90+(1-EXP(-LN(2)/2))/(LN(2)/2)*ER91*EU91*VLOOKUP('Données projet'!$B$15,Paramètres!$A$1:$I$89,3,0)*0.475*44/12</f>
        <v>4.4677489191205595</v>
      </c>
      <c r="EY91" s="22">
        <f t="shared" si="75"/>
        <v>22.238895215909746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6.8999999999999968</v>
      </c>
      <c r="N92" s="13">
        <f>IF('Données projet'!$A$36&gt;35,N91+M92-V91,IF(A92&lt;'Données projet'!$A$36,$K$205^A92,IF(A92='Données projet'!$A$36,'Données projet'!$B$36,N91+M92-V91)))</f>
        <v>234.49000000000021</v>
      </c>
      <c r="O92" s="13">
        <f>N92*VLOOKUP('Données projet'!$B$9,Paramètres!$A$1:$I$89,3,0)*VLOOKUP('Données projet'!$B$9,Paramètres!$A$1:$I$89,5,0)</f>
        <v>237.77286000000021</v>
      </c>
      <c r="P92" s="13">
        <f t="shared" si="87"/>
        <v>57.960090767586671</v>
      </c>
      <c r="Q92" s="20">
        <f t="shared" si="54"/>
        <v>515.06822258688044</v>
      </c>
      <c r="R92" s="59">
        <f t="shared" si="55"/>
        <v>808.4015559202137</v>
      </c>
      <c r="S92" s="59">
        <f ca="1">AVERAGE(OFFSET($R$3,0,0,'Données projet'!$E$9+1,1))-AVERAGE(OFFSET($H$3,0,0,'Données projet'!$E$9+1,1))</f>
        <v>543.67050511722618</v>
      </c>
      <c r="T92" s="59">
        <f t="shared" si="88"/>
        <v>249.0871389941106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40.773245837013796</v>
      </c>
      <c r="AB92" s="21">
        <f>EXP(-LN(2)/2)*AB91+(1-EXP(-LN(2)/2))/(LN(2)/2)*V92*Y92*VLOOKUP('Données projet'!$B$9,Paramètres!$A$1:$I$89,3,0)*0.475*44/12</f>
        <v>0.9868650876356061</v>
      </c>
      <c r="AC92" s="22">
        <f t="shared" si="57"/>
        <v>41.760110924649403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9.1730000000000018</v>
      </c>
      <c r="AI92" s="13">
        <f>IF('Données projet'!$A$62&gt;35,AI91+AH92-AQ91,IF(A92&lt;'Données projet'!$A$62,$AF$205^A92,IF(A92='Données projet'!$A$62,'Données projet'!$B$62,AI91+AH92-AQ91)))</f>
        <v>334.2650000000005</v>
      </c>
      <c r="AJ92" s="13">
        <f>AI92*VLOOKUP('Données projet'!$B$10,Paramètres!$A$1:$I$89,3,0)*VLOOKUP('Données projet'!$B$10,Paramètres!$A$1:$I$89,5,0)</f>
        <v>302.44297200000045</v>
      </c>
      <c r="AK92" s="13">
        <f t="shared" si="89"/>
        <v>71.688362252626035</v>
      </c>
      <c r="AL92" s="20">
        <f t="shared" si="58"/>
        <v>651.61207382332452</v>
      </c>
      <c r="AM92" s="59">
        <f t="shared" si="59"/>
        <v>944.94540715665789</v>
      </c>
      <c r="AN92" s="59">
        <f ca="1">AVERAGE(OFFSET($AM$3,0,0,'Données projet'!$E$10+1,1))-AVERAGE(OFFSET($H$3,0,0,'Données projet'!$E$10+1,1))</f>
        <v>635.71275911100679</v>
      </c>
      <c r="AO92" s="59">
        <f t="shared" si="90"/>
        <v>281.7776857269169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19.959141603777088</v>
      </c>
      <c r="AV92" s="21">
        <f>EXP(-LN(2)/25)*AV91+(1-EXP(-LN(2)/25))/(LN(2)/25)*Calculateur!AQ92*Calculateur!AS92*VLOOKUP('Données projet'!$B$10,Paramètres!$A$1:$I$89,3,0)*0.475*44/12</f>
        <v>25.749603614757234</v>
      </c>
      <c r="AW92" s="21">
        <f>EXP(-LN(2)/2)*AW91+(1-EXP(-LN(2)/2))/(LN(2)/2)*AQ92*AT92*VLOOKUP('Données projet'!$B$10,Paramètres!$A$1:$I$89,3,0)*0.475*44/12</f>
        <v>1.0324309572969819</v>
      </c>
      <c r="AX92" s="21">
        <f t="shared" si="60"/>
        <v>46.741176175831299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1.7948717948717956</v>
      </c>
      <c r="BD92" s="12">
        <f>IF('Données projet'!$A$88&gt;35,BD91+BC92-BL91,IF(A92&lt;'Données projet'!$A$88,$BA$205^A92,IF(A92='Données projet'!$A$88,'Données projet'!$B$88,BD91+BC92-BL91)))</f>
        <v>136.02564102564097</v>
      </c>
      <c r="BE92" s="13">
        <f>BD92*VLOOKUP('Données projet'!$B$11,Paramètres!$A$1:$I$89,3,0)*VLOOKUP('Données projet'!$B$11,Paramètres!$A$1:$I$89,5,0)</f>
        <v>118.83199999999997</v>
      </c>
      <c r="BF92" s="13">
        <f t="shared" si="91"/>
        <v>31.402427594327239</v>
      </c>
      <c r="BG92" s="20">
        <f t="shared" si="61"/>
        <v>261.65829472678655</v>
      </c>
      <c r="BH92" s="59">
        <f t="shared" si="62"/>
        <v>554.99162806011987</v>
      </c>
      <c r="BI92" s="59">
        <f ca="1">AVERAGE(OFFSET($BH$3,0,0,'Données projet'!$E$11+1,1))-AVERAGE(OFFSET($H$3,0,0,'Données projet'!$E$11+1,1))</f>
        <v>204.11804238362862</v>
      </c>
      <c r="BJ92" s="59">
        <f t="shared" si="92"/>
        <v>185.53854651509408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1.2370741844256117</v>
      </c>
      <c r="BQ92" s="21">
        <f>EXP(-LN(2)/25)*BQ91+(1-EXP(-LN(2)/25))/(LN(2)/25)*Calculateur!BL92*Calculateur!BN92*VLOOKUP('Données projet'!$B$11,Paramètres!$A$1:$I$89,3,0)*0.475*44/12</f>
        <v>11.686524839092646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12.923599023518259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6.8999999999999968</v>
      </c>
      <c r="BY92" s="12">
        <f>IF('Données projet'!$A$114&gt;35,BY91+BX92-CG91,IF(A92&lt;'Données projet'!$A$114,$BV$205^A92,IF(A92='Données projet'!$A$114,'Données projet'!$B$114,BY91+BX92-CG91)))</f>
        <v>234.49000000000021</v>
      </c>
      <c r="BZ92" s="13">
        <f>BY92*VLOOKUP('Données projet'!$B$12,Paramètres!$A$1:$I$89,3,0)*VLOOKUP('Données projet'!$B$12,Paramètres!$A$1:$I$89,5,0)</f>
        <v>234.11481600000022</v>
      </c>
      <c r="CA92" s="13">
        <f t="shared" si="93"/>
        <v>57.171480664467161</v>
      </c>
      <c r="CB92" s="20">
        <f t="shared" si="64"/>
        <v>507.3236333572807</v>
      </c>
      <c r="CC92" s="59">
        <f t="shared" si="65"/>
        <v>800.65696669061401</v>
      </c>
      <c r="CD92" s="59">
        <f ca="1">AVERAGE(OFFSET($CC$3,0,0,'Données projet'!$E$12+1,1))-AVERAGE(OFFSET($H$3,0,0,'Données projet'!$E$12+1,1))</f>
        <v>535.99935263833549</v>
      </c>
      <c r="CE92" s="59">
        <f t="shared" si="94"/>
        <v>245.89966477332644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12.545614103696551</v>
      </c>
      <c r="CM92" s="21">
        <f>EXP(-LN(2)/2)*CM91+(1-EXP(-LN(2)/2))/(LN(2)/2)*CG92*CJ92*VLOOKUP('Données projet'!$B$12,Paramètres!$A$1:$I$89,3,0)*0.475*44/12</f>
        <v>1.2146031847822845</v>
      </c>
      <c r="CN92" s="22">
        <f t="shared" si="66"/>
        <v>13.760217288478835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9.2740000000000009</v>
      </c>
      <c r="CT92" s="12">
        <f>IF('Données projet'!$A$140&gt;35,CT91+CS92-DB91,IF(A92&lt;'Données projet'!$A$140,$CQ$205^A92,IF(A92='Données projet'!$A$140,'Données projet'!$B$140,CT91+CS92-DB91)))</f>
        <v>311.77399999999989</v>
      </c>
      <c r="CU92" s="17">
        <f>CT92*VLOOKUP('Données projet'!$B$13,Paramètres!$A$1:$I$89,3,0)*VLOOKUP('Données projet'!$B$13,Paramètres!$A$1:$I$89,5,0)</f>
        <v>296.68413839999988</v>
      </c>
      <c r="CV92" s="13">
        <f t="shared" si="95"/>
        <v>70.480882508102439</v>
      </c>
      <c r="CW92" s="20">
        <f t="shared" si="67"/>
        <v>639.47907808161142</v>
      </c>
      <c r="CX92" s="59">
        <f t="shared" si="68"/>
        <v>932.81241141494479</v>
      </c>
      <c r="CY92" s="59">
        <f ca="1">AVERAGE(OFFSET($CX$3,0,0,'Données projet'!$E$13+1,1))-AVERAGE(OFFSET($H$3,0,0,'Données projet'!$E$13+1,1))</f>
        <v>449.28947235329758</v>
      </c>
      <c r="CZ92" s="59">
        <f t="shared" si="96"/>
        <v>289.36994109443964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16.884158114528795</v>
      </c>
      <c r="DG92" s="21">
        <f>EXP(-LN(2)/25)*DG91+(1-EXP(-LN(2)/25))/(LN(2)/25)*Calculateur!DB92*Calculateur!DD92*VLOOKUP('Données projet'!$B$13,Paramètres!$A$1:$I$89,3,0)*0.475*44/12</f>
        <v>17.886069326017417</v>
      </c>
      <c r="DH92" s="21">
        <f>EXP(-LN(2)/2)*DH91+(1-EXP(-LN(2)/2))/(LN(2)/2)*DB92*DE92*VLOOKUP('Données projet'!$B$13,Paramètres!$A$1:$I$89,3,0)*0.475*44/12</f>
        <v>1.4836429614182089</v>
      </c>
      <c r="DI92" s="22">
        <f t="shared" si="69"/>
        <v>36.25387040196442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5.6843418860808015E-14</v>
      </c>
      <c r="DP92" s="17">
        <f>DO92*VLOOKUP('Données projet'!$B$14,Paramètres!$A$1:$I$89,3,0)*VLOOKUP('Données projet'!$B$14,Paramètres!$A$1:$I$89,5,0)</f>
        <v>4.4337866711430253E-14</v>
      </c>
      <c r="DQ92" s="13">
        <f t="shared" si="97"/>
        <v>7.3222115536967035E-13</v>
      </c>
      <c r="DR92" s="20">
        <f t="shared" si="70"/>
        <v>1.3525069634579169E-12</v>
      </c>
      <c r="DS92" s="59">
        <f t="shared" si="71"/>
        <v>293.33333333333468</v>
      </c>
      <c r="DT92" s="59">
        <f ca="1">AVERAGE(OFFSET($DS$3,0,0,'Données projet'!$E$14+1,1))-AVERAGE(OFFSET($H$3,0,0,'Données projet'!$E$14+1,1))</f>
        <v>288.82868507674738</v>
      </c>
      <c r="DU92" s="59">
        <f t="shared" si="98"/>
        <v>283.48738729114024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28.93589862597155</v>
      </c>
      <c r="EB92" s="21">
        <f>EXP(-LN(2)/25)*EB91+(1-EXP(-LN(2)/25))/(LN(2)/25)*Calculateur!DW92*Calculateur!DY92*VLOOKUP('Données projet'!$B$14,Paramètres!$A$1:$I$89,3,0)*0.475*44/12</f>
        <v>24.315176915036322</v>
      </c>
      <c r="EC92" s="21">
        <f>EXP(-LN(2)/2)*EC91+(1-EXP(-LN(2)/2))/(LN(2)/2)*DW92*DZ92*VLOOKUP('Données projet'!$B$14,Paramètres!$A$1:$I$89,3,0)*0.475*44/12</f>
        <v>5.9332052395784644E-2</v>
      </c>
      <c r="ED92" s="22">
        <f t="shared" si="72"/>
        <v>53.310407593403653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6.7600000000000007</v>
      </c>
      <c r="EJ92" s="12">
        <f>IF('Données projet'!$A$192&gt;35,EJ91+EI92-ER91,IF(A92&lt;'Données projet'!$A$192,$EG$205^A92,IF(A92='Données projet'!$A$192,'Données projet'!$B$192,EJ91+EI92-ER91)))</f>
        <v>212.00999999999993</v>
      </c>
      <c r="EK92" s="17">
        <f>EJ92*VLOOKUP('Données projet'!$B$15,Paramètres!$A$1:$I$89,3,0)*VLOOKUP('Données projet'!$B$15,Paramètres!$A$1:$I$89,5,0)</f>
        <v>205.05607199999992</v>
      </c>
      <c r="EL92" s="13">
        <f t="shared" si="99"/>
        <v>50.853719611219461</v>
      </c>
      <c r="EM92" s="20">
        <f t="shared" si="73"/>
        <v>445.70955372287375</v>
      </c>
      <c r="EN92" s="59">
        <f t="shared" si="74"/>
        <v>739.04288705620706</v>
      </c>
      <c r="EO92" s="59">
        <f ca="1">AVERAGE(OFFSET($EN$3,0,0,'Données projet'!$E$15+1,1))-AVERAGE(OFFSET($H$3,0,0,'Données projet'!$E$15+1,1))</f>
        <v>510.71380643466227</v>
      </c>
      <c r="EP92" s="59">
        <f t="shared" si="100"/>
        <v>252.40654099948841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4.0659642868825241</v>
      </c>
      <c r="EW92" s="21">
        <f>EXP(-LN(2)/25)*EW91+(1-EXP(-LN(2)/25))/(LN(2)/25)*Calculateur!ER92*Calculateur!ET92*VLOOKUP('Données projet'!$B$15,Paramètres!$A$1:$I$89,3,0)*0.475*44/12</f>
        <v>13.251311116621588</v>
      </c>
      <c r="EX92" s="21">
        <f>EXP(-LN(2)/2)*EX91+(1-EXP(-LN(2)/2))/(LN(2)/2)*ER92*EU92*VLOOKUP('Données projet'!$B$15,Paramètres!$A$1:$I$89,3,0)*0.475*44/12</f>
        <v>3.1591755573490157</v>
      </c>
      <c r="EY92" s="22">
        <f t="shared" si="75"/>
        <v>20.476450960853128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6.8999999999999968</v>
      </c>
      <c r="N93" s="13">
        <f>IF('Données projet'!$A$36&gt;35,N92+M93-V92,IF(A93&lt;'Données projet'!$A$36,$K$205^A93,IF(A93='Données projet'!$A$36,'Données projet'!$B$36,N92+M93-V92)))</f>
        <v>241.39000000000021</v>
      </c>
      <c r="O93" s="13">
        <f>N93*VLOOKUP('Données projet'!$B$9,Paramètres!$A$1:$I$89,3,0)*VLOOKUP('Données projet'!$B$9,Paramètres!$A$1:$I$89,5,0)</f>
        <v>244.76946000000024</v>
      </c>
      <c r="P93" s="13">
        <f t="shared" si="87"/>
        <v>59.464524856131263</v>
      </c>
      <c r="Q93" s="20">
        <f t="shared" si="54"/>
        <v>529.87419029109572</v>
      </c>
      <c r="R93" s="59">
        <f t="shared" si="55"/>
        <v>823.20752362442909</v>
      </c>
      <c r="S93" s="59">
        <f ca="1">AVERAGE(OFFSET($R$3,0,0,'Données projet'!$E$9+1,1))-AVERAGE(OFFSET($H$3,0,0,'Données projet'!$E$9+1,1))</f>
        <v>543.67050511722618</v>
      </c>
      <c r="T93" s="59">
        <f t="shared" si="88"/>
        <v>249.0871389941106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39.658299285428846</v>
      </c>
      <c r="AB93" s="21">
        <f>EXP(-LN(2)/2)*AB92+(1-EXP(-LN(2)/2))/(LN(2)/2)*V93*Y93*VLOOKUP('Données projet'!$B$9,Paramètres!$A$1:$I$89,3,0)*0.475*44/12</f>
        <v>0.69781899558339366</v>
      </c>
      <c r="AC93" s="22">
        <f t="shared" si="57"/>
        <v>40.356118281012243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9.1730000000000018</v>
      </c>
      <c r="AI93" s="13">
        <f>IF('Données projet'!$A$62&gt;35,AI92+AH93-AQ92,IF(A93&lt;'Données projet'!$A$62,$AF$205^A93,IF(A93='Données projet'!$A$62,'Données projet'!$B$62,AI92+AH93-AQ92)))</f>
        <v>343.4380000000005</v>
      </c>
      <c r="AJ93" s="13">
        <f>AI93*VLOOKUP('Données projet'!$B$10,Paramètres!$A$1:$I$89,3,0)*VLOOKUP('Données projet'!$B$10,Paramètres!$A$1:$I$89,5,0)</f>
        <v>310.74270240000044</v>
      </c>
      <c r="AK93" s="13">
        <f t="shared" si="89"/>
        <v>73.423914385133031</v>
      </c>
      <c r="AL93" s="20">
        <f t="shared" si="58"/>
        <v>669.09019090077402</v>
      </c>
      <c r="AM93" s="59">
        <f t="shared" si="59"/>
        <v>962.42352423410739</v>
      </c>
      <c r="AN93" s="59">
        <f ca="1">AVERAGE(OFFSET($AM$3,0,0,'Données projet'!$E$10+1,1))-AVERAGE(OFFSET($H$3,0,0,'Données projet'!$E$10+1,1))</f>
        <v>635.71275911100679</v>
      </c>
      <c r="AO93" s="59">
        <f t="shared" si="90"/>
        <v>281.7776857269169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19.567755010801328</v>
      </c>
      <c r="AV93" s="21">
        <f>EXP(-LN(2)/25)*AV92+(1-EXP(-LN(2)/25))/(LN(2)/25)*Calculateur!AQ93*Calculateur!AS93*VLOOKUP('Données projet'!$B$10,Paramètres!$A$1:$I$89,3,0)*0.475*44/12</f>
        <v>25.045479349798896</v>
      </c>
      <c r="AW93" s="21">
        <f>EXP(-LN(2)/2)*AW92+(1-EXP(-LN(2)/2))/(LN(2)/2)*AQ93*AT93*VLOOKUP('Données projet'!$B$10,Paramètres!$A$1:$I$89,3,0)*0.475*44/12</f>
        <v>0.73003893101161477</v>
      </c>
      <c r="AX93" s="21">
        <f t="shared" si="60"/>
        <v>45.343273291611837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137.82051282051282</v>
      </c>
      <c r="BB93" s="12">
        <f>VLOOKUP(A93,'Données projet'!$A$87:$I$107,9,0)</f>
        <v>1.7948717948717956</v>
      </c>
      <c r="BC93" s="12">
        <f t="array" ref="BC93">INDEX(BB:BB,MIN(IF(ISNUMBER(BB93:BB289),ROW(BB93:BB289),"")))</f>
        <v>1.7948717948717956</v>
      </c>
      <c r="BD93" s="12">
        <f>IF('Données projet'!$A$88&gt;35,BD92+BC93-BL92,IF(A93&lt;'Données projet'!$A$88,$BA$205^A93,IF(A93='Données projet'!$A$88,'Données projet'!$B$88,BD92+BC93-BL92)))</f>
        <v>137.82051282051276</v>
      </c>
      <c r="BE93" s="13">
        <f>BD93*VLOOKUP('Données projet'!$B$11,Paramètres!$A$1:$I$89,3,0)*VLOOKUP('Données projet'!$B$11,Paramètres!$A$1:$I$89,5,0)</f>
        <v>120.39999999999996</v>
      </c>
      <c r="BF93" s="13">
        <f t="shared" si="91"/>
        <v>31.768274648862857</v>
      </c>
      <c r="BG93" s="20">
        <f t="shared" si="61"/>
        <v>265.02641168010274</v>
      </c>
      <c r="BH93" s="59">
        <f t="shared" si="62"/>
        <v>558.35974501343605</v>
      </c>
      <c r="BI93" s="59">
        <f ca="1">AVERAGE(OFFSET($BH$3,0,0,'Données projet'!$E$11+1,1))-AVERAGE(OFFSET($H$3,0,0,'Données projet'!$E$11+1,1))</f>
        <v>204.11804238362862</v>
      </c>
      <c r="BJ93" s="59">
        <f t="shared" si="92"/>
        <v>185.53854651509408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6.4102564102564097</v>
      </c>
      <c r="BM93" s="16">
        <f>IF(ISNA(VLOOKUP(A93,'Données projet'!$A$87:$I$107,5,0)),0%,VLOOKUP(A93,'Données projet'!$A$87:$I$107,5,0)*VLOOKUP('Données projet'!$B$11,Paramètres!$A$1:$I$89,7,0))</f>
        <v>4.3000000000000003E-2</v>
      </c>
      <c r="BN93" s="16">
        <f>IF(ISNA(VLOOKUP(A93,'Données projet'!$A$87:$I$107,6,0)),0%,VLOOKUP(A93,'Données projet'!$A$87:$I$107,6,0)*VLOOKUP('Données projet'!$B$11,Paramètres!$A$1:$I$89,7,0))</f>
        <v>0.215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1.4790131816013075</v>
      </c>
      <c r="BQ93" s="21">
        <f>EXP(-LN(2)/25)*BQ92+(1-EXP(-LN(2)/25))/(LN(2)/25)*Calculateur!BL93*Calculateur!BN93*VLOOKUP('Données projet'!$B$11,Paramètres!$A$1:$I$89,3,0)*0.475*44/12</f>
        <v>12.692701939403541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14.171715121004848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6.8999999999999968</v>
      </c>
      <c r="BY93" s="12">
        <f>IF('Données projet'!$A$114&gt;35,BY92+BX93-CG92,IF(A93&lt;'Données projet'!$A$114,$BV$205^A93,IF(A93='Données projet'!$A$114,'Données projet'!$B$114,BY92+BX93-CG92)))</f>
        <v>241.39000000000021</v>
      </c>
      <c r="BZ93" s="13">
        <f>BY93*VLOOKUP('Données projet'!$B$12,Paramètres!$A$1:$I$89,3,0)*VLOOKUP('Données projet'!$B$12,Paramètres!$A$1:$I$89,5,0)</f>
        <v>241.00377600000022</v>
      </c>
      <c r="CA93" s="13">
        <f t="shared" si="93"/>
        <v>58.655445290214359</v>
      </c>
      <c r="CB93" s="20">
        <f t="shared" si="64"/>
        <v>521.90647708045708</v>
      </c>
      <c r="CC93" s="59">
        <f t="shared" si="65"/>
        <v>815.23981041379034</v>
      </c>
      <c r="CD93" s="59">
        <f ca="1">AVERAGE(OFFSET($CC$3,0,0,'Données projet'!$E$12+1,1))-AVERAGE(OFFSET($H$3,0,0,'Données projet'!$E$12+1,1))</f>
        <v>535.99935263833549</v>
      </c>
      <c r="CE93" s="59">
        <f t="shared" si="94"/>
        <v>245.89966477332644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12.202553626285797</v>
      </c>
      <c r="CM93" s="21">
        <f>EXP(-LN(2)/2)*CM92+(1-EXP(-LN(2)/2))/(LN(2)/2)*CG93*CJ93*VLOOKUP('Données projet'!$B$12,Paramètres!$A$1:$I$89,3,0)*0.475*44/12</f>
        <v>0.85885414841033059</v>
      </c>
      <c r="CN93" s="22">
        <f t="shared" si="66"/>
        <v>13.061407774696127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9.2740000000000009</v>
      </c>
      <c r="CT93" s="12">
        <f>IF('Données projet'!$A$140&gt;35,CT92+CS93-DB92,IF(A93&lt;'Données projet'!$A$140,$CQ$205^A93,IF(A93='Données projet'!$A$140,'Données projet'!$B$140,CT92+CS93-DB92)))</f>
        <v>321.04799999999989</v>
      </c>
      <c r="CU93" s="17">
        <f>CT93*VLOOKUP('Données projet'!$B$13,Paramètres!$A$1:$I$89,3,0)*VLOOKUP('Données projet'!$B$13,Paramètres!$A$1:$I$89,5,0)</f>
        <v>305.5092767999999</v>
      </c>
      <c r="CV93" s="13">
        <f t="shared" si="95"/>
        <v>72.330193444868527</v>
      </c>
      <c r="CW93" s="20">
        <f t="shared" si="67"/>
        <v>658.07041067647913</v>
      </c>
      <c r="CX93" s="59">
        <f t="shared" si="68"/>
        <v>951.4037440098125</v>
      </c>
      <c r="CY93" s="59">
        <f ca="1">AVERAGE(OFFSET($CX$3,0,0,'Données projet'!$E$13+1,1))-AVERAGE(OFFSET($H$3,0,0,'Données projet'!$E$13+1,1))</f>
        <v>449.28947235329758</v>
      </c>
      <c r="CZ93" s="59">
        <f t="shared" si="96"/>
        <v>289.36994109443964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16.553070072222461</v>
      </c>
      <c r="DG93" s="21">
        <f>EXP(-LN(2)/25)*DG92+(1-EXP(-LN(2)/25))/(LN(2)/25)*Calculateur!DB93*Calculateur!DD93*VLOOKUP('Données projet'!$B$13,Paramètres!$A$1:$I$89,3,0)*0.475*44/12</f>
        <v>17.396973819709963</v>
      </c>
      <c r="DH93" s="21">
        <f>EXP(-LN(2)/2)*DH92+(1-EXP(-LN(2)/2))/(LN(2)/2)*DB93*DE93*VLOOKUP('Données projet'!$B$13,Paramètres!$A$1:$I$89,3,0)*0.475*44/12</f>
        <v>1.0490939988785069</v>
      </c>
      <c r="DI93" s="22">
        <f t="shared" si="69"/>
        <v>34.999137890810928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5.6843418860808015E-14</v>
      </c>
      <c r="DP93" s="17">
        <f>DO93*VLOOKUP('Données projet'!$B$14,Paramètres!$A$1:$I$89,3,0)*VLOOKUP('Données projet'!$B$14,Paramètres!$A$1:$I$89,5,0)</f>
        <v>4.4337866711430253E-14</v>
      </c>
      <c r="DQ93" s="13">
        <f t="shared" si="97"/>
        <v>7.3222115536967035E-13</v>
      </c>
      <c r="DR93" s="20">
        <f t="shared" si="70"/>
        <v>1.3525069634579169E-12</v>
      </c>
      <c r="DS93" s="59">
        <f t="shared" si="71"/>
        <v>293.33333333333468</v>
      </c>
      <c r="DT93" s="59">
        <f ca="1">AVERAGE(OFFSET($DS$3,0,0,'Données projet'!$E$14+1,1))-AVERAGE(OFFSET($H$3,0,0,'Données projet'!$E$14+1,1))</f>
        <v>288.82868507674738</v>
      </c>
      <c r="DU93" s="59">
        <f t="shared" si="98"/>
        <v>283.48738729114024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28.368483303071699</v>
      </c>
      <c r="EB93" s="21">
        <f>EXP(-LN(2)/25)*EB92+(1-EXP(-LN(2)/25))/(LN(2)/25)*Calculateur!DW93*Calculateur!DY93*VLOOKUP('Données projet'!$B$14,Paramètres!$A$1:$I$89,3,0)*0.475*44/12</f>
        <v>23.650277123615073</v>
      </c>
      <c r="EC93" s="21">
        <f>EXP(-LN(2)/2)*EC92+(1-EXP(-LN(2)/2))/(LN(2)/2)*DW93*DZ93*VLOOKUP('Données projet'!$B$14,Paramètres!$A$1:$I$89,3,0)*0.475*44/12</f>
        <v>4.195409659077487E-2</v>
      </c>
      <c r="ED93" s="22">
        <f t="shared" si="72"/>
        <v>52.060714523277539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6.7600000000000007</v>
      </c>
      <c r="EJ93" s="12">
        <f>IF('Données projet'!$A$192&gt;35,EJ92+EI93-ER92,IF(A93&lt;'Données projet'!$A$192,$EG$205^A93,IF(A93='Données projet'!$A$192,'Données projet'!$B$192,EJ92+EI93-ER92)))</f>
        <v>218.76999999999992</v>
      </c>
      <c r="EK93" s="17">
        <f>EJ93*VLOOKUP('Données projet'!$B$15,Paramètres!$A$1:$I$89,3,0)*VLOOKUP('Données projet'!$B$15,Paramètres!$A$1:$I$89,5,0)</f>
        <v>211.59434399999995</v>
      </c>
      <c r="EL93" s="13">
        <f t="shared" si="99"/>
        <v>52.283836462333554</v>
      </c>
      <c r="EM93" s="20">
        <f t="shared" si="73"/>
        <v>459.58783097189752</v>
      </c>
      <c r="EN93" s="59">
        <f t="shared" si="74"/>
        <v>752.92116430523083</v>
      </c>
      <c r="EO93" s="59">
        <f ca="1">AVERAGE(OFFSET($EN$3,0,0,'Données projet'!$E$15+1,1))-AVERAGE(OFFSET($H$3,0,0,'Données projet'!$E$15+1,1))</f>
        <v>510.71380643466227</v>
      </c>
      <c r="EP93" s="59">
        <f t="shared" si="100"/>
        <v>252.40654099948841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3.9862332072100939</v>
      </c>
      <c r="EW93" s="21">
        <f>EXP(-LN(2)/25)*EW92+(1-EXP(-LN(2)/25))/(LN(2)/25)*Calculateur!ER93*Calculateur!ET93*VLOOKUP('Données projet'!$B$15,Paramètres!$A$1:$I$89,3,0)*0.475*44/12</f>
        <v>12.888953317281405</v>
      </c>
      <c r="EX93" s="21">
        <f>EXP(-LN(2)/2)*EX92+(1-EXP(-LN(2)/2))/(LN(2)/2)*ER93*EU93*VLOOKUP('Données projet'!$B$15,Paramètres!$A$1:$I$89,3,0)*0.475*44/12</f>
        <v>2.2338744595602797</v>
      </c>
      <c r="EY93" s="22">
        <f t="shared" si="75"/>
        <v>19.10906098405178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6.8999999999999968</v>
      </c>
      <c r="N94" s="13">
        <f>IF('Données projet'!$A$36&gt;35,N93+M94-V93,IF(A94&lt;'Données projet'!$A$36,$K$205^A94,IF(A94='Données projet'!$A$36,'Données projet'!$B$36,N93+M94-V93)))</f>
        <v>248.29000000000022</v>
      </c>
      <c r="O94" s="13">
        <f>N94*VLOOKUP('Données projet'!$B$9,Paramètres!$A$1:$I$89,3,0)*VLOOKUP('Données projet'!$B$9,Paramètres!$A$1:$I$89,5,0)</f>
        <v>251.76606000000021</v>
      </c>
      <c r="P94" s="13">
        <f t="shared" si="87"/>
        <v>60.963960945735728</v>
      </c>
      <c r="Q94" s="20">
        <f t="shared" si="54"/>
        <v>544.67145314715674</v>
      </c>
      <c r="R94" s="59">
        <f t="shared" si="55"/>
        <v>838.00478648049011</v>
      </c>
      <c r="S94" s="59">
        <f ca="1">AVERAGE(OFFSET($R$3,0,0,'Données projet'!$E$9+1,1))-AVERAGE(OFFSET($H$3,0,0,'Données projet'!$E$9+1,1))</f>
        <v>543.67050511722618</v>
      </c>
      <c r="T94" s="59">
        <f t="shared" si="88"/>
        <v>249.0871389941106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38.573841005929474</v>
      </c>
      <c r="AB94" s="21">
        <f>EXP(-LN(2)/2)*AB93+(1-EXP(-LN(2)/2))/(LN(2)/2)*V94*Y94*VLOOKUP('Données projet'!$B$9,Paramètres!$A$1:$I$89,3,0)*0.475*44/12</f>
        <v>0.49343254381780316</v>
      </c>
      <c r="AC94" s="22">
        <f t="shared" si="57"/>
        <v>39.067273549747277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9.1730000000000018</v>
      </c>
      <c r="AI94" s="13">
        <f>IF('Données projet'!$A$62&gt;35,AI93+AH94-AQ93,IF(A94&lt;'Données projet'!$A$62,$AF$205^A94,IF(A94='Données projet'!$A$62,'Données projet'!$B$62,AI93+AH94-AQ93)))</f>
        <v>352.6110000000005</v>
      </c>
      <c r="AJ94" s="13">
        <f>AI94*VLOOKUP('Données projet'!$B$10,Paramètres!$A$1:$I$89,3,0)*VLOOKUP('Données projet'!$B$10,Paramètres!$A$1:$I$89,5,0)</f>
        <v>319.04243280000043</v>
      </c>
      <c r="AK94" s="13">
        <f t="shared" si="89"/>
        <v>75.154078446360543</v>
      </c>
      <c r="AL94" s="20">
        <f t="shared" si="58"/>
        <v>686.55892375407859</v>
      </c>
      <c r="AM94" s="59">
        <f t="shared" si="59"/>
        <v>979.89225708741196</v>
      </c>
      <c r="AN94" s="59">
        <f ca="1">AVERAGE(OFFSET($AM$3,0,0,'Données projet'!$E$10+1,1))-AVERAGE(OFFSET($H$3,0,0,'Données projet'!$E$10+1,1))</f>
        <v>635.71275911100679</v>
      </c>
      <c r="AO94" s="59">
        <f t="shared" si="90"/>
        <v>281.7776857269169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19.184043270191573</v>
      </c>
      <c r="AV94" s="21">
        <f>EXP(-LN(2)/25)*AV93+(1-EXP(-LN(2)/25))/(LN(2)/25)*Calculateur!AQ94*Calculateur!AS94*VLOOKUP('Données projet'!$B$10,Paramètres!$A$1:$I$89,3,0)*0.475*44/12</f>
        <v>24.360609399894127</v>
      </c>
      <c r="AW94" s="21">
        <f>EXP(-LN(2)/2)*AW93+(1-EXP(-LN(2)/2))/(LN(2)/2)*AQ94*AT94*VLOOKUP('Données projet'!$B$10,Paramètres!$A$1:$I$89,3,0)*0.475*44/12</f>
        <v>0.51621547864849093</v>
      </c>
      <c r="AX94" s="21">
        <f t="shared" si="60"/>
        <v>44.060868148734187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1.7948717948717956</v>
      </c>
      <c r="BD94" s="12">
        <f>IF('Données projet'!$A$88&gt;35,BD93+BC94-BL93,IF(A94&lt;'Données projet'!$A$88,$BA$205^A94,IF(A94='Données projet'!$A$88,'Données projet'!$B$88,BD93+BC94-BL93)))</f>
        <v>133.20512820512815</v>
      </c>
      <c r="BE94" s="13">
        <f>BD94*VLOOKUP('Données projet'!$B$11,Paramètres!$A$1:$I$89,3,0)*VLOOKUP('Données projet'!$B$11,Paramètres!$A$1:$I$89,5,0)</f>
        <v>116.36799999999995</v>
      </c>
      <c r="BF94" s="13">
        <f t="shared" si="91"/>
        <v>30.826385665835112</v>
      </c>
      <c r="BG94" s="20">
        <f t="shared" si="61"/>
        <v>256.36355503466274</v>
      </c>
      <c r="BH94" s="59">
        <f t="shared" si="62"/>
        <v>549.69688836799605</v>
      </c>
      <c r="BI94" s="59">
        <f ca="1">AVERAGE(OFFSET($BH$3,0,0,'Données projet'!$E$11+1,1))-AVERAGE(OFFSET($H$3,0,0,'Données projet'!$E$11+1,1))</f>
        <v>204.11804238362862</v>
      </c>
      <c r="BJ94" s="59">
        <f t="shared" si="92"/>
        <v>185.53854651509408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1.4500106352190707</v>
      </c>
      <c r="BQ94" s="21">
        <f>EXP(-LN(2)/25)*BQ93+(1-EXP(-LN(2)/25))/(LN(2)/25)*Calculateur!BL94*Calculateur!BN94*VLOOKUP('Données projet'!$B$11,Paramètres!$A$1:$I$89,3,0)*0.475*44/12</f>
        <v>12.345619337390366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13.795629972609436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6.8999999999999968</v>
      </c>
      <c r="BY94" s="12">
        <f>IF('Données projet'!$A$114&gt;35,BY93+BX94-CG93,IF(A94&lt;'Données projet'!$A$114,$BV$205^A94,IF(A94='Données projet'!$A$114,'Données projet'!$B$114,BY93+BX94-CG93)))</f>
        <v>248.29000000000022</v>
      </c>
      <c r="BZ94" s="13">
        <f>BY94*VLOOKUP('Données projet'!$B$12,Paramètres!$A$1:$I$89,3,0)*VLOOKUP('Données projet'!$B$12,Paramètres!$A$1:$I$89,5,0)</f>
        <v>247.89273600000021</v>
      </c>
      <c r="CA94" s="13">
        <f t="shared" si="93"/>
        <v>60.134479920235393</v>
      </c>
      <c r="CB94" s="20">
        <f t="shared" si="64"/>
        <v>536.48073439441043</v>
      </c>
      <c r="CC94" s="59">
        <f t="shared" si="65"/>
        <v>829.8140677277438</v>
      </c>
      <c r="CD94" s="59">
        <f ca="1">AVERAGE(OFFSET($CC$3,0,0,'Données projet'!$E$12+1,1))-AVERAGE(OFFSET($H$3,0,0,'Données projet'!$E$12+1,1))</f>
        <v>535.99935263833549</v>
      </c>
      <c r="CE94" s="59">
        <f t="shared" si="94"/>
        <v>245.89966477332644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11.868874155670605</v>
      </c>
      <c r="CM94" s="21">
        <f>EXP(-LN(2)/2)*CM93+(1-EXP(-LN(2)/2))/(LN(2)/2)*CG94*CJ94*VLOOKUP('Données projet'!$B$12,Paramètres!$A$1:$I$89,3,0)*0.475*44/12</f>
        <v>0.60730159239114223</v>
      </c>
      <c r="CN94" s="22">
        <f t="shared" si="66"/>
        <v>12.476175748061747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9.2740000000000009</v>
      </c>
      <c r="CT94" s="12">
        <f>IF('Données projet'!$A$140&gt;35,CT93+CS94-DB93,IF(A94&lt;'Données projet'!$A$140,$CQ$205^A94,IF(A94='Données projet'!$A$140,'Données projet'!$B$140,CT93+CS94-DB93)))</f>
        <v>330.32199999999989</v>
      </c>
      <c r="CU94" s="17">
        <f>CT94*VLOOKUP('Données projet'!$B$13,Paramètres!$A$1:$I$89,3,0)*VLOOKUP('Données projet'!$B$13,Paramètres!$A$1:$I$89,5,0)</f>
        <v>314.33441519999985</v>
      </c>
      <c r="CV94" s="13">
        <f t="shared" si="95"/>
        <v>74.173295778029868</v>
      </c>
      <c r="CW94" s="20">
        <f t="shared" si="67"/>
        <v>676.65092995340171</v>
      </c>
      <c r="CX94" s="59">
        <f t="shared" si="68"/>
        <v>969.98426328673509</v>
      </c>
      <c r="CY94" s="59">
        <f ca="1">AVERAGE(OFFSET($CX$3,0,0,'Données projet'!$E$13+1,1))-AVERAGE(OFFSET($H$3,0,0,'Données projet'!$E$13+1,1))</f>
        <v>449.28947235329758</v>
      </c>
      <c r="CZ94" s="59">
        <f t="shared" si="96"/>
        <v>289.36994109443964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16.228474464481987</v>
      </c>
      <c r="DG94" s="21">
        <f>EXP(-LN(2)/25)*DG93+(1-EXP(-LN(2)/25))/(LN(2)/25)*Calculateur!DB94*Calculateur!DD94*VLOOKUP('Données projet'!$B$13,Paramètres!$A$1:$I$89,3,0)*0.475*44/12</f>
        <v>16.921252655742901</v>
      </c>
      <c r="DH94" s="21">
        <f>EXP(-LN(2)/2)*DH93+(1-EXP(-LN(2)/2))/(LN(2)/2)*DB94*DE94*VLOOKUP('Données projet'!$B$13,Paramètres!$A$1:$I$89,3,0)*0.475*44/12</f>
        <v>0.74182148070910447</v>
      </c>
      <c r="DI94" s="22">
        <f t="shared" si="69"/>
        <v>33.891548600933994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5.6843418860808015E-14</v>
      </c>
      <c r="DP94" s="17">
        <f>DO94*VLOOKUP('Données projet'!$B$14,Paramètres!$A$1:$I$89,3,0)*VLOOKUP('Données projet'!$B$14,Paramètres!$A$1:$I$89,5,0)</f>
        <v>4.4337866711430253E-14</v>
      </c>
      <c r="DQ94" s="13">
        <f t="shared" si="97"/>
        <v>7.3222115536967035E-13</v>
      </c>
      <c r="DR94" s="20">
        <f t="shared" si="70"/>
        <v>1.3525069634579169E-12</v>
      </c>
      <c r="DS94" s="59">
        <f t="shared" si="71"/>
        <v>293.33333333333468</v>
      </c>
      <c r="DT94" s="59">
        <f ca="1">AVERAGE(OFFSET($DS$3,0,0,'Données projet'!$E$14+1,1))-AVERAGE(OFFSET($H$3,0,0,'Données projet'!$E$14+1,1))</f>
        <v>288.82868507674738</v>
      </c>
      <c r="DU94" s="59">
        <f t="shared" si="98"/>
        <v>283.48738729114024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27.812194648564741</v>
      </c>
      <c r="EB94" s="21">
        <f>EXP(-LN(2)/25)*EB93+(1-EXP(-LN(2)/25))/(LN(2)/25)*Calculateur!DW94*Calculateur!DY94*VLOOKUP('Données projet'!$B$14,Paramètres!$A$1:$I$89,3,0)*0.475*44/12</f>
        <v>23.003559051955797</v>
      </c>
      <c r="EC94" s="21">
        <f>EXP(-LN(2)/2)*EC93+(1-EXP(-LN(2)/2))/(LN(2)/2)*DW94*DZ94*VLOOKUP('Données projet'!$B$14,Paramètres!$A$1:$I$89,3,0)*0.475*44/12</f>
        <v>2.9666026197892326E-2</v>
      </c>
      <c r="ED94" s="22">
        <f t="shared" si="72"/>
        <v>50.845419726718433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6.7600000000000007</v>
      </c>
      <c r="EJ94" s="12">
        <f>IF('Données projet'!$A$192&gt;35,EJ93+EI94-ER93,IF(A94&lt;'Données projet'!$A$192,$EG$205^A94,IF(A94='Données projet'!$A$192,'Données projet'!$B$192,EJ93+EI94-ER93)))</f>
        <v>225.52999999999992</v>
      </c>
      <c r="EK94" s="17">
        <f>EJ94*VLOOKUP('Données projet'!$B$15,Paramètres!$A$1:$I$89,3,0)*VLOOKUP('Données projet'!$B$15,Paramètres!$A$1:$I$89,5,0)</f>
        <v>218.1326159999999</v>
      </c>
      <c r="EL94" s="13">
        <f t="shared" si="99"/>
        <v>53.708817897023764</v>
      </c>
      <c r="EM94" s="20">
        <f t="shared" si="73"/>
        <v>473.4571640373162</v>
      </c>
      <c r="EN94" s="59">
        <f t="shared" si="74"/>
        <v>766.79049737064952</v>
      </c>
      <c r="EO94" s="59">
        <f ca="1">AVERAGE(OFFSET($EN$3,0,0,'Données projet'!$E$15+1,1))-AVERAGE(OFFSET($H$3,0,0,'Données projet'!$E$15+1,1))</f>
        <v>510.71380643466227</v>
      </c>
      <c r="EP94" s="59">
        <f t="shared" si="100"/>
        <v>252.40654099948841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3.9080656053788831</v>
      </c>
      <c r="EW94" s="21">
        <f>EXP(-LN(2)/25)*EW93+(1-EXP(-LN(2)/25))/(LN(2)/25)*Calculateur!ER94*Calculateur!ET94*VLOOKUP('Données projet'!$B$15,Paramètres!$A$1:$I$89,3,0)*0.475*44/12</f>
        <v>12.536504211019748</v>
      </c>
      <c r="EX94" s="21">
        <f>EXP(-LN(2)/2)*EX93+(1-EXP(-LN(2)/2))/(LN(2)/2)*ER94*EU94*VLOOKUP('Données projet'!$B$15,Paramètres!$A$1:$I$89,3,0)*0.475*44/12</f>
        <v>1.5795877786745078</v>
      </c>
      <c r="EY94" s="22">
        <f t="shared" si="75"/>
        <v>18.024157595073138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6.8999999999999968</v>
      </c>
      <c r="N95" s="13">
        <f>IF('Données projet'!$A$36&gt;35,N94+M95-V94,IF(A95&lt;'Données projet'!$A$36,$K$205^A95,IF(A95='Données projet'!$A$36,'Données projet'!$B$36,N94+M95-V94)))</f>
        <v>255.19000000000023</v>
      </c>
      <c r="O95" s="13">
        <f>N95*VLOOKUP('Données projet'!$B$9,Paramètres!$A$1:$I$89,3,0)*VLOOKUP('Données projet'!$B$9,Paramètres!$A$1:$I$89,5,0)</f>
        <v>258.76266000000027</v>
      </c>
      <c r="P95" s="13">
        <f t="shared" si="87"/>
        <v>62.458553888418635</v>
      </c>
      <c r="Q95" s="20">
        <f t="shared" si="54"/>
        <v>559.46028085566286</v>
      </c>
      <c r="R95" s="59">
        <f t="shared" si="55"/>
        <v>852.79361418899612</v>
      </c>
      <c r="S95" s="59">
        <f ca="1">AVERAGE(OFFSET($R$3,0,0,'Données projet'!$E$9+1,1))-AVERAGE(OFFSET($H$3,0,0,'Données projet'!$E$9+1,1))</f>
        <v>543.67050511722618</v>
      </c>
      <c r="T95" s="59">
        <f t="shared" si="88"/>
        <v>249.0871389941106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37.519037295112199</v>
      </c>
      <c r="AB95" s="21">
        <f>EXP(-LN(2)/2)*AB94+(1-EXP(-LN(2)/2))/(LN(2)/2)*V95*Y95*VLOOKUP('Données projet'!$B$9,Paramètres!$A$1:$I$89,3,0)*0.475*44/12</f>
        <v>0.34890949779169689</v>
      </c>
      <c r="AC95" s="22">
        <f t="shared" si="57"/>
        <v>37.867946792903894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9.1730000000000018</v>
      </c>
      <c r="AI95" s="13">
        <f>IF('Données projet'!$A$62&gt;35,AI94+AH95-AQ94,IF(A95&lt;'Données projet'!$A$62,$AF$205^A95,IF(A95='Données projet'!$A$62,'Données projet'!$B$62,AI94+AH95-AQ94)))</f>
        <v>361.7840000000005</v>
      </c>
      <c r="AJ95" s="13">
        <f>AI95*VLOOKUP('Données projet'!$B$10,Paramètres!$A$1:$I$89,3,0)*VLOOKUP('Données projet'!$B$10,Paramètres!$A$1:$I$89,5,0)</f>
        <v>327.34216320000047</v>
      </c>
      <c r="AK95" s="13">
        <f t="shared" si="89"/>
        <v>76.87901071885527</v>
      </c>
      <c r="AL95" s="20">
        <f t="shared" si="58"/>
        <v>704.01854457534034</v>
      </c>
      <c r="AM95" s="59">
        <f t="shared" si="59"/>
        <v>997.35187790867371</v>
      </c>
      <c r="AN95" s="59">
        <f ca="1">AVERAGE(OFFSET($AM$3,0,0,'Données projet'!$E$10+1,1))-AVERAGE(OFFSET($H$3,0,0,'Données projet'!$E$10+1,1))</f>
        <v>635.71275911100679</v>
      </c>
      <c r="AO95" s="59">
        <f t="shared" si="90"/>
        <v>281.7776857269169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18.807855882774124</v>
      </c>
      <c r="AV95" s="21">
        <f>EXP(-LN(2)/25)*AV94+(1-EXP(-LN(2)/25))/(LN(2)/25)*Calculateur!AQ95*Calculateur!AS95*VLOOKUP('Données projet'!$B$10,Paramètres!$A$1:$I$89,3,0)*0.475*44/12</f>
        <v>23.694467254785252</v>
      </c>
      <c r="AW95" s="21">
        <f>EXP(-LN(2)/2)*AW94+(1-EXP(-LN(2)/2))/(LN(2)/2)*AQ95*AT95*VLOOKUP('Données projet'!$B$10,Paramètres!$A$1:$I$89,3,0)*0.475*44/12</f>
        <v>0.36501946550580738</v>
      </c>
      <c r="AX95" s="21">
        <f t="shared" si="60"/>
        <v>42.867342603065183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1.7948717948717956</v>
      </c>
      <c r="BD95" s="12">
        <f>IF('Données projet'!$A$88&gt;35,BD94+BC95-BL94,IF(A95&lt;'Données projet'!$A$88,$BA$205^A95,IF(A95='Données projet'!$A$88,'Données projet'!$B$88,BD94+BC95-BL94)))</f>
        <v>134.99999999999994</v>
      </c>
      <c r="BE95" s="13">
        <f>BD95*VLOOKUP('Données projet'!$B$11,Paramètres!$A$1:$I$89,3,0)*VLOOKUP('Données projet'!$B$11,Paramètres!$A$1:$I$89,5,0)</f>
        <v>117.93599999999998</v>
      </c>
      <c r="BF95" s="13">
        <f t="shared" si="91"/>
        <v>31.1931201812605</v>
      </c>
      <c r="BG95" s="20">
        <f t="shared" si="61"/>
        <v>259.73321764902863</v>
      </c>
      <c r="BH95" s="59">
        <f t="shared" si="62"/>
        <v>553.06655098236195</v>
      </c>
      <c r="BI95" s="59">
        <f ca="1">AVERAGE(OFFSET($BH$3,0,0,'Données projet'!$E$11+1,1))-AVERAGE(OFFSET($H$3,0,0,'Données projet'!$E$11+1,1))</f>
        <v>204.11804238362862</v>
      </c>
      <c r="BJ95" s="59">
        <f t="shared" si="92"/>
        <v>185.53854651509408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1.421576811081583</v>
      </c>
      <c r="BQ95" s="21">
        <f>EXP(-LN(2)/25)*BQ94+(1-EXP(-LN(2)/25))/(LN(2)/25)*Calculateur!BL95*Calculateur!BN95*VLOOKUP('Données projet'!$B$11,Paramètres!$A$1:$I$89,3,0)*0.475*44/12</f>
        <v>12.008027727381521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13.429604538463103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6.8999999999999968</v>
      </c>
      <c r="BY95" s="12">
        <f>IF('Données projet'!$A$114&gt;35,BY94+BX95-CG94,IF(A95&lt;'Données projet'!$A$114,$BV$205^A95,IF(A95='Données projet'!$A$114,'Données projet'!$B$114,BY94+BX95-CG94)))</f>
        <v>255.19000000000023</v>
      </c>
      <c r="BZ95" s="13">
        <f>BY95*VLOOKUP('Données projet'!$B$12,Paramètres!$A$1:$I$89,3,0)*VLOOKUP('Données projet'!$B$12,Paramètres!$A$1:$I$89,5,0)</f>
        <v>254.78169600000027</v>
      </c>
      <c r="CA95" s="13">
        <f t="shared" si="93"/>
        <v>61.608737299618767</v>
      </c>
      <c r="CB95" s="20">
        <f t="shared" si="64"/>
        <v>551.04667133016972</v>
      </c>
      <c r="CC95" s="59">
        <f t="shared" si="65"/>
        <v>844.38000466350309</v>
      </c>
      <c r="CD95" s="59">
        <f ca="1">AVERAGE(OFFSET($CC$3,0,0,'Données projet'!$E$12+1,1))-AVERAGE(OFFSET($H$3,0,0,'Données projet'!$E$12+1,1))</f>
        <v>535.99935263833549</v>
      </c>
      <c r="CE95" s="59">
        <f t="shared" si="94"/>
        <v>245.89966477332644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11.544319167726828</v>
      </c>
      <c r="CM95" s="21">
        <f>EXP(-LN(2)/2)*CM94+(1-EXP(-LN(2)/2))/(LN(2)/2)*CG95*CJ95*VLOOKUP('Données projet'!$B$12,Paramètres!$A$1:$I$89,3,0)*0.475*44/12</f>
        <v>0.42942707420516529</v>
      </c>
      <c r="CN95" s="22">
        <f t="shared" si="66"/>
        <v>11.973746241931993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9.2740000000000009</v>
      </c>
      <c r="CT95" s="12">
        <f>IF('Données projet'!$A$140&gt;35,CT94+CS95-DB94,IF(A95&lt;'Données projet'!$A$140,$CQ$205^A95,IF(A95='Données projet'!$A$140,'Données projet'!$B$140,CT94+CS95-DB94)))</f>
        <v>339.59599999999989</v>
      </c>
      <c r="CU95" s="17">
        <f>CT95*VLOOKUP('Données projet'!$B$13,Paramètres!$A$1:$I$89,3,0)*VLOOKUP('Données projet'!$B$13,Paramètres!$A$1:$I$89,5,0)</f>
        <v>323.15955359999992</v>
      </c>
      <c r="CV95" s="13">
        <f t="shared" si="95"/>
        <v>76.010383841911221</v>
      </c>
      <c r="CW95" s="20">
        <f t="shared" si="67"/>
        <v>695.22097437799528</v>
      </c>
      <c r="CX95" s="59">
        <f t="shared" si="68"/>
        <v>988.55430771132865</v>
      </c>
      <c r="CY95" s="59">
        <f ca="1">AVERAGE(OFFSET($CX$3,0,0,'Données projet'!$E$13+1,1))-AVERAGE(OFFSET($H$3,0,0,'Données projet'!$E$13+1,1))</f>
        <v>449.28947235329758</v>
      </c>
      <c r="CZ95" s="59">
        <f t="shared" si="96"/>
        <v>289.36994109443964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15.910243978625534</v>
      </c>
      <c r="DG95" s="21">
        <f>EXP(-LN(2)/25)*DG94+(1-EXP(-LN(2)/25))/(LN(2)/25)*Calculateur!DB95*Calculateur!DD95*VLOOKUP('Données projet'!$B$13,Paramètres!$A$1:$I$89,3,0)*0.475*44/12</f>
        <v>16.458540112021609</v>
      </c>
      <c r="DH95" s="21">
        <f>EXP(-LN(2)/2)*DH94+(1-EXP(-LN(2)/2))/(LN(2)/2)*DB95*DE95*VLOOKUP('Données projet'!$B$13,Paramètres!$A$1:$I$89,3,0)*0.475*44/12</f>
        <v>0.52454699943925343</v>
      </c>
      <c r="DI95" s="22">
        <f t="shared" si="69"/>
        <v>32.893331090086392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5.6843418860808015E-14</v>
      </c>
      <c r="DP95" s="17">
        <f>DO95*VLOOKUP('Données projet'!$B$14,Paramètres!$A$1:$I$89,3,0)*VLOOKUP('Données projet'!$B$14,Paramètres!$A$1:$I$89,5,0)</f>
        <v>4.4337866711430253E-14</v>
      </c>
      <c r="DQ95" s="13">
        <f t="shared" si="97"/>
        <v>7.3222115536967035E-13</v>
      </c>
      <c r="DR95" s="20">
        <f t="shared" si="70"/>
        <v>1.3525069634579169E-12</v>
      </c>
      <c r="DS95" s="59">
        <f t="shared" si="71"/>
        <v>293.33333333333468</v>
      </c>
      <c r="DT95" s="59">
        <f ca="1">AVERAGE(OFFSET($DS$3,0,0,'Données projet'!$E$14+1,1))-AVERAGE(OFFSET($H$3,0,0,'Données projet'!$E$14+1,1))</f>
        <v>288.82868507674738</v>
      </c>
      <c r="DU95" s="59">
        <f t="shared" si="98"/>
        <v>283.48738729114024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27.266814475270088</v>
      </c>
      <c r="EB95" s="21">
        <f>EXP(-LN(2)/25)*EB94+(1-EXP(-LN(2)/25))/(LN(2)/25)*Calculateur!DW95*Calculateur!DY95*VLOOKUP('Données projet'!$B$14,Paramètres!$A$1:$I$89,3,0)*0.475*44/12</f>
        <v>22.374525519975471</v>
      </c>
      <c r="EC95" s="21">
        <f>EXP(-LN(2)/2)*EC94+(1-EXP(-LN(2)/2))/(LN(2)/2)*DW95*DZ95*VLOOKUP('Données projet'!$B$14,Paramètres!$A$1:$I$89,3,0)*0.475*44/12</f>
        <v>2.0977048295387435E-2</v>
      </c>
      <c r="ED95" s="22">
        <f t="shared" si="72"/>
        <v>49.662317043540945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6.7600000000000007</v>
      </c>
      <c r="EJ95" s="12">
        <f>IF('Données projet'!$A$192&gt;35,EJ94+EI95-ER94,IF(A95&lt;'Données projet'!$A$192,$EG$205^A95,IF(A95='Données projet'!$A$192,'Données projet'!$B$192,EJ94+EI95-ER94)))</f>
        <v>232.28999999999991</v>
      </c>
      <c r="EK95" s="17">
        <f>EJ95*VLOOKUP('Données projet'!$B$15,Paramètres!$A$1:$I$89,3,0)*VLOOKUP('Données projet'!$B$15,Paramètres!$A$1:$I$89,5,0)</f>
        <v>224.67088799999993</v>
      </c>
      <c r="EL95" s="13">
        <f t="shared" si="99"/>
        <v>55.128835513346814</v>
      </c>
      <c r="EM95" s="20">
        <f t="shared" si="73"/>
        <v>487.31785178574552</v>
      </c>
      <c r="EN95" s="59">
        <f t="shared" si="74"/>
        <v>780.65118511907883</v>
      </c>
      <c r="EO95" s="59">
        <f ca="1">AVERAGE(OFFSET($EN$3,0,0,'Données projet'!$E$15+1,1))-AVERAGE(OFFSET($H$3,0,0,'Données projet'!$E$15+1,1))</f>
        <v>510.71380643466227</v>
      </c>
      <c r="EP95" s="59">
        <f t="shared" si="100"/>
        <v>252.40654099948841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3.8314308225420532</v>
      </c>
      <c r="EW95" s="21">
        <f>EXP(-LN(2)/25)*EW94+(1-EXP(-LN(2)/25))/(LN(2)/25)*Calculateur!ER95*Calculateur!ET95*VLOOKUP('Données projet'!$B$15,Paramètres!$A$1:$I$89,3,0)*0.475*44/12</f>
        <v>12.193692844103309</v>
      </c>
      <c r="EX95" s="21">
        <f>EXP(-LN(2)/2)*EX94+(1-EXP(-LN(2)/2))/(LN(2)/2)*ER95*EU95*VLOOKUP('Données projet'!$B$15,Paramètres!$A$1:$I$89,3,0)*0.475*44/12</f>
        <v>1.1169372297801399</v>
      </c>
      <c r="EY95" s="22">
        <f t="shared" si="75"/>
        <v>17.142060896425505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>
        <f>VLOOKUP(A96,'Données projet'!$A$35:$I$55,2,0)</f>
        <v>262.08999999999997</v>
      </c>
      <c r="L96" s="12">
        <f>VLOOKUP(A96,'Données projet'!$A$35:$I$55,9,0)</f>
        <v>6.8999999999999968</v>
      </c>
      <c r="M96" s="12">
        <f t="array" ref="M96">INDEX(L:L,MIN(IF(ISNUMBER(L96:L292),ROW(L96:L292),"")))</f>
        <v>6.8999999999999968</v>
      </c>
      <c r="N96" s="13">
        <f>IF('Données projet'!$A$36&gt;35,N95+M96-V95,IF(A96&lt;'Données projet'!$A$36,$K$205^A96,IF(A96='Données projet'!$A$36,'Données projet'!$B$36,N95+M96-V95)))</f>
        <v>262.0900000000002</v>
      </c>
      <c r="O96" s="13">
        <f>N96*VLOOKUP('Données projet'!$B$9,Paramètres!$A$1:$I$89,3,0)*VLOOKUP('Données projet'!$B$9,Paramètres!$A$1:$I$89,5,0)</f>
        <v>265.75926000000021</v>
      </c>
      <c r="P96" s="13">
        <f t="shared" si="87"/>
        <v>63.948449685517218</v>
      </c>
      <c r="Q96" s="20">
        <f t="shared" si="54"/>
        <v>574.24092770227628</v>
      </c>
      <c r="R96" s="59">
        <f t="shared" si="55"/>
        <v>867.57426103560965</v>
      </c>
      <c r="S96" s="59">
        <f ca="1">AVERAGE(OFFSET($R$3,0,0,'Données projet'!$E$9+1,1))-AVERAGE(OFFSET($H$3,0,0,'Données projet'!$E$9+1,1))</f>
        <v>543.67050511722618</v>
      </c>
      <c r="T96" s="59">
        <f t="shared" si="88"/>
        <v>249.0871389941106</v>
      </c>
      <c r="U96" s="15">
        <f>IF(ISNA(VLOOKUP(A96,'Données projet'!$A$35:$I$55,3,0)),0,VLOOKUP(A96,'Données projet'!$A$35:$I$55,3,0))</f>
        <v>6</v>
      </c>
      <c r="V96" s="15">
        <f>IF(ISNA(VLOOKUP(A96,'Données projet'!$A$35:$I$55,4,0)),0,VLOOKUP(A96,'Données projet'!$A$35:$I$55,4,0))</f>
        <v>43.449999999999989</v>
      </c>
      <c r="W96" s="16">
        <f>IF(ISNA(VLOOKUP(A96,'Données projet'!$A$35:$I$55,5,0)),0%,VLOOKUP(A96,'Données projet'!$A$35:$I$55,5,0)*VLOOKUP('Données projet'!$B$9,Paramètres!$A$1:$I$89,7,0))</f>
        <v>0.15049999999999999</v>
      </c>
      <c r="X96" s="16">
        <f>IF(ISNA(VLOOKUP(A96,'Données projet'!$A$35:$I$55,6,0)),0%,VLOOKUP(A96,'Données projet'!$A$35:$I$55,6,0)*VLOOKUP('Données projet'!$B$9,Paramètres!$A$1:$I$89,7,0))</f>
        <v>8.6000000000000007E-2</v>
      </c>
      <c r="Y96" s="16">
        <f>IF(ISNA(VLOOKUP(A96,'Données projet'!$A$35:$I$55,7,0)),0%,VLOOKUP(A96,'Données projet'!$A$35:$I$55,7,0))</f>
        <v>0.1</v>
      </c>
      <c r="Z96" s="21">
        <f>EXP(-LN(2)/35)*Z95+(1-EXP(-LN(2)/35))/(LN(2)/35)*V96*W96*VLOOKUP('Données projet'!$B$9,Paramètres!$A$1:$I$89,3,0)*0.475*44/12</f>
        <v>7.3301244161977728</v>
      </c>
      <c r="AA96" s="21">
        <f>EXP(-LN(2)/25)*AA95+(1-EXP(-LN(2)/25))/(LN(2)/25)*Calculateur!V96*Calculateur!X96*VLOOKUP('Données projet'!$B$9,Paramètres!$A$1:$I$89,3,0)*0.475*44/12</f>
        <v>40.66522748916541</v>
      </c>
      <c r="AB96" s="21">
        <f>EXP(-LN(2)/2)*AB95+(1-EXP(-LN(2)/2))/(LN(2)/2)*V96*Y96*VLOOKUP('Données projet'!$B$9,Paramètres!$A$1:$I$89,3,0)*0.475*44/12</f>
        <v>4.4037354580847579</v>
      </c>
      <c r="AC96" s="22">
        <f t="shared" si="57"/>
        <v>52.39908736344794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9.1730000000000018</v>
      </c>
      <c r="AI96" s="13">
        <f>IF('Données projet'!$A$62&gt;35,AI95+AH96-AQ95,IF(A96&lt;'Données projet'!$A$62,$AF$205^A96,IF(A96='Données projet'!$A$62,'Données projet'!$B$62,AI95+AH96-AQ95)))</f>
        <v>370.95700000000051</v>
      </c>
      <c r="AJ96" s="13">
        <f>AI96*VLOOKUP('Données projet'!$B$10,Paramètres!$A$1:$I$89,3,0)*VLOOKUP('Données projet'!$B$10,Paramètres!$A$1:$I$89,5,0)</f>
        <v>335.64189360000046</v>
      </c>
      <c r="AK96" s="13">
        <f t="shared" si="89"/>
        <v>78.598859108522404</v>
      </c>
      <c r="AL96" s="20">
        <f t="shared" si="58"/>
        <v>721.46931096734397</v>
      </c>
      <c r="AM96" s="59">
        <f t="shared" si="59"/>
        <v>1014.8026443006772</v>
      </c>
      <c r="AN96" s="59">
        <f ca="1">AVERAGE(OFFSET($AM$3,0,0,'Données projet'!$E$10+1,1))-AVERAGE(OFFSET($H$3,0,0,'Données projet'!$E$10+1,1))</f>
        <v>635.71275911100679</v>
      </c>
      <c r="AO96" s="59">
        <f t="shared" si="90"/>
        <v>281.7776857269169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18.439045300572278</v>
      </c>
      <c r="AV96" s="21">
        <f>EXP(-LN(2)/25)*AV95+(1-EXP(-LN(2)/25))/(LN(2)/25)*Calculateur!AQ96*Calculateur!AS96*VLOOKUP('Données projet'!$B$10,Paramètres!$A$1:$I$89,3,0)*0.475*44/12</f>
        <v>23.04654080166527</v>
      </c>
      <c r="AW96" s="21">
        <f>EXP(-LN(2)/2)*AW95+(1-EXP(-LN(2)/2))/(LN(2)/2)*AQ96*AT96*VLOOKUP('Données projet'!$B$10,Paramètres!$A$1:$I$89,3,0)*0.475*44/12</f>
        <v>0.25810773932424547</v>
      </c>
      <c r="AX96" s="21">
        <f t="shared" si="60"/>
        <v>41.743693841561793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1.7948717948717956</v>
      </c>
      <c r="BD96" s="12">
        <f>IF('Données projet'!$A$88&gt;35,BD95+BC96-BL95,IF(A96&lt;'Données projet'!$A$88,$BA$205^A96,IF(A96='Données projet'!$A$88,'Données projet'!$B$88,BD95+BC96-BL95)))</f>
        <v>136.79487179487174</v>
      </c>
      <c r="BE96" s="13">
        <f>BD96*VLOOKUP('Données projet'!$B$11,Paramètres!$A$1:$I$89,3,0)*VLOOKUP('Données projet'!$B$11,Paramètres!$A$1:$I$89,5,0)</f>
        <v>119.50399999999996</v>
      </c>
      <c r="BF96" s="13">
        <f t="shared" si="91"/>
        <v>31.55928756756072</v>
      </c>
      <c r="BG96" s="20">
        <f t="shared" si="61"/>
        <v>263.10189251350153</v>
      </c>
      <c r="BH96" s="59">
        <f t="shared" si="62"/>
        <v>556.43522584683478</v>
      </c>
      <c r="BI96" s="59">
        <f ca="1">AVERAGE(OFFSET($BH$3,0,0,'Données projet'!$E$11+1,1))-AVERAGE(OFFSET($H$3,0,0,'Données projet'!$E$11+1,1))</f>
        <v>204.11804238362862</v>
      </c>
      <c r="BJ96" s="59">
        <f t="shared" si="92"/>
        <v>185.53854651509408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1.3937005568925112</v>
      </c>
      <c r="BQ96" s="21">
        <f>EXP(-LN(2)/25)*BQ95+(1-EXP(-LN(2)/25))/(LN(2)/25)*Calculateur!BL96*Calculateur!BN96*VLOOKUP('Données projet'!$B$11,Paramètres!$A$1:$I$89,3,0)*0.475*44/12</f>
        <v>11.67966757770154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13.073368134594052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>
        <f>VLOOKUP(A96,'Données projet'!$A$113:$I$133,2,0)</f>
        <v>262.08999999999997</v>
      </c>
      <c r="BW96" s="12">
        <f>VLOOKUP(A96,'Données projet'!$A$113:$I$133,9,0)</f>
        <v>6.8999999999999968</v>
      </c>
      <c r="BX96" s="12">
        <f t="array" ref="BX96">INDEX(BW:BW,MIN(IF(ISNUMBER(BW96:BW292),ROW(BW96:BW292),"")))</f>
        <v>6.8999999999999968</v>
      </c>
      <c r="BY96" s="12">
        <f>IF('Données projet'!$A$114&gt;35,BY95+BX96-CG95,IF(A96&lt;'Données projet'!$A$114,$BV$205^A96,IF(A96='Données projet'!$A$114,'Données projet'!$B$114,BY95+BX96-CG95)))</f>
        <v>262.0900000000002</v>
      </c>
      <c r="BZ96" s="13">
        <f>BY96*VLOOKUP('Données projet'!$B$12,Paramètres!$A$1:$I$89,3,0)*VLOOKUP('Données projet'!$B$12,Paramètres!$A$1:$I$89,5,0)</f>
        <v>261.67065600000024</v>
      </c>
      <c r="CA96" s="13">
        <f t="shared" si="93"/>
        <v>63.078361443194659</v>
      </c>
      <c r="CB96" s="20">
        <f t="shared" si="64"/>
        <v>565.60453871356447</v>
      </c>
      <c r="CC96" s="59">
        <f t="shared" si="65"/>
        <v>858.93787204689784</v>
      </c>
      <c r="CD96" s="59">
        <f ca="1">AVERAGE(OFFSET($CC$3,0,0,'Données projet'!$E$12+1,1))-AVERAGE(OFFSET($H$3,0,0,'Données projet'!$E$12+1,1))</f>
        <v>535.99935263833549</v>
      </c>
      <c r="CE96" s="59">
        <f t="shared" si="94"/>
        <v>245.89966477332644</v>
      </c>
      <c r="CF96" s="15">
        <f>IF(ISNA(VLOOKUP(A96,'Données projet'!$A$113:$I$133,3,0)),0,VLOOKUP(A96,'Données projet'!$A$113:$I$133,3,0))</f>
        <v>6</v>
      </c>
      <c r="CG96" s="15">
        <f>IF(ISNA(VLOOKUP(A96,'Données projet'!$A$113:$I$133,4,0)),0,VLOOKUP(A96,'Données projet'!$A$113:$I$133,4,0))</f>
        <v>43.449999999999989</v>
      </c>
      <c r="CH96" s="16">
        <f>IF(ISNA(VLOOKUP(A96,'Données projet'!$A$113:$I$133,5,0)),0%,VLOOKUP(A96,'Données projet'!$A$113:$I$133,5,0)*VLOOKUP('Données projet'!$B$12,Paramètres!$A$1:$I$89,7,0))</f>
        <v>0.1075</v>
      </c>
      <c r="CI96" s="16">
        <f>IF(ISNA(VLOOKUP(A96,'Données projet'!$A$113:$I$133,6,0)),0%,VLOOKUP(A96,'Données projet'!$A$113:$I$133,6,0)*VLOOKUP('Données projet'!$B$12,Paramètres!$A$1:$I$89,7,0))</f>
        <v>0.1075</v>
      </c>
      <c r="CJ96" s="16">
        <f>IF(ISNA(VLOOKUP(A96,'Données projet'!$A$113:$I$133,7,0)),0%,VLOOKUP(A96,'Données projet'!$A$113:$I$133,7,0))</f>
        <v>0.25</v>
      </c>
      <c r="CK96" s="21">
        <f>EXP(-LN(2)/35)*CK95+(1-EXP(-LN(2)/35))/(LN(2)/35)*CG96*CH96*VLOOKUP('Données projet'!$B$12,Paramètres!$A$1:$I$89,3,0)*0.475*44/12</f>
        <v>5.1552523366665648</v>
      </c>
      <c r="CL96" s="21">
        <f>EXP(-LN(2)/25)*CL95+(1-EXP(-LN(2)/25))/(LN(2)/25)*Calculateur!CG96*Calculateur!CI96*VLOOKUP('Données projet'!$B$12,Paramètres!$A$1:$I$89,3,0)*0.475*44/12</f>
        <v>16.363593296907947</v>
      </c>
      <c r="CM96" s="21">
        <f>EXP(-LN(2)/2)*CM95+(1-EXP(-LN(2)/2))/(LN(2)/2)*CG96*CJ96*VLOOKUP('Données projet'!$B$12,Paramètres!$A$1:$I$89,3,0)*0.475*44/12</f>
        <v>10.536313408320757</v>
      </c>
      <c r="CN96" s="22">
        <f t="shared" si="66"/>
        <v>32.055159041895266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>
        <f>VLOOKUP(A96,'Données projet'!$A$139:$I$159,2,0)</f>
        <v>348.87</v>
      </c>
      <c r="CR96" s="12">
        <f>VLOOKUP(A96,'Données projet'!$A$139:$I$159,9,0)</f>
        <v>9.2740000000000009</v>
      </c>
      <c r="CS96" s="12">
        <f t="array" ref="CS96">INDEX(CR:CR,MIN(IF(ISNUMBER(CR96:CR292),ROW(CR96:CR292),"")))</f>
        <v>9.2740000000000009</v>
      </c>
      <c r="CT96" s="12">
        <f>IF('Données projet'!$A$140&gt;35,CT95+CS96-DB95,IF(A96&lt;'Données projet'!$A$140,$CQ$205^A96,IF(A96='Données projet'!$A$140,'Données projet'!$B$140,CT95+CS96-DB95)))</f>
        <v>348.86999999999989</v>
      </c>
      <c r="CU96" s="17">
        <f>CT96*VLOOKUP('Données projet'!$B$13,Paramètres!$A$1:$I$89,3,0)*VLOOKUP('Données projet'!$B$13,Paramètres!$A$1:$I$89,5,0)</f>
        <v>331.98469199999994</v>
      </c>
      <c r="CV96" s="13">
        <f t="shared" si="95"/>
        <v>77.841640752593847</v>
      </c>
      <c r="CW96" s="20">
        <f t="shared" si="67"/>
        <v>713.78086287743406</v>
      </c>
      <c r="CX96" s="59">
        <f t="shared" si="68"/>
        <v>1007.1141962107674</v>
      </c>
      <c r="CY96" s="59">
        <f ca="1">AVERAGE(OFFSET($CX$3,0,0,'Données projet'!$E$13+1,1))-AVERAGE(OFFSET($H$3,0,0,'Données projet'!$E$13+1,1))</f>
        <v>449.28947235329758</v>
      </c>
      <c r="CZ96" s="59">
        <f t="shared" si="96"/>
        <v>289.36994109443964</v>
      </c>
      <c r="DA96" s="15">
        <f>IF(ISNA(VLOOKUP(A96,'Données projet'!$A$139:$I$159,3,0)),0,VLOOKUP(A96,'Données projet'!$A$139:$I$159,3,0))</f>
        <v>8</v>
      </c>
      <c r="DB96" s="15">
        <f>IF(ISNA(VLOOKUP(A96,'Données projet'!$A$139:$I$159,4,0)),0,VLOOKUP(A96,'Données projet'!$A$139:$I$159,4,0))</f>
        <v>67.45999999999998</v>
      </c>
      <c r="DC96" s="16">
        <f>IF(ISNA(VLOOKUP(A96,'Données projet'!$A$139:$I$159,5,0)),0%,VLOOKUP(A96,'Données projet'!$A$139:$I$159,5,0)*VLOOKUP('Données projet'!$B$13,Paramètres!$A$1:$I$89,7,0))</f>
        <v>0.1075</v>
      </c>
      <c r="DD96" s="16">
        <f>IF(ISNA(VLOOKUP(A96,'Données projet'!$A$139:$I$159,6,0)),0%,VLOOKUP(A96,'Données projet'!$A$139:$I$159,6,0)*VLOOKUP('Données projet'!$B$13,Paramètres!$A$1:$I$89,7,0))</f>
        <v>0.1075</v>
      </c>
      <c r="DE96" s="16">
        <f>IF(ISNA(VLOOKUP(A96,'Données projet'!$A$139:$I$159,7,0)),0%,VLOOKUP(A96,'Données projet'!$A$139:$I$159,7,0))</f>
        <v>0.25</v>
      </c>
      <c r="DF96" s="21">
        <f>EXP(-LN(2)/35)*DF95+(1-EXP(-LN(2)/35))/(LN(2)/35)*DB96*DC96*VLOOKUP('Données projet'!$B$13,Paramètres!$A$1:$I$89,3,0)*0.475*44/12</f>
        <v>23.227055826876736</v>
      </c>
      <c r="DG96" s="21">
        <f>EXP(-LN(2)/25)*DG95+(1-EXP(-LN(2)/25))/(LN(2)/25)*Calculateur!DB96*Calculateur!DD96*VLOOKUP('Données projet'!$B$13,Paramètres!$A$1:$I$89,3,0)*0.475*44/12</f>
        <v>23.607244995135616</v>
      </c>
      <c r="DH96" s="21">
        <f>EXP(-LN(2)/2)*DH95+(1-EXP(-LN(2)/2))/(LN(2)/2)*DB96*DE96*VLOOKUP('Données projet'!$B$13,Paramètres!$A$1:$I$89,3,0)*0.475*44/12</f>
        <v>15.51332321469714</v>
      </c>
      <c r="DI96" s="22">
        <f t="shared" si="69"/>
        <v>62.34762403670949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5.6843418860808015E-14</v>
      </c>
      <c r="DP96" s="17">
        <f>DO96*VLOOKUP('Données projet'!$B$14,Paramètres!$A$1:$I$89,3,0)*VLOOKUP('Données projet'!$B$14,Paramètres!$A$1:$I$89,5,0)</f>
        <v>4.4337866711430253E-14</v>
      </c>
      <c r="DQ96" s="13">
        <f t="shared" si="97"/>
        <v>7.3222115536967035E-13</v>
      </c>
      <c r="DR96" s="20">
        <f t="shared" si="70"/>
        <v>1.3525069634579169E-12</v>
      </c>
      <c r="DS96" s="59">
        <f t="shared" si="71"/>
        <v>293.33333333333468</v>
      </c>
      <c r="DT96" s="59">
        <f ca="1">AVERAGE(OFFSET($DS$3,0,0,'Données projet'!$E$14+1,1))-AVERAGE(OFFSET($H$3,0,0,'Données projet'!$E$14+1,1))</f>
        <v>288.82868507674738</v>
      </c>
      <c r="DU96" s="59">
        <f t="shared" si="98"/>
        <v>283.48738729114024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26.732128874524687</v>
      </c>
      <c r="EB96" s="21">
        <f>EXP(-LN(2)/25)*EB95+(1-EXP(-LN(2)/25))/(LN(2)/25)*Calculateur!DW96*Calculateur!DY96*VLOOKUP('Données projet'!$B$14,Paramètres!$A$1:$I$89,3,0)*0.475*44/12</f>
        <v>21.762692943006581</v>
      </c>
      <c r="EC96" s="21">
        <f>EXP(-LN(2)/2)*EC95+(1-EXP(-LN(2)/2))/(LN(2)/2)*DW96*DZ96*VLOOKUP('Données projet'!$B$14,Paramètres!$A$1:$I$89,3,0)*0.475*44/12</f>
        <v>1.4833013098946163E-2</v>
      </c>
      <c r="ED96" s="22">
        <f t="shared" si="72"/>
        <v>48.509654830630211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6.7600000000000007</v>
      </c>
      <c r="EJ96" s="12">
        <f>IF('Données projet'!$A$192&gt;35,EJ95+EI96-ER95,IF(A96&lt;'Données projet'!$A$192,$EG$205^A96,IF(A96='Données projet'!$A$192,'Données projet'!$B$192,EJ95+EI96-ER95)))</f>
        <v>239.0499999999999</v>
      </c>
      <c r="EK96" s="17">
        <f>EJ96*VLOOKUP('Données projet'!$B$15,Paramètres!$A$1:$I$89,3,0)*VLOOKUP('Données projet'!$B$15,Paramètres!$A$1:$I$89,5,0)</f>
        <v>231.20915999999988</v>
      </c>
      <c r="EL96" s="13">
        <f t="shared" si="99"/>
        <v>56.544050353913839</v>
      </c>
      <c r="EM96" s="20">
        <f t="shared" si="73"/>
        <v>501.17017469973308</v>
      </c>
      <c r="EN96" s="59">
        <f t="shared" si="74"/>
        <v>794.5035080330664</v>
      </c>
      <c r="EO96" s="59">
        <f ca="1">AVERAGE(OFFSET($EN$3,0,0,'Données projet'!$E$15+1,1))-AVERAGE(OFFSET($H$3,0,0,'Données projet'!$E$15+1,1))</f>
        <v>510.71380643466227</v>
      </c>
      <c r="EP96" s="59">
        <f t="shared" si="100"/>
        <v>252.40654099948841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3.7562988010540517</v>
      </c>
      <c r="EW96" s="21">
        <f>EXP(-LN(2)/25)*EW95+(1-EXP(-LN(2)/25))/(LN(2)/25)*Calculateur!ER96*Calculateur!ET96*VLOOKUP('Données projet'!$B$15,Paramètres!$A$1:$I$89,3,0)*0.475*44/12</f>
        <v>11.860255672042866</v>
      </c>
      <c r="EX96" s="21">
        <f>EXP(-LN(2)/2)*EX95+(1-EXP(-LN(2)/2))/(LN(2)/2)*ER96*EU96*VLOOKUP('Données projet'!$B$15,Paramètres!$A$1:$I$89,3,0)*0.475*44/12</f>
        <v>0.78979388933725392</v>
      </c>
      <c r="EY96" s="22">
        <f t="shared" si="75"/>
        <v>16.406348362434173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6.9749999999999996</v>
      </c>
      <c r="N97" s="13">
        <f>IF('Données projet'!$A$36&gt;35,N96+M97-V96,IF(A97&lt;'Données projet'!$A$36,$K$205^A97,IF(A97='Données projet'!$A$36,'Données projet'!$B$36,N96+M97-V96)))</f>
        <v>225.61500000000024</v>
      </c>
      <c r="O97" s="13">
        <f>N97*VLOOKUP('Données projet'!$B$9,Paramètres!$A$1:$I$89,3,0)*VLOOKUP('Données projet'!$B$9,Paramètres!$A$1:$I$89,5,0)</f>
        <v>228.77361000000025</v>
      </c>
      <c r="P97" s="13">
        <f t="shared" si="87"/>
        <v>56.017424884883361</v>
      </c>
      <c r="Q97" s="20">
        <f t="shared" si="54"/>
        <v>496.01105242450564</v>
      </c>
      <c r="R97" s="59">
        <f t="shared" si="55"/>
        <v>789.34438575783895</v>
      </c>
      <c r="S97" s="59">
        <f ca="1">AVERAGE(OFFSET($R$3,0,0,'Données projet'!$E$9+1,1))-AVERAGE(OFFSET($H$3,0,0,'Données projet'!$E$9+1,1))</f>
        <v>543.67050511722618</v>
      </c>
      <c r="T97" s="59">
        <f t="shared" si="88"/>
        <v>249.0871389941106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7.1863851473305607</v>
      </c>
      <c r="AA97" s="21">
        <f>EXP(-LN(2)/25)*AA96+(1-EXP(-LN(2)/25))/(LN(2)/25)*Calculateur!V97*Calculateur!X97*VLOOKUP('Données projet'!$B$9,Paramètres!$A$1:$I$89,3,0)*0.475*44/12</f>
        <v>39.553234704982813</v>
      </c>
      <c r="AB97" s="21">
        <f>EXP(-LN(2)/2)*AB96+(1-EXP(-LN(2)/2))/(LN(2)/2)*V97*Y97*VLOOKUP('Données projet'!$B$9,Paramètres!$A$1:$I$89,3,0)*0.475*44/12</f>
        <v>3.1139112049633799</v>
      </c>
      <c r="AC97" s="22">
        <f t="shared" si="57"/>
        <v>49.853531057276754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9.1730000000000018</v>
      </c>
      <c r="AH97" s="12">
        <f t="array" ref="AH97">INDEX(AG:AG,MIN(IF(ISNUMBER(AG97:AG293),ROW(AG97:AG293),"")))</f>
        <v>9.1730000000000018</v>
      </c>
      <c r="AI97" s="13">
        <f>IF('Données projet'!$A$62&gt;35,AI96+AH97-AQ96,IF(A97&lt;'Données projet'!$A$62,$AF$205^A97,IF(A97='Données projet'!$A$62,'Données projet'!$B$62,AI96+AH97-AQ96)))</f>
        <v>380.13000000000051</v>
      </c>
      <c r="AJ97" s="13">
        <f>AI97*VLOOKUP('Données projet'!$B$10,Paramètres!$A$1:$I$89,3,0)*VLOOKUP('Données projet'!$B$10,Paramètres!$A$1:$I$89,5,0)</f>
        <v>343.94162400000044</v>
      </c>
      <c r="AK97" s="13">
        <f t="shared" si="89"/>
        <v>80.313763789484966</v>
      </c>
      <c r="AL97" s="20">
        <f t="shared" si="58"/>
        <v>738.91146706668712</v>
      </c>
      <c r="AM97" s="59">
        <f t="shared" si="59"/>
        <v>1032.2448004000205</v>
      </c>
      <c r="AN97" s="59">
        <f ca="1">AVERAGE(OFFSET($AM$3,0,0,'Données projet'!$E$10+1,1))-AVERAGE(OFFSET($H$3,0,0,'Données projet'!$E$10+1,1))</f>
        <v>635.71275911100679</v>
      </c>
      <c r="AO97" s="59">
        <f t="shared" si="90"/>
        <v>281.7776857269169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67.350000000000023</v>
      </c>
      <c r="AR97" s="16">
        <f>IF(ISNA(VLOOKUP(A97,'Données projet'!$A$61:$I$81,5,0)),0%,VLOOKUP(A97,'Données projet'!$A$61:$I$81,5,0)*VLOOKUP('Données projet'!$B$10,Paramètres!$A$1:$I$89,7,0))</f>
        <v>0.15049999999999999</v>
      </c>
      <c r="AS97" s="16">
        <f>IF(ISNA(VLOOKUP(A97,'Données projet'!$A$61:$I$81,6,0)),0%,VLOOKUP(A97,'Données projet'!$A$61:$I$81,6,0)*VLOOKUP('Données projet'!$B$10,Paramètres!$A$1:$I$89,7,0))</f>
        <v>8.6000000000000007E-2</v>
      </c>
      <c r="AT97" s="16">
        <f>IF(ISNA(VLOOKUP(A97,'Données projet'!$A$61:$I$81,7,0)),0%,VLOOKUP(A97,'Données projet'!$A$61:$I$81,7,0))</f>
        <v>0.1</v>
      </c>
      <c r="AU97" s="21">
        <f>EXP(-LN(2)/35)*AU96+(1-EXP(-LN(2)/35))/(LN(2)/35)*AQ97*AR97*VLOOKUP('Données projet'!$B$10,Paramètres!$A$1:$I$89,3,0)*0.475*44/12</f>
        <v>28.215969128647792</v>
      </c>
      <c r="AV97" s="21">
        <f>EXP(-LN(2)/25)*AV96+(1-EXP(-LN(2)/25))/(LN(2)/25)*Calculateur!AQ97*Calculateur!AS97*VLOOKUP('Données projet'!$B$10,Paramètres!$A$1:$I$89,3,0)*0.475*44/12</f>
        <v>28.18695085333249</v>
      </c>
      <c r="AW97" s="21">
        <f>EXP(-LN(2)/2)*AW96+(1-EXP(-LN(2)/2))/(LN(2)/2)*AQ97*AT97*VLOOKUP('Données projet'!$B$10,Paramètres!$A$1:$I$89,3,0)*0.475*44/12</f>
        <v>5.9322004637288286</v>
      </c>
      <c r="AX97" s="21">
        <f t="shared" si="60"/>
        <v>62.335120445709109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1.7948717948717956</v>
      </c>
      <c r="BD97" s="12">
        <f>IF('Données projet'!$A$88&gt;35,BD96+BC97-BL96,IF(A97&lt;'Données projet'!$A$88,$BA$205^A97,IF(A97='Données projet'!$A$88,'Données projet'!$B$88,BD96+BC97-BL96)))</f>
        <v>138.58974358974353</v>
      </c>
      <c r="BE97" s="13">
        <f>BD97*VLOOKUP('Données projet'!$B$11,Paramètres!$A$1:$I$89,3,0)*VLOOKUP('Données projet'!$B$11,Paramètres!$A$1:$I$89,5,0)</f>
        <v>121.07199999999996</v>
      </c>
      <c r="BF97" s="13">
        <f t="shared" si="91"/>
        <v>31.924896126279531</v>
      </c>
      <c r="BG97" s="20">
        <f t="shared" si="61"/>
        <v>266.46959408660342</v>
      </c>
      <c r="BH97" s="59">
        <f t="shared" si="62"/>
        <v>559.80292741993674</v>
      </c>
      <c r="BI97" s="59">
        <f ca="1">AVERAGE(OFFSET($BH$3,0,0,'Données projet'!$E$11+1,1))-AVERAGE(OFFSET($H$3,0,0,'Données projet'!$E$11+1,1))</f>
        <v>204.11804238362862</v>
      </c>
      <c r="BJ97" s="59">
        <f t="shared" si="92"/>
        <v>185.53854651509408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1.366370939045251</v>
      </c>
      <c r="BQ97" s="21">
        <f>EXP(-LN(2)/25)*BQ96+(1-EXP(-LN(2)/25))/(LN(2)/25)*Calculateur!BL97*Calculateur!BN97*VLOOKUP('Données projet'!$B$11,Paramètres!$A$1:$I$89,3,0)*0.475*44/12</f>
        <v>11.360286453582267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12.726657392627517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6.9749999999999996</v>
      </c>
      <c r="BY97" s="12">
        <f>IF('Données projet'!$A$114&gt;35,BY96+BX97-CG96,IF(A97&lt;'Données projet'!$A$114,$BV$205^A97,IF(A97='Données projet'!$A$114,'Données projet'!$B$114,BY96+BX97-CG96)))</f>
        <v>225.61500000000024</v>
      </c>
      <c r="BZ97" s="13">
        <f>BY97*VLOOKUP('Données projet'!$B$12,Paramètres!$A$1:$I$89,3,0)*VLOOKUP('Données projet'!$B$12,Paramètres!$A$1:$I$89,5,0)</f>
        <v>225.25401600000026</v>
      </c>
      <c r="CA97" s="13">
        <f t="shared" si="93"/>
        <v>55.255246864974843</v>
      </c>
      <c r="CB97" s="20">
        <f t="shared" si="64"/>
        <v>488.55363282316489</v>
      </c>
      <c r="CC97" s="59">
        <f t="shared" si="65"/>
        <v>781.88696615649815</v>
      </c>
      <c r="CD97" s="59">
        <f ca="1">AVERAGE(OFFSET($CC$3,0,0,'Données projet'!$E$12+1,1))-AVERAGE(OFFSET($H$3,0,0,'Données projet'!$E$12+1,1))</f>
        <v>535.99935263833549</v>
      </c>
      <c r="CE97" s="59">
        <f t="shared" si="94"/>
        <v>245.89966477332644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5.0541609827379759</v>
      </c>
      <c r="CL97" s="21">
        <f>EXP(-LN(2)/25)*CL96+(1-EXP(-LN(2)/25))/(LN(2)/25)*Calculateur!CG97*Calculateur!CI97*VLOOKUP('Données projet'!$B$12,Paramètres!$A$1:$I$89,3,0)*0.475*44/12</f>
        <v>15.916129977680027</v>
      </c>
      <c r="CM97" s="21">
        <f>EXP(-LN(2)/2)*CM96+(1-EXP(-LN(2)/2))/(LN(2)/2)*CG97*CJ97*VLOOKUP('Données projet'!$B$12,Paramètres!$A$1:$I$89,3,0)*0.475*44/12</f>
        <v>7.4502986597303522</v>
      </c>
      <c r="CN97" s="22">
        <f t="shared" si="66"/>
        <v>28.420589620148355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8.9989999999999952</v>
      </c>
      <c r="CT97" s="12">
        <f>IF('Données projet'!$A$140&gt;35,CT96+CS97-DB96,IF(A97&lt;'Données projet'!$A$140,$CQ$205^A97,IF(A97='Données projet'!$A$140,'Données projet'!$B$140,CT96+CS97-DB96)))</f>
        <v>290.40899999999993</v>
      </c>
      <c r="CU97" s="17">
        <f>CT97*VLOOKUP('Données projet'!$B$13,Paramètres!$A$1:$I$89,3,0)*VLOOKUP('Données projet'!$B$13,Paramètres!$A$1:$I$89,5,0)</f>
        <v>276.35320439999992</v>
      </c>
      <c r="CV97" s="13">
        <f t="shared" si="95"/>
        <v>66.195749107226092</v>
      </c>
      <c r="CW97" s="20">
        <f t="shared" si="67"/>
        <v>596.60609402508533</v>
      </c>
      <c r="CX97" s="59">
        <f t="shared" si="68"/>
        <v>889.9394273584187</v>
      </c>
      <c r="CY97" s="59">
        <f ca="1">AVERAGE(OFFSET($CX$3,0,0,'Données projet'!$E$13+1,1))-AVERAGE(OFFSET($H$3,0,0,'Données projet'!$E$13+1,1))</f>
        <v>449.28947235329758</v>
      </c>
      <c r="CZ97" s="59">
        <f t="shared" si="96"/>
        <v>289.36994109443964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22.771587429216851</v>
      </c>
      <c r="DG97" s="21">
        <f>EXP(-LN(2)/25)*DG96+(1-EXP(-LN(2)/25))/(LN(2)/25)*Calculateur!DB97*Calculateur!DD97*VLOOKUP('Données projet'!$B$13,Paramètres!$A$1:$I$89,3,0)*0.475*44/12</f>
        <v>22.961703639292573</v>
      </c>
      <c r="DH97" s="21">
        <f>EXP(-LN(2)/2)*DH96+(1-EXP(-LN(2)/2))/(LN(2)/2)*DB97*DE97*VLOOKUP('Données projet'!$B$13,Paramètres!$A$1:$I$89,3,0)*0.475*44/12</f>
        <v>10.969576043851038</v>
      </c>
      <c r="DI97" s="22">
        <f t="shared" si="69"/>
        <v>56.702867112360465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5.6843418860808015E-14</v>
      </c>
      <c r="DP97" s="17">
        <f>DO97*VLOOKUP('Données projet'!$B$14,Paramètres!$A$1:$I$89,3,0)*VLOOKUP('Données projet'!$B$14,Paramètres!$A$1:$I$89,5,0)</f>
        <v>4.4337866711430253E-14</v>
      </c>
      <c r="DQ97" s="13">
        <f t="shared" si="97"/>
        <v>7.3222115536967035E-13</v>
      </c>
      <c r="DR97" s="20">
        <f t="shared" si="70"/>
        <v>1.3525069634579169E-12</v>
      </c>
      <c r="DS97" s="59">
        <f t="shared" si="71"/>
        <v>293.33333333333468</v>
      </c>
      <c r="DT97" s="59">
        <f ca="1">AVERAGE(OFFSET($DS$3,0,0,'Données projet'!$E$14+1,1))-AVERAGE(OFFSET($H$3,0,0,'Données projet'!$E$14+1,1))</f>
        <v>288.82868507674738</v>
      </c>
      <c r="DU97" s="59">
        <f t="shared" si="98"/>
        <v>283.48738729114024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26.207928132283886</v>
      </c>
      <c r="EB97" s="21">
        <f>EXP(-LN(2)/25)*EB96+(1-EXP(-LN(2)/25))/(LN(2)/25)*Calculateur!DW97*Calculateur!DY97*VLOOKUP('Données projet'!$B$14,Paramètres!$A$1:$I$89,3,0)*0.475*44/12</f>
        <v>21.167590960029784</v>
      </c>
      <c r="EC97" s="21">
        <f>EXP(-LN(2)/2)*EC96+(1-EXP(-LN(2)/2))/(LN(2)/2)*DW97*DZ97*VLOOKUP('Données projet'!$B$14,Paramètres!$A$1:$I$89,3,0)*0.475*44/12</f>
        <v>1.0488524147693717E-2</v>
      </c>
      <c r="ED97" s="22">
        <f t="shared" si="72"/>
        <v>47.386007616461363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6.7600000000000007</v>
      </c>
      <c r="EJ97" s="12">
        <f>IF('Données projet'!$A$192&gt;35,EJ96+EI97-ER96,IF(A97&lt;'Données projet'!$A$192,$EG$205^A97,IF(A97='Données projet'!$A$192,'Données projet'!$B$192,EJ96+EI97-ER96)))</f>
        <v>245.80999999999989</v>
      </c>
      <c r="EK97" s="17">
        <f>EJ97*VLOOKUP('Données projet'!$B$15,Paramètres!$A$1:$I$89,3,0)*VLOOKUP('Données projet'!$B$15,Paramètres!$A$1:$I$89,5,0)</f>
        <v>237.74743199999992</v>
      </c>
      <c r="EL97" s="13">
        <f t="shared" si="99"/>
        <v>57.954613835088161</v>
      </c>
      <c r="EM97" s="20">
        <f t="shared" si="73"/>
        <v>515.01439649611177</v>
      </c>
      <c r="EN97" s="59">
        <f t="shared" si="74"/>
        <v>808.34772982944514</v>
      </c>
      <c r="EO97" s="59">
        <f ca="1">AVERAGE(OFFSET($EN$3,0,0,'Données projet'!$E$15+1,1))-AVERAGE(OFFSET($H$3,0,0,'Données projet'!$E$15+1,1))</f>
        <v>510.71380643466227</v>
      </c>
      <c r="EP97" s="59">
        <f t="shared" si="100"/>
        <v>252.40654099948841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3.6826400726814215</v>
      </c>
      <c r="EW97" s="21">
        <f>EXP(-LN(2)/25)*EW96+(1-EXP(-LN(2)/25))/(LN(2)/25)*Calculateur!ER97*Calculateur!ET97*VLOOKUP('Données projet'!$B$15,Paramètres!$A$1:$I$89,3,0)*0.475*44/12</f>
        <v>11.535936356987115</v>
      </c>
      <c r="EX97" s="21">
        <f>EXP(-LN(2)/2)*EX96+(1-EXP(-LN(2)/2))/(LN(2)/2)*ER97*EU97*VLOOKUP('Données projet'!$B$15,Paramètres!$A$1:$I$89,3,0)*0.475*44/12</f>
        <v>0.55846861489006994</v>
      </c>
      <c r="EY97" s="22">
        <f t="shared" si="75"/>
        <v>15.777045044558605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6.9749999999999996</v>
      </c>
      <c r="N98" s="13">
        <f>IF('Données projet'!$A$36&gt;35,N97+M98-V97,IF(A98&lt;'Données projet'!$A$36,$K$205^A98,IF(A98='Données projet'!$A$36,'Données projet'!$B$36,N97+M98-V97)))</f>
        <v>232.59000000000023</v>
      </c>
      <c r="O98" s="13">
        <f>N98*VLOOKUP('Données projet'!$B$9,Paramètres!$A$1:$I$89,3,0)*VLOOKUP('Données projet'!$B$9,Paramètres!$A$1:$I$89,5,0)</f>
        <v>235.84626000000026</v>
      </c>
      <c r="P98" s="13">
        <f t="shared" si="87"/>
        <v>57.544927029925091</v>
      </c>
      <c r="Q98" s="20">
        <f t="shared" si="54"/>
        <v>510.98965074378657</v>
      </c>
      <c r="R98" s="59">
        <f t="shared" si="55"/>
        <v>804.32298407711983</v>
      </c>
      <c r="S98" s="59">
        <f ca="1">AVERAGE(OFFSET($R$3,0,0,'Données projet'!$E$9+1,1))-AVERAGE(OFFSET($H$3,0,0,'Données projet'!$E$9+1,1))</f>
        <v>543.67050511722618</v>
      </c>
      <c r="T98" s="59">
        <f t="shared" si="88"/>
        <v>249.0871389941106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7.0454645178535369</v>
      </c>
      <c r="AA98" s="21">
        <f>EXP(-LN(2)/25)*AA97+(1-EXP(-LN(2)/25))/(LN(2)/25)*Calculateur!V98*Calculateur!X98*VLOOKUP('Données projet'!$B$9,Paramètres!$A$1:$I$89,3,0)*0.475*44/12</f>
        <v>38.471649421960848</v>
      </c>
      <c r="AB98" s="21">
        <f>EXP(-LN(2)/2)*AB97+(1-EXP(-LN(2)/2))/(LN(2)/2)*V98*Y98*VLOOKUP('Données projet'!$B$9,Paramètres!$A$1:$I$89,3,0)*0.475*44/12</f>
        <v>2.2018677290423794</v>
      </c>
      <c r="AC98" s="22">
        <f t="shared" si="57"/>
        <v>47.718981668856763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8.9420000000000019</v>
      </c>
      <c r="AI98" s="13">
        <f>IF('Données projet'!$A$62&gt;35,AI97+AH98-AQ97,IF(A98&lt;'Données projet'!$A$62,$AF$205^A98,IF(A98='Données projet'!$A$62,'Données projet'!$B$62,AI97+AH98-AQ97)))</f>
        <v>321.72200000000049</v>
      </c>
      <c r="AJ98" s="13">
        <f>AI98*VLOOKUP('Données projet'!$B$10,Paramètres!$A$1:$I$89,3,0)*VLOOKUP('Données projet'!$B$10,Paramètres!$A$1:$I$89,5,0)</f>
        <v>291.09406560000048</v>
      </c>
      <c r="AK98" s="13">
        <f t="shared" si="89"/>
        <v>69.306175582041092</v>
      </c>
      <c r="AL98" s="20">
        <f t="shared" si="58"/>
        <v>627.697086725389</v>
      </c>
      <c r="AM98" s="59">
        <f t="shared" si="59"/>
        <v>921.03042005872226</v>
      </c>
      <c r="AN98" s="59">
        <f ca="1">AVERAGE(OFFSET($AM$3,0,0,'Données projet'!$E$10+1,1))-AVERAGE(OFFSET($H$3,0,0,'Données projet'!$E$10+1,1))</f>
        <v>635.71275911100679</v>
      </c>
      <c r="AO98" s="59">
        <f t="shared" si="90"/>
        <v>281.7776857269169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27.662671184076828</v>
      </c>
      <c r="AV98" s="21">
        <f>EXP(-LN(2)/25)*AV97+(1-EXP(-LN(2)/25))/(LN(2)/25)*Calculateur!AQ98*Calculateur!AS98*VLOOKUP('Données projet'!$B$10,Paramètres!$A$1:$I$89,3,0)*0.475*44/12</f>
        <v>27.416177199960789</v>
      </c>
      <c r="AW98" s="21">
        <f>EXP(-LN(2)/2)*AW97+(1-EXP(-LN(2)/2))/(LN(2)/2)*AQ98*AT98*VLOOKUP('Données projet'!$B$10,Paramètres!$A$1:$I$89,3,0)*0.475*44/12</f>
        <v>4.1946991752606371</v>
      </c>
      <c r="AX98" s="21">
        <f t="shared" si="60"/>
        <v>59.273547559298251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140.38461538461539</v>
      </c>
      <c r="BB98" s="12">
        <f>VLOOKUP(A98,'Données projet'!$A$87:$I$107,9,0)</f>
        <v>1.7948717948717956</v>
      </c>
      <c r="BC98" s="12">
        <f t="array" ref="BC98">INDEX(BB:BB,MIN(IF(ISNUMBER(BB98:BB294),ROW(BB98:BB294),"")))</f>
        <v>1.7948717948717956</v>
      </c>
      <c r="BD98" s="12">
        <f>IF('Données projet'!$A$88&gt;35,BD97+BC98-BL97,IF(A98&lt;'Données projet'!$A$88,$BA$205^A98,IF(A98='Données projet'!$A$88,'Données projet'!$B$88,BD97+BC98-BL97)))</f>
        <v>140.38461538461533</v>
      </c>
      <c r="BE98" s="13">
        <f>BD98*VLOOKUP('Données projet'!$B$11,Paramètres!$A$1:$I$89,3,0)*VLOOKUP('Données projet'!$B$11,Paramètres!$A$1:$I$89,5,0)</f>
        <v>122.63999999999997</v>
      </c>
      <c r="BF98" s="13">
        <f t="shared" si="91"/>
        <v>32.289953931572668</v>
      </c>
      <c r="BG98" s="20">
        <f t="shared" si="61"/>
        <v>269.83633643082231</v>
      </c>
      <c r="BH98" s="59">
        <f t="shared" si="62"/>
        <v>563.16966976415563</v>
      </c>
      <c r="BI98" s="59">
        <f ca="1">AVERAGE(OFFSET($BH$3,0,0,'Données projet'!$E$11+1,1))-AVERAGE(OFFSET($H$3,0,0,'Données projet'!$E$11+1,1))</f>
        <v>204.11804238362862</v>
      </c>
      <c r="BJ98" s="59">
        <f t="shared" si="92"/>
        <v>185.53854651509408</v>
      </c>
      <c r="BK98" s="15">
        <f>IF(ISNA(VLOOKUP(A98,'Données projet'!$A$87:$I$107,3,0)),0,VLOOKUP(A98,'Données projet'!$A$87:$I$107,3,0))</f>
        <v>16</v>
      </c>
      <c r="BL98" s="15">
        <f>IF(ISNA(VLOOKUP(A98,'Données projet'!$A$87:$I$107,4,0)),0,VLOOKUP(A98,'Données projet'!$A$87:$I$107,4,0))</f>
        <v>7.0512820512820511</v>
      </c>
      <c r="BM98" s="16">
        <f>IF(ISNA(VLOOKUP(A98,'Données projet'!$A$87:$I$107,5,0)),0%,VLOOKUP(A98,'Données projet'!$A$87:$I$107,5,0)*VLOOKUP('Données projet'!$B$11,Paramètres!$A$1:$I$89,7,0))</f>
        <v>4.3000000000000003E-2</v>
      </c>
      <c r="BN98" s="16">
        <f>IF(ISNA(VLOOKUP(A98,'Données projet'!$A$87:$I$107,6,0)),0%,VLOOKUP(A98,'Données projet'!$A$87:$I$107,6,0)*VLOOKUP('Données projet'!$B$11,Paramètres!$A$1:$I$89,7,0))</f>
        <v>0.215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1.6323942324652425</v>
      </c>
      <c r="BQ98" s="21">
        <f>EXP(-LN(2)/25)*BQ97+(1-EXP(-LN(2)/25))/(LN(2)/25)*Calculateur!BL98*Calculateur!BN98*VLOOKUP('Données projet'!$B$11,Paramètres!$A$1:$I$89,3,0)*0.475*44/12</f>
        <v>12.507959133361426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14.14035336582667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6.9749999999999996</v>
      </c>
      <c r="BY98" s="12">
        <f>IF('Données projet'!$A$114&gt;35,BY97+BX98-CG97,IF(A98&lt;'Données projet'!$A$114,$BV$205^A98,IF(A98='Données projet'!$A$114,'Données projet'!$B$114,BY97+BX98-CG97)))</f>
        <v>232.59000000000023</v>
      </c>
      <c r="BZ98" s="13">
        <f>BY98*VLOOKUP('Données projet'!$B$12,Paramètres!$A$1:$I$89,3,0)*VLOOKUP('Données projet'!$B$12,Paramètres!$A$1:$I$89,5,0)</f>
        <v>232.21785600000027</v>
      </c>
      <c r="CA98" s="13">
        <f t="shared" si="93"/>
        <v>56.761965681209439</v>
      </c>
      <c r="CB98" s="20">
        <f t="shared" si="64"/>
        <v>503.30652276144025</v>
      </c>
      <c r="CC98" s="59">
        <f t="shared" si="65"/>
        <v>796.63985609477356</v>
      </c>
      <c r="CD98" s="59">
        <f ca="1">AVERAGE(OFFSET($CC$3,0,0,'Données projet'!$E$12+1,1))-AVERAGE(OFFSET($H$3,0,0,'Données projet'!$E$12+1,1))</f>
        <v>535.99935263833549</v>
      </c>
      <c r="CE98" s="59">
        <f t="shared" si="94"/>
        <v>245.89966477332644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4.955051968600289</v>
      </c>
      <c r="CL98" s="21">
        <f>EXP(-LN(2)/25)*CL97+(1-EXP(-LN(2)/25))/(LN(2)/25)*Calculateur!CG98*Calculateur!CI98*VLOOKUP('Données projet'!$B$12,Paramètres!$A$1:$I$89,3,0)*0.475*44/12</f>
        <v>15.480902566447469</v>
      </c>
      <c r="CM98" s="21">
        <f>EXP(-LN(2)/2)*CM97+(1-EXP(-LN(2)/2))/(LN(2)/2)*CG98*CJ98*VLOOKUP('Données projet'!$B$12,Paramètres!$A$1:$I$89,3,0)*0.475*44/12</f>
        <v>5.2681567041603792</v>
      </c>
      <c r="CN98" s="22">
        <f t="shared" si="66"/>
        <v>25.704111239208135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8.9989999999999952</v>
      </c>
      <c r="CT98" s="12">
        <f>IF('Données projet'!$A$140&gt;35,CT97+CS98-DB97,IF(A98&lt;'Données projet'!$A$140,$CQ$205^A98,IF(A98='Données projet'!$A$140,'Données projet'!$B$140,CT97+CS98-DB97)))</f>
        <v>299.4079999999999</v>
      </c>
      <c r="CU98" s="17">
        <f>CT98*VLOOKUP('Données projet'!$B$13,Paramètres!$A$1:$I$89,3,0)*VLOOKUP('Données projet'!$B$13,Paramètres!$A$1:$I$89,5,0)</f>
        <v>284.91665279999989</v>
      </c>
      <c r="CV98" s="13">
        <f t="shared" si="95"/>
        <v>68.004983981001502</v>
      </c>
      <c r="CW98" s="20">
        <f t="shared" si="67"/>
        <v>614.67185072691063</v>
      </c>
      <c r="CX98" s="59">
        <f t="shared" si="68"/>
        <v>908.00518406024389</v>
      </c>
      <c r="CY98" s="59">
        <f ca="1">AVERAGE(OFFSET($CX$3,0,0,'Données projet'!$E$13+1,1))-AVERAGE(OFFSET($H$3,0,0,'Données projet'!$E$13+1,1))</f>
        <v>449.28947235329758</v>
      </c>
      <c r="CZ98" s="59">
        <f t="shared" si="96"/>
        <v>289.36994109443964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22.325050489026786</v>
      </c>
      <c r="DG98" s="21">
        <f>EXP(-LN(2)/25)*DG97+(1-EXP(-LN(2)/25))/(LN(2)/25)*Calculateur!DB98*Calculateur!DD98*VLOOKUP('Données projet'!$B$13,Paramètres!$A$1:$I$89,3,0)*0.475*44/12</f>
        <v>22.333814645772602</v>
      </c>
      <c r="DH98" s="21">
        <f>EXP(-LN(2)/2)*DH97+(1-EXP(-LN(2)/2))/(LN(2)/2)*DB98*DE98*VLOOKUP('Données projet'!$B$13,Paramètres!$A$1:$I$89,3,0)*0.475*44/12</f>
        <v>7.7566616073485708</v>
      </c>
      <c r="DI98" s="22">
        <f t="shared" si="69"/>
        <v>52.415526742147954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5.6843418860808015E-14</v>
      </c>
      <c r="DP98" s="17">
        <f>DO98*VLOOKUP('Données projet'!$B$14,Paramètres!$A$1:$I$89,3,0)*VLOOKUP('Données projet'!$B$14,Paramètres!$A$1:$I$89,5,0)</f>
        <v>4.4337866711430253E-14</v>
      </c>
      <c r="DQ98" s="13">
        <f t="shared" si="97"/>
        <v>7.3222115536967035E-13</v>
      </c>
      <c r="DR98" s="20">
        <f t="shared" si="70"/>
        <v>1.3525069634579169E-12</v>
      </c>
      <c r="DS98" s="59">
        <f t="shared" si="71"/>
        <v>293.33333333333468</v>
      </c>
      <c r="DT98" s="59">
        <f ca="1">AVERAGE(OFFSET($DS$3,0,0,'Données projet'!$E$14+1,1))-AVERAGE(OFFSET($H$3,0,0,'Données projet'!$E$14+1,1))</f>
        <v>288.82868507674738</v>
      </c>
      <c r="DU98" s="59">
        <f t="shared" si="98"/>
        <v>283.48738729114024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25.694006646867546</v>
      </c>
      <c r="EB98" s="21">
        <f>EXP(-LN(2)/25)*EB97+(1-EXP(-LN(2)/25))/(LN(2)/25)*Calculateur!DW98*Calculateur!DY98*VLOOKUP('Données projet'!$B$14,Paramètres!$A$1:$I$89,3,0)*0.475*44/12</f>
        <v>20.588762072072541</v>
      </c>
      <c r="EC98" s="21">
        <f>EXP(-LN(2)/2)*EC97+(1-EXP(-LN(2)/2))/(LN(2)/2)*DW98*DZ98*VLOOKUP('Données projet'!$B$14,Paramètres!$A$1:$I$89,3,0)*0.475*44/12</f>
        <v>7.4165065494730814E-3</v>
      </c>
      <c r="ED98" s="22">
        <f t="shared" si="72"/>
        <v>46.290185225489566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>
        <f>VLOOKUP(A98,'Données projet'!$A$191:$I$211,2,0)</f>
        <v>252.57</v>
      </c>
      <c r="EH98" s="12">
        <f>VLOOKUP(A98,'Données projet'!$A$191:$I$211,9,0)</f>
        <v>6.7600000000000007</v>
      </c>
      <c r="EI98" s="12">
        <f t="array" ref="EI98">INDEX(EH:EH,MIN(IF(ISNUMBER(EH98:EH294),ROW(EH98:EH294),"")))</f>
        <v>6.7600000000000007</v>
      </c>
      <c r="EJ98" s="12">
        <f>IF('Données projet'!$A$192&gt;35,EJ97+EI98-ER97,IF(A98&lt;'Données projet'!$A$192,$EG$205^A98,IF(A98='Données projet'!$A$192,'Données projet'!$B$192,EJ97+EI98-ER97)))</f>
        <v>252.56999999999988</v>
      </c>
      <c r="EK98" s="17">
        <f>EJ98*VLOOKUP('Données projet'!$B$15,Paramètres!$A$1:$I$89,3,0)*VLOOKUP('Données projet'!$B$15,Paramètres!$A$1:$I$89,5,0)</f>
        <v>244.28570399999987</v>
      </c>
      <c r="EL98" s="13">
        <f t="shared" si="99"/>
        <v>59.360668571092589</v>
      </c>
      <c r="EM98" s="20">
        <f t="shared" si="73"/>
        <v>528.85076556131935</v>
      </c>
      <c r="EN98" s="59">
        <f t="shared" si="74"/>
        <v>822.18409889465261</v>
      </c>
      <c r="EO98" s="59">
        <f ca="1">AVERAGE(OFFSET($EN$3,0,0,'Données projet'!$E$15+1,1))-AVERAGE(OFFSET($H$3,0,0,'Données projet'!$E$15+1,1))</f>
        <v>510.71380643466227</v>
      </c>
      <c r="EP98" s="59">
        <f t="shared" si="100"/>
        <v>252.40654099948841</v>
      </c>
      <c r="EQ98" s="15">
        <f>IF(ISNA(VLOOKUP(A98,'Données projet'!$A$191:$I$211,3,0)),0,VLOOKUP(A98,'Données projet'!$A$191:$I$211,3,0))</f>
        <v>5</v>
      </c>
      <c r="ER98" s="15">
        <f>IF(ISNA(VLOOKUP(A98,'Données projet'!$A$191:$I$211,4,0)),0,VLOOKUP(A98,'Données projet'!$A$191:$I$211,4,0))</f>
        <v>42.199999999999989</v>
      </c>
      <c r="ES98" s="16">
        <f>IF(ISNA(VLOOKUP(A98,'Données projet'!$A$191:$I$211,5,0)),0%,VLOOKUP(A98,'Données projet'!$A$191:$I$211,5,0)*VLOOKUP('Données projet'!$B$15,Paramètres!$A$1:$I$89,7,0))</f>
        <v>0.1075</v>
      </c>
      <c r="ET98" s="16">
        <f>IF(ISNA(VLOOKUP(A98,'Données projet'!$A$191:$I$211,6,0)),0%,VLOOKUP(A98,'Données projet'!$A$191:$I$211,6,0)*VLOOKUP('Données projet'!$B$15,Paramètres!$A$1:$I$89,7,0))</f>
        <v>0.1075</v>
      </c>
      <c r="EU98" s="16">
        <f>IF(ISNA(VLOOKUP(A98,'Données projet'!$A$191:$I$211,7,0)),0%,VLOOKUP(A98,'Données projet'!$A$191:$I$211,7,0))</f>
        <v>0.25</v>
      </c>
      <c r="EV98" s="21">
        <f>EXP(-LN(2)/35)*EV97+(1-EXP(-LN(2)/35))/(LN(2)/35)*ER98*ES98*VLOOKUP('Données projet'!$B$15,Paramètres!$A$1:$I$89,3,0)*0.475*44/12</f>
        <v>8.4609012266385779</v>
      </c>
      <c r="EW98" s="21">
        <f>EXP(-LN(2)/25)*EW97+(1-EXP(-LN(2)/25))/(LN(2)/25)*Calculateur!ER98*Calculateur!ET98*VLOOKUP('Données projet'!$B$15,Paramètres!$A$1:$I$89,3,0)*0.475*44/12</f>
        <v>16.051862880111347</v>
      </c>
      <c r="EX98" s="21">
        <f>EXP(-LN(2)/2)*EX97+(1-EXP(-LN(2)/2))/(LN(2)/2)*ER98*EU98*VLOOKUP('Données projet'!$B$15,Paramètres!$A$1:$I$89,3,0)*0.475*44/12</f>
        <v>10.022607840225422</v>
      </c>
      <c r="EY98" s="22">
        <f t="shared" si="75"/>
        <v>34.535371946975346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6.9749999999999996</v>
      </c>
      <c r="N99" s="13">
        <f>IF('Données projet'!$A$36&gt;35,N98+M99-V98,IF(A99&lt;'Données projet'!$A$36,$K$205^A99,IF(A99='Données projet'!$A$36,'Données projet'!$B$36,N98+M99-V98)))</f>
        <v>239.56500000000023</v>
      </c>
      <c r="O99" s="13">
        <f>N99*VLOOKUP('Données projet'!$B$9,Paramètres!$A$1:$I$89,3,0)*VLOOKUP('Données projet'!$B$9,Paramètres!$A$1:$I$89,5,0)</f>
        <v>242.91891000000024</v>
      </c>
      <c r="P99" s="13">
        <f t="shared" si="87"/>
        <v>59.067105653611158</v>
      </c>
      <c r="Q99" s="20">
        <f t="shared" ref="Q99:Q130" si="107">(O99+P99)*0.475*44/12</f>
        <v>525.95897726337319</v>
      </c>
      <c r="R99" s="59">
        <f t="shared" si="55"/>
        <v>819.29231059670656</v>
      </c>
      <c r="S99" s="59">
        <f ca="1">AVERAGE(OFFSET($R$3,0,0,'Données projet'!$E$9+1,1))-AVERAGE(OFFSET($H$3,0,0,'Données projet'!$E$9+1,1))</f>
        <v>543.67050511722618</v>
      </c>
      <c r="T99" s="59">
        <f t="shared" si="88"/>
        <v>249.0871389941106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6.9073072559674609</v>
      </c>
      <c r="AA99" s="21">
        <f>EXP(-LN(2)/25)*AA98+(1-EXP(-LN(2)/25))/(LN(2)/25)*Calculateur!V99*Calculateur!X99*VLOOKUP('Données projet'!$B$9,Paramètres!$A$1:$I$89,3,0)*0.475*44/12</f>
        <v>37.419640145381216</v>
      </c>
      <c r="AB99" s="21">
        <f>EXP(-LN(2)/2)*AB98+(1-EXP(-LN(2)/2))/(LN(2)/2)*V99*Y99*VLOOKUP('Données projet'!$B$9,Paramètres!$A$1:$I$89,3,0)*0.475*44/12</f>
        <v>1.5569556024816902</v>
      </c>
      <c r="AC99" s="22">
        <f t="shared" si="57"/>
        <v>45.883903003830369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8.9420000000000019</v>
      </c>
      <c r="AI99" s="13">
        <f>IF('Données projet'!$A$62&gt;35,AI98+AH99-AQ98,IF(A99&lt;'Données projet'!$A$62,$AF$205^A99,IF(A99='Données projet'!$A$62,'Données projet'!$B$62,AI98+AH99-AQ98)))</f>
        <v>330.6640000000005</v>
      </c>
      <c r="AJ99" s="13">
        <f>AI99*VLOOKUP('Données projet'!$B$10,Paramètres!$A$1:$I$89,3,0)*VLOOKUP('Données projet'!$B$10,Paramètres!$A$1:$I$89,5,0)</f>
        <v>299.18478720000041</v>
      </c>
      <c r="AK99" s="13">
        <f t="shared" si="89"/>
        <v>71.005536504727559</v>
      </c>
      <c r="AL99" s="20">
        <f t="shared" si="58"/>
        <v>644.74814711906788</v>
      </c>
      <c r="AM99" s="59">
        <f t="shared" si="59"/>
        <v>938.08148045240114</v>
      </c>
      <c r="AN99" s="59">
        <f ca="1">AVERAGE(OFFSET($AM$3,0,0,'Données projet'!$E$10+1,1))-AVERAGE(OFFSET($H$3,0,0,'Données projet'!$E$10+1,1))</f>
        <v>635.71275911100679</v>
      </c>
      <c r="AO99" s="59">
        <f t="shared" si="90"/>
        <v>281.7776857269169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27.120223074720478</v>
      </c>
      <c r="AV99" s="21">
        <f>EXP(-LN(2)/25)*AV98+(1-EXP(-LN(2)/25))/(LN(2)/25)*Calculateur!AQ99*Calculateur!AS99*VLOOKUP('Données projet'!$B$10,Paramètres!$A$1:$I$89,3,0)*0.475*44/12</f>
        <v>26.666480392673762</v>
      </c>
      <c r="AW99" s="21">
        <f>EXP(-LN(2)/2)*AW98+(1-EXP(-LN(2)/2))/(LN(2)/2)*AQ99*AT99*VLOOKUP('Données projet'!$B$10,Paramètres!$A$1:$I$89,3,0)*0.475*44/12</f>
        <v>2.9661002318644147</v>
      </c>
      <c r="AX99" s="21">
        <f t="shared" si="60"/>
        <v>56.752803699258656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1.9230769230769227</v>
      </c>
      <c r="BD99" s="12">
        <f>IF('Données projet'!$A$88&gt;35,BD98+BC99-BL98,IF(A99&lt;'Données projet'!$A$88,$BA$205^A99,IF(A99='Données projet'!$A$88,'Données projet'!$B$88,BD98+BC99-BL98)))</f>
        <v>135.25641025641022</v>
      </c>
      <c r="BE99" s="13">
        <f>BD99*VLOOKUP('Données projet'!$B$11,Paramètres!$A$1:$I$89,3,0)*VLOOKUP('Données projet'!$B$11,Paramètres!$A$1:$I$89,5,0)</f>
        <v>118.16</v>
      </c>
      <c r="BF99" s="13">
        <f t="shared" si="91"/>
        <v>31.245464333923813</v>
      </c>
      <c r="BG99" s="20">
        <f t="shared" si="61"/>
        <v>260.21451704825063</v>
      </c>
      <c r="BH99" s="59">
        <f t="shared" si="62"/>
        <v>553.54785038158388</v>
      </c>
      <c r="BI99" s="59">
        <f ca="1">AVERAGE(OFFSET($BH$3,0,0,'Données projet'!$E$11+1,1))-AVERAGE(OFFSET($H$3,0,0,'Données projet'!$E$11+1,1))</f>
        <v>204.11804238362862</v>
      </c>
      <c r="BJ99" s="59">
        <f t="shared" si="92"/>
        <v>185.53854651509408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1.6003839772287674</v>
      </c>
      <c r="BQ99" s="21">
        <f>EXP(-LN(2)/25)*BQ98+(1-EXP(-LN(2)/25))/(LN(2)/25)*Calculateur!BL99*Calculateur!BN99*VLOOKUP('Données projet'!$B$11,Paramètres!$A$1:$I$89,3,0)*0.475*44/12</f>
        <v>12.165928333094675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13.766312310323443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6.9749999999999996</v>
      </c>
      <c r="BY99" s="12">
        <f>IF('Données projet'!$A$114&gt;35,BY98+BX99-CG98,IF(A99&lt;'Données projet'!$A$114,$BV$205^A99,IF(A99='Données projet'!$A$114,'Données projet'!$B$114,BY98+BX99-CG98)))</f>
        <v>239.56500000000023</v>
      </c>
      <c r="BZ99" s="13">
        <f>BY99*VLOOKUP('Données projet'!$B$12,Paramètres!$A$1:$I$89,3,0)*VLOOKUP('Données projet'!$B$12,Paramètres!$A$1:$I$89,5,0)</f>
        <v>239.18169600000024</v>
      </c>
      <c r="CA99" s="13">
        <f t="shared" si="93"/>
        <v>58.26343340838902</v>
      </c>
      <c r="CB99" s="20">
        <f t="shared" si="64"/>
        <v>518.0502670529446</v>
      </c>
      <c r="CC99" s="59">
        <f t="shared" si="65"/>
        <v>811.38360038627798</v>
      </c>
      <c r="CD99" s="59">
        <f ca="1">AVERAGE(OFFSET($CC$3,0,0,'Données projet'!$E$12+1,1))-AVERAGE(OFFSET($H$3,0,0,'Données projet'!$E$12+1,1))</f>
        <v>535.99935263833549</v>
      </c>
      <c r="CE99" s="59">
        <f t="shared" si="94"/>
        <v>245.89966477332644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4.8578864217793125</v>
      </c>
      <c r="CL99" s="21">
        <f>EXP(-LN(2)/25)*CL98+(1-EXP(-LN(2)/25))/(LN(2)/25)*Calculateur!CG99*Calculateur!CI99*VLOOKUP('Données projet'!$B$12,Paramètres!$A$1:$I$89,3,0)*0.475*44/12</f>
        <v>15.05757647166268</v>
      </c>
      <c r="CM99" s="21">
        <f>EXP(-LN(2)/2)*CM98+(1-EXP(-LN(2)/2))/(LN(2)/2)*CG99*CJ99*VLOOKUP('Données projet'!$B$12,Paramètres!$A$1:$I$89,3,0)*0.475*44/12</f>
        <v>3.725149329865177</v>
      </c>
      <c r="CN99" s="22">
        <f t="shared" si="66"/>
        <v>23.640612223307166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8.9989999999999952</v>
      </c>
      <c r="CT99" s="12">
        <f>IF('Données projet'!$A$140&gt;35,CT98+CS99-DB98,IF(A99&lt;'Données projet'!$A$140,$CQ$205^A99,IF(A99='Données projet'!$A$140,'Données projet'!$B$140,CT98+CS99-DB98)))</f>
        <v>308.40699999999993</v>
      </c>
      <c r="CU99" s="17">
        <f>CT99*VLOOKUP('Données projet'!$B$13,Paramètres!$A$1:$I$89,3,0)*VLOOKUP('Données projet'!$B$13,Paramètres!$A$1:$I$89,5,0)</f>
        <v>293.48010119999992</v>
      </c>
      <c r="CV99" s="13">
        <f t="shared" si="95"/>
        <v>69.807899272049525</v>
      </c>
      <c r="CW99" s="20">
        <f t="shared" si="67"/>
        <v>632.72660082215282</v>
      </c>
      <c r="CX99" s="59">
        <f t="shared" si="68"/>
        <v>926.05993415548619</v>
      </c>
      <c r="CY99" s="59">
        <f ca="1">AVERAGE(OFFSET($CX$3,0,0,'Données projet'!$E$13+1,1))-AVERAGE(OFFSET($H$3,0,0,'Données projet'!$E$13+1,1))</f>
        <v>449.28947235329758</v>
      </c>
      <c r="CZ99" s="59">
        <f t="shared" si="96"/>
        <v>289.36994109443964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21.887269865873208</v>
      </c>
      <c r="DG99" s="21">
        <f>EXP(-LN(2)/25)*DG98+(1-EXP(-LN(2)/25))/(LN(2)/25)*Calculateur!DB99*Calculateur!DD99*VLOOKUP('Données projet'!$B$13,Paramètres!$A$1:$I$89,3,0)*0.475*44/12</f>
        <v>21.723095309799682</v>
      </c>
      <c r="DH99" s="21">
        <f>EXP(-LN(2)/2)*DH98+(1-EXP(-LN(2)/2))/(LN(2)/2)*DB99*DE99*VLOOKUP('Données projet'!$B$13,Paramètres!$A$1:$I$89,3,0)*0.475*44/12</f>
        <v>5.4847880219255201</v>
      </c>
      <c r="DI99" s="22">
        <f t="shared" si="69"/>
        <v>49.095153197598407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5.6843418860808015E-14</v>
      </c>
      <c r="DP99" s="17">
        <f>DO99*VLOOKUP('Données projet'!$B$14,Paramètres!$A$1:$I$89,3,0)*VLOOKUP('Données projet'!$B$14,Paramètres!$A$1:$I$89,5,0)</f>
        <v>4.4337866711430253E-14</v>
      </c>
      <c r="DQ99" s="13">
        <f t="shared" si="97"/>
        <v>7.3222115536967035E-13</v>
      </c>
      <c r="DR99" s="20">
        <f t="shared" si="70"/>
        <v>1.3525069634579169E-12</v>
      </c>
      <c r="DS99" s="59">
        <f t="shared" si="71"/>
        <v>293.33333333333468</v>
      </c>
      <c r="DT99" s="59">
        <f ca="1">AVERAGE(OFFSET($DS$3,0,0,'Données projet'!$E$14+1,1))-AVERAGE(OFFSET($H$3,0,0,'Données projet'!$E$14+1,1))</f>
        <v>288.82868507674738</v>
      </c>
      <c r="DU99" s="59">
        <f t="shared" si="98"/>
        <v>283.48738729114024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25.190162848319066</v>
      </c>
      <c r="EB99" s="21">
        <f>EXP(-LN(2)/25)*EB98+(1-EXP(-LN(2)/25))/(LN(2)/25)*Calculateur!DW99*Calculateur!DY99*VLOOKUP('Données projet'!$B$14,Paramètres!$A$1:$I$89,3,0)*0.475*44/12</f>
        <v>20.025761290495776</v>
      </c>
      <c r="EC99" s="21">
        <f>EXP(-LN(2)/2)*EC98+(1-EXP(-LN(2)/2))/(LN(2)/2)*DW99*DZ99*VLOOKUP('Données projet'!$B$14,Paramètres!$A$1:$I$89,3,0)*0.475*44/12</f>
        <v>5.2442620738468587E-3</v>
      </c>
      <c r="ED99" s="22">
        <f t="shared" si="72"/>
        <v>45.221168400888686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6.7777777777777777</v>
      </c>
      <c r="EJ99" s="12">
        <f>IF('Données projet'!$A$192&gt;35,EJ98+EI99-ER98,IF(A99&lt;'Données projet'!$A$192,$EG$205^A99,IF(A99='Données projet'!$A$192,'Données projet'!$B$192,EJ98+EI99-ER98)))</f>
        <v>217.14777777777766</v>
      </c>
      <c r="EK99" s="17">
        <f>EJ99*VLOOKUP('Données projet'!$B$15,Paramètres!$A$1:$I$89,3,0)*VLOOKUP('Données projet'!$B$15,Paramètres!$A$1:$I$89,5,0)</f>
        <v>210.02533066666655</v>
      </c>
      <c r="EL99" s="13">
        <f t="shared" si="99"/>
        <v>51.941121047420019</v>
      </c>
      <c r="EM99" s="20">
        <f t="shared" si="73"/>
        <v>456.25823673536746</v>
      </c>
      <c r="EN99" s="59">
        <f t="shared" si="74"/>
        <v>749.59157006870078</v>
      </c>
      <c r="EO99" s="59">
        <f ca="1">AVERAGE(OFFSET($EN$3,0,0,'Données projet'!$E$15+1,1))-AVERAGE(OFFSET($H$3,0,0,'Données projet'!$E$15+1,1))</f>
        <v>510.71380643466227</v>
      </c>
      <c r="EP99" s="59">
        <f t="shared" si="100"/>
        <v>252.40654099948841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8.2949881142243722</v>
      </c>
      <c r="EW99" s="21">
        <f>EXP(-LN(2)/25)*EW98+(1-EXP(-LN(2)/25))/(LN(2)/25)*Calculateur!ER99*Calculateur!ET99*VLOOKUP('Données projet'!$B$15,Paramètres!$A$1:$I$89,3,0)*0.475*44/12</f>
        <v>15.612923845523921</v>
      </c>
      <c r="EX99" s="21">
        <f>EXP(-LN(2)/2)*EX98+(1-EXP(-LN(2)/2))/(LN(2)/2)*ER99*EU99*VLOOKUP('Données projet'!$B$15,Paramètres!$A$1:$I$89,3,0)*0.475*44/12</f>
        <v>7.0870539689968535</v>
      </c>
      <c r="EY99" s="22">
        <f t="shared" si="75"/>
        <v>30.994965928745145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6.9749999999999996</v>
      </c>
      <c r="N100" s="13">
        <f>IF('Données projet'!$A$36&gt;35,N99+M100-V99,IF(A100&lt;'Données projet'!$A$36,$K$205^A100,IF(A100='Données projet'!$A$36,'Données projet'!$B$36,N99+M100-V99)))</f>
        <v>246.54000000000022</v>
      </c>
      <c r="O100" s="13">
        <f>N100*VLOOKUP('Données projet'!$B$9,Paramètres!$A$1:$I$89,3,0)*VLOOKUP('Données projet'!$B$9,Paramètres!$A$1:$I$89,5,0)</f>
        <v>249.99156000000025</v>
      </c>
      <c r="P100" s="13">
        <f t="shared" si="87"/>
        <v>60.584133549821239</v>
      </c>
      <c r="Q100" s="20">
        <f t="shared" si="107"/>
        <v>540.9193329326057</v>
      </c>
      <c r="R100" s="59">
        <f t="shared" si="55"/>
        <v>834.25266626593907</v>
      </c>
      <c r="S100" s="59">
        <f ca="1">AVERAGE(OFFSET($R$3,0,0,'Données projet'!$E$9+1,1))-AVERAGE(OFFSET($H$3,0,0,'Données projet'!$E$9+1,1))</f>
        <v>543.67050511722618</v>
      </c>
      <c r="T100" s="59">
        <f t="shared" si="88"/>
        <v>249.0871389941106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6.7718591737193616</v>
      </c>
      <c r="AA100" s="21">
        <f>EXP(-LN(2)/25)*AA99+(1-EXP(-LN(2)/25))/(LN(2)/25)*Calculateur!V100*Calculateur!X100*VLOOKUP('Données projet'!$B$9,Paramètres!$A$1:$I$89,3,0)*0.475*44/12</f>
        <v>36.396398117792415</v>
      </c>
      <c r="AB100" s="21">
        <f>EXP(-LN(2)/2)*AB99+(1-EXP(-LN(2)/2))/(LN(2)/2)*V100*Y100*VLOOKUP('Données projet'!$B$9,Paramètres!$A$1:$I$89,3,0)*0.475*44/12</f>
        <v>1.1009338645211899</v>
      </c>
      <c r="AC100" s="22">
        <f t="shared" si="57"/>
        <v>44.269191156032967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8.9420000000000019</v>
      </c>
      <c r="AI100" s="13">
        <f>IF('Données projet'!$A$62&gt;35,AI99+AH100-AQ99,IF(A100&lt;'Données projet'!$A$62,$AF$205^A100,IF(A100='Données projet'!$A$62,'Données projet'!$B$62,AI99+AH100-AQ99)))</f>
        <v>339.60600000000051</v>
      </c>
      <c r="AJ100" s="13">
        <f>AI100*VLOOKUP('Données projet'!$B$10,Paramètres!$A$1:$I$89,3,0)*VLOOKUP('Données projet'!$B$10,Paramètres!$A$1:$I$89,5,0)</f>
        <v>307.27550880000041</v>
      </c>
      <c r="AK100" s="13">
        <f t="shared" si="89"/>
        <v>72.699555980078841</v>
      </c>
      <c r="AL100" s="20">
        <f t="shared" si="58"/>
        <v>661.78990449197136</v>
      </c>
      <c r="AM100" s="59">
        <f t="shared" si="59"/>
        <v>955.12323782530461</v>
      </c>
      <c r="AN100" s="59">
        <f ca="1">AVERAGE(OFFSET($AM$3,0,0,'Données projet'!$E$10+1,1))-AVERAGE(OFFSET($H$3,0,0,'Données projet'!$E$10+1,1))</f>
        <v>635.71275911100679</v>
      </c>
      <c r="AO100" s="59">
        <f t="shared" si="90"/>
        <v>281.7776857269169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26.588412041927928</v>
      </c>
      <c r="AV100" s="21">
        <f>EXP(-LN(2)/25)*AV99+(1-EXP(-LN(2)/25))/(LN(2)/25)*Calculateur!AQ100*Calculateur!AS100*VLOOKUP('Données projet'!$B$10,Paramètres!$A$1:$I$89,3,0)*0.475*44/12</f>
        <v>25.937284084006841</v>
      </c>
      <c r="AW100" s="21">
        <f>EXP(-LN(2)/2)*AW99+(1-EXP(-LN(2)/2))/(LN(2)/2)*AQ100*AT100*VLOOKUP('Données projet'!$B$10,Paramètres!$A$1:$I$89,3,0)*0.475*44/12</f>
        <v>2.0973495876303185</v>
      </c>
      <c r="AX100" s="21">
        <f t="shared" si="60"/>
        <v>54.623045713565091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1.9230769230769227</v>
      </c>
      <c r="BD100" s="12">
        <f>IF('Données projet'!$A$88&gt;35,BD99+BC100-BL99,IF(A100&lt;'Données projet'!$A$88,$BA$205^A100,IF(A100='Données projet'!$A$88,'Données projet'!$B$88,BD99+BC100-BL99)))</f>
        <v>137.17948717948715</v>
      </c>
      <c r="BE100" s="13">
        <f>BD100*VLOOKUP('Données projet'!$B$11,Paramètres!$A$1:$I$89,3,0)*VLOOKUP('Données projet'!$B$11,Paramètres!$A$1:$I$89,5,0)</f>
        <v>119.84</v>
      </c>
      <c r="BF100" s="13">
        <f t="shared" si="91"/>
        <v>31.637679024355371</v>
      </c>
      <c r="BG100" s="20">
        <f t="shared" si="61"/>
        <v>263.82362430075233</v>
      </c>
      <c r="BH100" s="59">
        <f t="shared" si="62"/>
        <v>557.15695763408564</v>
      </c>
      <c r="BI100" s="59">
        <f ca="1">AVERAGE(OFFSET($BH$3,0,0,'Données projet'!$E$11+1,1))-AVERAGE(OFFSET($H$3,0,0,'Données projet'!$E$11+1,1))</f>
        <v>204.11804238362862</v>
      </c>
      <c r="BJ100" s="59">
        <f t="shared" si="92"/>
        <v>185.53854651509408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1.5690014235731518</v>
      </c>
      <c r="BQ100" s="21">
        <f>EXP(-LN(2)/25)*BQ99+(1-EXP(-LN(2)/25))/(LN(2)/25)*Calculateur!BL100*Calculateur!BN100*VLOOKUP('Données projet'!$B$11,Paramètres!$A$1:$I$89,3,0)*0.475*44/12</f>
        <v>11.833250383047835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13.402251806620987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6.9749999999999996</v>
      </c>
      <c r="BY100" s="12">
        <f>IF('Données projet'!$A$114&gt;35,BY99+BX100-CG99,IF(A100&lt;'Données projet'!$A$114,$BV$205^A100,IF(A100='Données projet'!$A$114,'Données projet'!$B$114,BY99+BX100-CG99)))</f>
        <v>246.54000000000022</v>
      </c>
      <c r="BZ100" s="13">
        <f>BY100*VLOOKUP('Données projet'!$B$12,Paramètres!$A$1:$I$89,3,0)*VLOOKUP('Données projet'!$B$12,Paramètres!$A$1:$I$89,5,0)</f>
        <v>246.14553600000022</v>
      </c>
      <c r="CA100" s="13">
        <f t="shared" si="93"/>
        <v>59.759820489344641</v>
      </c>
      <c r="CB100" s="20">
        <f t="shared" si="64"/>
        <v>532.78516255227566</v>
      </c>
      <c r="CC100" s="59">
        <f t="shared" si="65"/>
        <v>826.11849588560904</v>
      </c>
      <c r="CD100" s="59">
        <f ca="1">AVERAGE(OFFSET($CC$3,0,0,'Données projet'!$E$12+1,1))-AVERAGE(OFFSET($H$3,0,0,'Données projet'!$E$12+1,1))</f>
        <v>535.99935263833549</v>
      </c>
      <c r="CE100" s="59">
        <f t="shared" si="94"/>
        <v>245.89966477332644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4.7626262320663635</v>
      </c>
      <c r="CL100" s="21">
        <f>EXP(-LN(2)/25)*CL99+(1-EXP(-LN(2)/25))/(LN(2)/25)*Calculateur!CG100*Calculateur!CI100*VLOOKUP('Données projet'!$B$12,Paramètres!$A$1:$I$89,3,0)*0.475*44/12</f>
        <v>14.645826251201532</v>
      </c>
      <c r="CM100" s="21">
        <f>EXP(-LN(2)/2)*CM99+(1-EXP(-LN(2)/2))/(LN(2)/2)*CG100*CJ100*VLOOKUP('Données projet'!$B$12,Paramètres!$A$1:$I$89,3,0)*0.475*44/12</f>
        <v>2.63407835208019</v>
      </c>
      <c r="CN100" s="22">
        <f t="shared" si="66"/>
        <v>22.042530835348085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8.9989999999999952</v>
      </c>
      <c r="CT100" s="12">
        <f>IF('Données projet'!$A$140&gt;35,CT99+CS100-DB99,IF(A100&lt;'Données projet'!$A$140,$CQ$205^A100,IF(A100='Données projet'!$A$140,'Données projet'!$B$140,CT99+CS100-DB99)))</f>
        <v>317.40599999999995</v>
      </c>
      <c r="CU100" s="17">
        <f>CT100*VLOOKUP('Données projet'!$B$13,Paramètres!$A$1:$I$89,3,0)*VLOOKUP('Données projet'!$B$13,Paramètres!$A$1:$I$89,5,0)</f>
        <v>302.04354959999995</v>
      </c>
      <c r="CV100" s="13">
        <f t="shared" si="95"/>
        <v>71.604700553278462</v>
      </c>
      <c r="CW100" s="20">
        <f t="shared" si="67"/>
        <v>650.77070235029328</v>
      </c>
      <c r="CX100" s="59">
        <f t="shared" si="68"/>
        <v>944.10403568362653</v>
      </c>
      <c r="CY100" s="59">
        <f ca="1">AVERAGE(OFFSET($CX$3,0,0,'Données projet'!$E$13+1,1))-AVERAGE(OFFSET($H$3,0,0,'Données projet'!$E$13+1,1))</f>
        <v>449.28947235329758</v>
      </c>
      <c r="CZ100" s="59">
        <f t="shared" si="96"/>
        <v>289.36994109443964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21.458073853719856</v>
      </c>
      <c r="DG100" s="21">
        <f>EXP(-LN(2)/25)*DG99+(1-EXP(-LN(2)/25))/(LN(2)/25)*Calculateur!DB100*Calculateur!DD100*VLOOKUP('Données projet'!$B$13,Paramètres!$A$1:$I$89,3,0)*0.475*44/12</f>
        <v>21.129076126185275</v>
      </c>
      <c r="DH100" s="21">
        <f>EXP(-LN(2)/2)*DH99+(1-EXP(-LN(2)/2))/(LN(2)/2)*DB100*DE100*VLOOKUP('Données projet'!$B$13,Paramètres!$A$1:$I$89,3,0)*0.475*44/12</f>
        <v>3.8783308036742858</v>
      </c>
      <c r="DI100" s="22">
        <f t="shared" si="69"/>
        <v>46.465480783579423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5.6843418860808015E-14</v>
      </c>
      <c r="DP100" s="17">
        <f>DO100*VLOOKUP('Données projet'!$B$14,Paramètres!$A$1:$I$89,3,0)*VLOOKUP('Données projet'!$B$14,Paramètres!$A$1:$I$89,5,0)</f>
        <v>4.4337866711430253E-14</v>
      </c>
      <c r="DQ100" s="13">
        <f t="shared" si="97"/>
        <v>7.3222115536967035E-13</v>
      </c>
      <c r="DR100" s="20">
        <f t="shared" si="70"/>
        <v>1.3525069634579169E-12</v>
      </c>
      <c r="DS100" s="59">
        <f t="shared" si="71"/>
        <v>293.33333333333468</v>
      </c>
      <c r="DT100" s="59">
        <f ca="1">AVERAGE(OFFSET($DS$3,0,0,'Données projet'!$E$14+1,1))-AVERAGE(OFFSET($H$3,0,0,'Données projet'!$E$14+1,1))</f>
        <v>288.82868507674738</v>
      </c>
      <c r="DU100" s="59">
        <f t="shared" si="98"/>
        <v>283.48738729114024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24.696199119345749</v>
      </c>
      <c r="EB100" s="21">
        <f>EXP(-LN(2)/25)*EB99+(1-EXP(-LN(2)/25))/(LN(2)/25)*Calculateur!DW100*Calculateur!DY100*VLOOKUP('Données projet'!$B$14,Paramètres!$A$1:$I$89,3,0)*0.475*44/12</f>
        <v>19.478155794898154</v>
      </c>
      <c r="EC100" s="21">
        <f>EXP(-LN(2)/2)*EC99+(1-EXP(-LN(2)/2))/(LN(2)/2)*DW100*DZ100*VLOOKUP('Données projet'!$B$14,Paramètres!$A$1:$I$89,3,0)*0.475*44/12</f>
        <v>3.7082532747365407E-3</v>
      </c>
      <c r="ED100" s="22">
        <f t="shared" si="72"/>
        <v>44.178063167518644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6.7777777777777777</v>
      </c>
      <c r="EJ100" s="12">
        <f>IF('Données projet'!$A$192&gt;35,EJ99+EI100-ER99,IF(A100&lt;'Données projet'!$A$192,$EG$205^A100,IF(A100='Données projet'!$A$192,'Données projet'!$B$192,EJ99+EI100-ER99)))</f>
        <v>223.92555555555543</v>
      </c>
      <c r="EK100" s="17">
        <f>EJ100*VLOOKUP('Données projet'!$B$15,Paramètres!$A$1:$I$89,3,0)*VLOOKUP('Données projet'!$B$15,Paramètres!$A$1:$I$89,5,0)</f>
        <v>216.58079733333321</v>
      </c>
      <c r="EL100" s="13">
        <f t="shared" si="99"/>
        <v>53.371062792617998</v>
      </c>
      <c r="EM100" s="20">
        <f t="shared" si="73"/>
        <v>470.16615638603167</v>
      </c>
      <c r="EN100" s="59">
        <f t="shared" si="74"/>
        <v>763.49948971936499</v>
      </c>
      <c r="EO100" s="59">
        <f ca="1">AVERAGE(OFFSET($EN$3,0,0,'Données projet'!$E$15+1,1))-AVERAGE(OFFSET($H$3,0,0,'Données projet'!$E$15+1,1))</f>
        <v>510.71380643466227</v>
      </c>
      <c r="EP100" s="59">
        <f t="shared" si="100"/>
        <v>252.40654099948841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8.1323284567476026</v>
      </c>
      <c r="EW100" s="21">
        <f>EXP(-LN(2)/25)*EW99+(1-EXP(-LN(2)/25))/(LN(2)/25)*Calculateur!ER100*Calculateur!ET100*VLOOKUP('Données projet'!$B$15,Paramètres!$A$1:$I$89,3,0)*0.475*44/12</f>
        <v>15.185987621920088</v>
      </c>
      <c r="EX100" s="21">
        <f>EXP(-LN(2)/2)*EX99+(1-EXP(-LN(2)/2))/(LN(2)/2)*ER100*EU100*VLOOKUP('Données projet'!$B$15,Paramètres!$A$1:$I$89,3,0)*0.475*44/12</f>
        <v>5.0113039201127112</v>
      </c>
      <c r="EY100" s="22">
        <f t="shared" si="75"/>
        <v>28.329619998780402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6.9749999999999996</v>
      </c>
      <c r="N101" s="13">
        <f>IF('Données projet'!$A$36&gt;35,N100+M101-V100,IF(A101&lt;'Données projet'!$A$36,$K$205^A101,IF(A101='Données projet'!$A$36,'Données projet'!$B$36,N100+M101-V100)))</f>
        <v>253.51500000000021</v>
      </c>
      <c r="O101" s="13">
        <f>N101*VLOOKUP('Données projet'!$B$9,Paramètres!$A$1:$I$89,3,0)*VLOOKUP('Données projet'!$B$9,Paramètres!$A$1:$I$89,5,0)</f>
        <v>257.06421000000023</v>
      </c>
      <c r="P101" s="13">
        <f t="shared" si="87"/>
        <v>62.096173179033066</v>
      </c>
      <c r="Q101" s="20">
        <f t="shared" si="107"/>
        <v>555.87100070348299</v>
      </c>
      <c r="R101" s="59">
        <f t="shared" si="55"/>
        <v>849.20433403681636</v>
      </c>
      <c r="S101" s="59">
        <f ca="1">AVERAGE(OFFSET($R$3,0,0,'Données projet'!$E$9+1,1))-AVERAGE(OFFSET($H$3,0,0,'Données projet'!$E$9+1,1))</f>
        <v>543.67050511722618</v>
      </c>
      <c r="T101" s="59">
        <f t="shared" si="88"/>
        <v>249.0871389941106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6.6390671457489754</v>
      </c>
      <c r="AA101" s="21">
        <f>EXP(-LN(2)/25)*AA100+(1-EXP(-LN(2)/25))/(LN(2)/25)*Calculateur!V101*Calculateur!X101*VLOOKUP('Données projet'!$B$9,Paramètres!$A$1:$I$89,3,0)*0.475*44/12</f>
        <v>35.401136697257989</v>
      </c>
      <c r="AB101" s="21">
        <f>EXP(-LN(2)/2)*AB100+(1-EXP(-LN(2)/2))/(LN(2)/2)*V101*Y101*VLOOKUP('Données projet'!$B$9,Paramètres!$A$1:$I$89,3,0)*0.475*44/12</f>
        <v>0.7784778012408452</v>
      </c>
      <c r="AC101" s="22">
        <f t="shared" si="57"/>
        <v>42.81868164424781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8.9420000000000019</v>
      </c>
      <c r="AI101" s="13">
        <f>IF('Données projet'!$A$62&gt;35,AI100+AH101-AQ100,IF(A101&lt;'Données projet'!$A$62,$AF$205^A101,IF(A101='Données projet'!$A$62,'Données projet'!$B$62,AI100+AH101-AQ100)))</f>
        <v>348.54800000000051</v>
      </c>
      <c r="AJ101" s="13">
        <f>AI101*VLOOKUP('Données projet'!$B$10,Paramètres!$A$1:$I$89,3,0)*VLOOKUP('Données projet'!$B$10,Paramètres!$A$1:$I$89,5,0)</f>
        <v>315.36623040000046</v>
      </c>
      <c r="AK101" s="13">
        <f t="shared" si="89"/>
        <v>74.38839081830163</v>
      </c>
      <c r="AL101" s="20">
        <f t="shared" si="58"/>
        <v>678.82263195520943</v>
      </c>
      <c r="AM101" s="59">
        <f t="shared" si="59"/>
        <v>972.1559652885428</v>
      </c>
      <c r="AN101" s="59">
        <f ca="1">AVERAGE(OFFSET($AM$3,0,0,'Données projet'!$E$10+1,1))-AVERAGE(OFFSET($H$3,0,0,'Données projet'!$E$10+1,1))</f>
        <v>635.71275911100679</v>
      </c>
      <c r="AO101" s="59">
        <f t="shared" si="90"/>
        <v>281.7776857269169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26.067029499115737</v>
      </c>
      <c r="AV101" s="21">
        <f>EXP(-LN(2)/25)*AV100+(1-EXP(-LN(2)/25))/(LN(2)/25)*Calculateur!AQ101*Calculateur!AS101*VLOOKUP('Données projet'!$B$10,Paramètres!$A$1:$I$89,3,0)*0.475*44/12</f>
        <v>25.228027686747183</v>
      </c>
      <c r="AW101" s="21">
        <f>EXP(-LN(2)/2)*AW100+(1-EXP(-LN(2)/2))/(LN(2)/2)*AQ101*AT101*VLOOKUP('Données projet'!$B$10,Paramètres!$A$1:$I$89,3,0)*0.475*44/12</f>
        <v>1.4830501159322074</v>
      </c>
      <c r="AX101" s="21">
        <f t="shared" si="60"/>
        <v>52.778107301795124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1.9230769230769227</v>
      </c>
      <c r="BD101" s="12">
        <f>IF('Données projet'!$A$88&gt;35,BD100+BC101-BL100,IF(A101&lt;'Données projet'!$A$88,$BA$205^A101,IF(A101='Données projet'!$A$88,'Données projet'!$B$88,BD100+BC101-BL100)))</f>
        <v>139.10256410256409</v>
      </c>
      <c r="BE101" s="13">
        <f>BD101*VLOOKUP('Données projet'!$B$11,Paramètres!$A$1:$I$89,3,0)*VLOOKUP('Données projet'!$B$11,Paramètres!$A$1:$I$89,5,0)</f>
        <v>121.52000000000001</v>
      </c>
      <c r="BF101" s="13">
        <f t="shared" si="91"/>
        <v>32.029254208126645</v>
      </c>
      <c r="BG101" s="20">
        <f t="shared" si="61"/>
        <v>267.43161774582057</v>
      </c>
      <c r="BH101" s="59">
        <f t="shared" si="62"/>
        <v>560.76495107915389</v>
      </c>
      <c r="BI101" s="59">
        <f ca="1">AVERAGE(OFFSET($BH$3,0,0,'Données projet'!$E$11+1,1))-AVERAGE(OFFSET($H$3,0,0,'Données projet'!$E$11+1,1))</f>
        <v>204.11804238362862</v>
      </c>
      <c r="BJ101" s="59">
        <f t="shared" si="92"/>
        <v>185.53854651509408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1.538234262653255</v>
      </c>
      <c r="BQ101" s="21">
        <f>EXP(-LN(2)/25)*BQ100+(1-EXP(-LN(2)/25))/(LN(2)/25)*Calculateur!BL101*Calculateur!BN101*VLOOKUP('Données projet'!$B$11,Paramètres!$A$1:$I$89,3,0)*0.475*44/12</f>
        <v>11.509669529039799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13.047903791693054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6.9749999999999996</v>
      </c>
      <c r="BY101" s="12">
        <f>IF('Données projet'!$A$114&gt;35,BY100+BX101-CG100,IF(A101&lt;'Données projet'!$A$114,$BV$205^A101,IF(A101='Données projet'!$A$114,'Données projet'!$B$114,BY100+BX101-CG100)))</f>
        <v>253.51500000000021</v>
      </c>
      <c r="BZ101" s="13">
        <f>BY101*VLOOKUP('Données projet'!$B$12,Paramètres!$A$1:$I$89,3,0)*VLOOKUP('Données projet'!$B$12,Paramètres!$A$1:$I$89,5,0)</f>
        <v>253.1093760000002</v>
      </c>
      <c r="CA101" s="13">
        <f t="shared" si="93"/>
        <v>61.251287174102465</v>
      </c>
      <c r="CB101" s="20">
        <f t="shared" si="64"/>
        <v>547.5114883615621</v>
      </c>
      <c r="CC101" s="59">
        <f t="shared" si="65"/>
        <v>840.84482169489547</v>
      </c>
      <c r="CD101" s="59">
        <f ca="1">AVERAGE(OFFSET($CC$3,0,0,'Données projet'!$E$12+1,1))-AVERAGE(OFFSET($H$3,0,0,'Données projet'!$E$12+1,1))</f>
        <v>535.99935263833549</v>
      </c>
      <c r="CE101" s="59">
        <f t="shared" si="94"/>
        <v>245.89966477332644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4.6692340365707068</v>
      </c>
      <c r="CL101" s="21">
        <f>EXP(-LN(2)/25)*CL100+(1-EXP(-LN(2)/25))/(LN(2)/25)*Calculateur!CG101*Calculateur!CI101*VLOOKUP('Données projet'!$B$12,Paramètres!$A$1:$I$89,3,0)*0.475*44/12</f>
        <v>14.245335362171897</v>
      </c>
      <c r="CM101" s="21">
        <f>EXP(-LN(2)/2)*CM100+(1-EXP(-LN(2)/2))/(LN(2)/2)*CG101*CJ101*VLOOKUP('Données projet'!$B$12,Paramètres!$A$1:$I$89,3,0)*0.475*44/12</f>
        <v>1.8625746649325887</v>
      </c>
      <c r="CN101" s="22">
        <f t="shared" si="66"/>
        <v>20.777144063675191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8.9989999999999952</v>
      </c>
      <c r="CT101" s="12">
        <f>IF('Données projet'!$A$140&gt;35,CT100+CS101-DB100,IF(A101&lt;'Données projet'!$A$140,$CQ$205^A101,IF(A101='Données projet'!$A$140,'Données projet'!$B$140,CT100+CS101-DB100)))</f>
        <v>326.40499999999997</v>
      </c>
      <c r="CU101" s="17">
        <f>CT101*VLOOKUP('Données projet'!$B$13,Paramètres!$A$1:$I$89,3,0)*VLOOKUP('Données projet'!$B$13,Paramètres!$A$1:$I$89,5,0)</f>
        <v>310.60699799999998</v>
      </c>
      <c r="CV101" s="13">
        <f t="shared" si="95"/>
        <v>73.395581077832844</v>
      </c>
      <c r="CW101" s="20">
        <f t="shared" si="67"/>
        <v>668.80449189389219</v>
      </c>
      <c r="CX101" s="59">
        <f t="shared" si="68"/>
        <v>962.13782522722545</v>
      </c>
      <c r="CY101" s="59">
        <f ca="1">AVERAGE(OFFSET($CX$3,0,0,'Données projet'!$E$13+1,1))-AVERAGE(OFFSET($H$3,0,0,'Données projet'!$E$13+1,1))</f>
        <v>449.28947235329758</v>
      </c>
      <c r="CZ101" s="59">
        <f t="shared" si="96"/>
        <v>289.36994109443964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21.037294113581115</v>
      </c>
      <c r="DG101" s="21">
        <f>EXP(-LN(2)/25)*DG100+(1-EXP(-LN(2)/25))/(LN(2)/25)*Calculateur!DB101*Calculateur!DD101*VLOOKUP('Données projet'!$B$13,Paramètres!$A$1:$I$89,3,0)*0.475*44/12</f>
        <v>20.551300428384916</v>
      </c>
      <c r="DH101" s="21">
        <f>EXP(-LN(2)/2)*DH100+(1-EXP(-LN(2)/2))/(LN(2)/2)*DB101*DE101*VLOOKUP('Données projet'!$B$13,Paramètres!$A$1:$I$89,3,0)*0.475*44/12</f>
        <v>2.7423940109627605</v>
      </c>
      <c r="DI101" s="22">
        <f t="shared" si="69"/>
        <v>44.330988552928794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5.6843418860808015E-14</v>
      </c>
      <c r="DP101" s="17">
        <f>DO101*VLOOKUP('Données projet'!$B$14,Paramètres!$A$1:$I$89,3,0)*VLOOKUP('Données projet'!$B$14,Paramètres!$A$1:$I$89,5,0)</f>
        <v>4.4337866711430253E-14</v>
      </c>
      <c r="DQ101" s="13">
        <f t="shared" si="97"/>
        <v>7.3222115536967035E-13</v>
      </c>
      <c r="DR101" s="20">
        <f t="shared" si="70"/>
        <v>1.3525069634579169E-12</v>
      </c>
      <c r="DS101" s="59">
        <f t="shared" si="71"/>
        <v>293.33333333333468</v>
      </c>
      <c r="DT101" s="59">
        <f ca="1">AVERAGE(OFFSET($DS$3,0,0,'Données projet'!$E$14+1,1))-AVERAGE(OFFSET($H$3,0,0,'Données projet'!$E$14+1,1))</f>
        <v>288.82868507674738</v>
      </c>
      <c r="DU101" s="59">
        <f t="shared" si="98"/>
        <v>283.48738729114024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24.211921717809474</v>
      </c>
      <c r="EB101" s="21">
        <f>EXP(-LN(2)/25)*EB100+(1-EXP(-LN(2)/25))/(LN(2)/25)*Calculateur!DW101*Calculateur!DY101*VLOOKUP('Données projet'!$B$14,Paramètres!$A$1:$I$89,3,0)*0.475*44/12</f>
        <v>18.94552460037497</v>
      </c>
      <c r="EC101" s="21">
        <f>EXP(-LN(2)/2)*EC100+(1-EXP(-LN(2)/2))/(LN(2)/2)*DW101*DZ101*VLOOKUP('Données projet'!$B$14,Paramètres!$A$1:$I$89,3,0)*0.475*44/12</f>
        <v>2.6221310369234294E-3</v>
      </c>
      <c r="ED101" s="22">
        <f t="shared" si="72"/>
        <v>43.160068449221363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6.7777777777777777</v>
      </c>
      <c r="EJ101" s="12">
        <f>IF('Données projet'!$A$192&gt;35,EJ100+EI101-ER100,IF(A101&lt;'Données projet'!$A$192,$EG$205^A101,IF(A101='Données projet'!$A$192,'Données projet'!$B$192,EJ100+EI101-ER100)))</f>
        <v>230.70333333333321</v>
      </c>
      <c r="EK101" s="17">
        <f>EJ101*VLOOKUP('Données projet'!$B$15,Paramètres!$A$1:$I$89,3,0)*VLOOKUP('Données projet'!$B$15,Paramètres!$A$1:$I$89,5,0)</f>
        <v>223.13626399999987</v>
      </c>
      <c r="EL101" s="13">
        <f t="shared" si="99"/>
        <v>54.795974627594028</v>
      </c>
      <c r="EM101" s="20">
        <f t="shared" si="73"/>
        <v>484.06531560972599</v>
      </c>
      <c r="EN101" s="59">
        <f t="shared" si="74"/>
        <v>777.39864894305924</v>
      </c>
      <c r="EO101" s="59">
        <f ca="1">AVERAGE(OFFSET($EN$3,0,0,'Données projet'!$E$15+1,1))-AVERAGE(OFFSET($H$3,0,0,'Données projet'!$E$15+1,1))</f>
        <v>510.71380643466227</v>
      </c>
      <c r="EP101" s="59">
        <f t="shared" si="100"/>
        <v>252.40654099948841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7.9728584559413589</v>
      </c>
      <c r="EW101" s="21">
        <f>EXP(-LN(2)/25)*EW100+(1-EXP(-LN(2)/25))/(LN(2)/25)*Calculateur!ER101*Calculateur!ET101*VLOOKUP('Données projet'!$B$15,Paramètres!$A$1:$I$89,3,0)*0.475*44/12</f>
        <v>14.770725991802301</v>
      </c>
      <c r="EX101" s="21">
        <f>EXP(-LN(2)/2)*EX100+(1-EXP(-LN(2)/2))/(LN(2)/2)*ER101*EU101*VLOOKUP('Données projet'!$B$15,Paramètres!$A$1:$I$89,3,0)*0.475*44/12</f>
        <v>3.5435269844984267</v>
      </c>
      <c r="EY101" s="22">
        <f t="shared" si="75"/>
        <v>26.287111432242089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6.9749999999999996</v>
      </c>
      <c r="N102" s="13">
        <f>IF('Données projet'!$A$36&gt;35,N101+M102-V101,IF(A102&lt;'Données projet'!$A$36,$K$205^A102,IF(A102='Données projet'!$A$36,'Données projet'!$B$36,N101+M102-V101)))</f>
        <v>260.49000000000024</v>
      </c>
      <c r="O102" s="13">
        <f>N102*VLOOKUP('Données projet'!$B$9,Paramètres!$A$1:$I$89,3,0)*VLOOKUP('Données projet'!$B$9,Paramètres!$A$1:$I$89,5,0)</f>
        <v>264.1368600000003</v>
      </c>
      <c r="P102" s="13">
        <f t="shared" si="87"/>
        <v>63.60337755336468</v>
      </c>
      <c r="Q102" s="20">
        <f t="shared" si="107"/>
        <v>570.81424707211056</v>
      </c>
      <c r="R102" s="59">
        <f t="shared" si="55"/>
        <v>864.14758040544393</v>
      </c>
      <c r="S102" s="59">
        <f ca="1">AVERAGE(OFFSET($R$3,0,0,'Données projet'!$E$9+1,1))-AVERAGE(OFFSET($H$3,0,0,'Données projet'!$E$9+1,1))</f>
        <v>543.67050511722618</v>
      </c>
      <c r="T102" s="59">
        <f t="shared" si="88"/>
        <v>249.0871389941106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6.5088790884519492</v>
      </c>
      <c r="AA102" s="21">
        <f>EXP(-LN(2)/25)*AA101+(1-EXP(-LN(2)/25))/(LN(2)/25)*Calculateur!V102*Calculateur!X102*VLOOKUP('Données projet'!$B$9,Paramètres!$A$1:$I$89,3,0)*0.475*44/12</f>
        <v>34.433090752606603</v>
      </c>
      <c r="AB102" s="21">
        <f>EXP(-LN(2)/2)*AB101+(1-EXP(-LN(2)/2))/(LN(2)/2)*V102*Y102*VLOOKUP('Données projet'!$B$9,Paramètres!$A$1:$I$89,3,0)*0.475*44/12</f>
        <v>0.55046693226059495</v>
      </c>
      <c r="AC102" s="22">
        <f t="shared" si="57"/>
        <v>41.492436773319149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8.9420000000000019</v>
      </c>
      <c r="AI102" s="13">
        <f>IF('Données projet'!$A$62&gt;35,AI101+AH102-AQ101,IF(A102&lt;'Données projet'!$A$62,$AF$205^A102,IF(A102='Données projet'!$A$62,'Données projet'!$B$62,AI101+AH102-AQ101)))</f>
        <v>357.49000000000052</v>
      </c>
      <c r="AJ102" s="13">
        <f>AI102*VLOOKUP('Données projet'!$B$10,Paramètres!$A$1:$I$89,3,0)*VLOOKUP('Données projet'!$B$10,Paramètres!$A$1:$I$89,5,0)</f>
        <v>323.45695200000046</v>
      </c>
      <c r="AK102" s="13">
        <f t="shared" si="89"/>
        <v>76.072189325282608</v>
      </c>
      <c r="AL102" s="20">
        <f t="shared" si="58"/>
        <v>695.84658780820121</v>
      </c>
      <c r="AM102" s="59">
        <f t="shared" si="59"/>
        <v>989.17992114153458</v>
      </c>
      <c r="AN102" s="59">
        <f ca="1">AVERAGE(OFFSET($AM$3,0,0,'Données projet'!$E$10+1,1))-AVERAGE(OFFSET($H$3,0,0,'Données projet'!$E$10+1,1))</f>
        <v>635.71275911100679</v>
      </c>
      <c r="AO102" s="59">
        <f t="shared" si="90"/>
        <v>281.7776857269169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25.555870949956144</v>
      </c>
      <c r="AV102" s="21">
        <f>EXP(-LN(2)/25)*AV101+(1-EXP(-LN(2)/25))/(LN(2)/25)*Calculateur!AQ102*Calculateur!AS102*VLOOKUP('Données projet'!$B$10,Paramètres!$A$1:$I$89,3,0)*0.475*44/12</f>
        <v>24.538165942968764</v>
      </c>
      <c r="AW102" s="21">
        <f>EXP(-LN(2)/2)*AW101+(1-EXP(-LN(2)/2))/(LN(2)/2)*AQ102*AT102*VLOOKUP('Données projet'!$B$10,Paramètres!$A$1:$I$89,3,0)*0.475*44/12</f>
        <v>1.0486747938151593</v>
      </c>
      <c r="AX102" s="21">
        <f t="shared" si="60"/>
        <v>51.142711686740064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1.9230769230769227</v>
      </c>
      <c r="BD102" s="12">
        <f>IF('Données projet'!$A$88&gt;35,BD101+BC102-BL101,IF(A102&lt;'Données projet'!$A$88,$BA$205^A102,IF(A102='Données projet'!$A$88,'Données projet'!$B$88,BD101+BC102-BL101)))</f>
        <v>141.02564102564102</v>
      </c>
      <c r="BE102" s="13">
        <f>BD102*VLOOKUP('Données projet'!$B$11,Paramètres!$A$1:$I$89,3,0)*VLOOKUP('Données projet'!$B$11,Paramètres!$A$1:$I$89,5,0)</f>
        <v>123.2</v>
      </c>
      <c r="BF102" s="13">
        <f t="shared" si="91"/>
        <v>32.420199748143155</v>
      </c>
      <c r="BG102" s="20">
        <f t="shared" si="61"/>
        <v>271.0385145613493</v>
      </c>
      <c r="BH102" s="59">
        <f t="shared" si="62"/>
        <v>564.37184789468256</v>
      </c>
      <c r="BI102" s="59">
        <f ca="1">AVERAGE(OFFSET($BH$3,0,0,'Données projet'!$E$11+1,1))-AVERAGE(OFFSET($H$3,0,0,'Données projet'!$E$11+1,1))</f>
        <v>204.11804238362862</v>
      </c>
      <c r="BJ102" s="59">
        <f t="shared" si="92"/>
        <v>185.53854651509408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1.5080704269928824</v>
      </c>
      <c r="BQ102" s="21">
        <f>EXP(-LN(2)/25)*BQ101+(1-EXP(-LN(2)/25))/(LN(2)/25)*Calculateur!BL102*Calculateur!BN102*VLOOKUP('Données projet'!$B$11,Paramètres!$A$1:$I$89,3,0)*0.475*44/12</f>
        <v>11.194937010500992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12.703007437493874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6.9749999999999996</v>
      </c>
      <c r="BY102" s="12">
        <f>IF('Données projet'!$A$114&gt;35,BY101+BX102-CG101,IF(A102&lt;'Données projet'!$A$114,$BV$205^A102,IF(A102='Données projet'!$A$114,'Données projet'!$B$114,BY101+BX102-CG101)))</f>
        <v>260.49000000000024</v>
      </c>
      <c r="BZ102" s="13">
        <f>BY102*VLOOKUP('Données projet'!$B$12,Paramètres!$A$1:$I$89,3,0)*VLOOKUP('Données projet'!$B$12,Paramètres!$A$1:$I$89,5,0)</f>
        <v>260.07321600000023</v>
      </c>
      <c r="CA102" s="13">
        <f t="shared" si="93"/>
        <v>62.737984392884009</v>
      </c>
      <c r="CB102" s="20">
        <f t="shared" si="64"/>
        <v>562.22950735094003</v>
      </c>
      <c r="CC102" s="59">
        <f t="shared" si="65"/>
        <v>855.5628406842734</v>
      </c>
      <c r="CD102" s="59">
        <f ca="1">AVERAGE(OFFSET($CC$3,0,0,'Données projet'!$E$12+1,1))-AVERAGE(OFFSET($H$3,0,0,'Données projet'!$E$12+1,1))</f>
        <v>535.99935263833549</v>
      </c>
      <c r="CE102" s="59">
        <f t="shared" si="94"/>
        <v>245.89966477332644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4.5776732050651061</v>
      </c>
      <c r="CL102" s="21">
        <f>EXP(-LN(2)/25)*CL101+(1-EXP(-LN(2)/25))/(LN(2)/25)*Calculateur!CG102*Calculateur!CI102*VLOOKUP('Données projet'!$B$12,Paramètres!$A$1:$I$89,3,0)*0.475*44/12</f>
        <v>13.855795917563677</v>
      </c>
      <c r="CM102" s="21">
        <f>EXP(-LN(2)/2)*CM101+(1-EXP(-LN(2)/2))/(LN(2)/2)*CG102*CJ102*VLOOKUP('Données projet'!$B$12,Paramètres!$A$1:$I$89,3,0)*0.475*44/12</f>
        <v>1.3170391760400952</v>
      </c>
      <c r="CN102" s="22">
        <f t="shared" si="66"/>
        <v>19.750508298668876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8.9989999999999952</v>
      </c>
      <c r="CT102" s="12">
        <f>IF('Données projet'!$A$140&gt;35,CT101+CS102-DB101,IF(A102&lt;'Données projet'!$A$140,$CQ$205^A102,IF(A102='Données projet'!$A$140,'Données projet'!$B$140,CT101+CS102-DB101)))</f>
        <v>335.404</v>
      </c>
      <c r="CU102" s="17">
        <f>CT102*VLOOKUP('Données projet'!$B$13,Paramètres!$A$1:$I$89,3,0)*VLOOKUP('Données projet'!$B$13,Paramètres!$A$1:$I$89,5,0)</f>
        <v>319.1704464</v>
      </c>
      <c r="CV102" s="13">
        <f t="shared" si="95"/>
        <v>75.180722836444687</v>
      </c>
      <c r="CW102" s="20">
        <f t="shared" si="67"/>
        <v>686.82828642014101</v>
      </c>
      <c r="CX102" s="59">
        <f t="shared" si="68"/>
        <v>980.16161975347427</v>
      </c>
      <c r="CY102" s="59">
        <f ca="1">AVERAGE(OFFSET($CX$3,0,0,'Données projet'!$E$13+1,1))-AVERAGE(OFFSET($H$3,0,0,'Données projet'!$E$13+1,1))</f>
        <v>449.28947235329758</v>
      </c>
      <c r="CZ102" s="59">
        <f t="shared" si="96"/>
        <v>289.36994109443964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20.624765607496194</v>
      </c>
      <c r="DG102" s="21">
        <f>EXP(-LN(2)/25)*DG101+(1-EXP(-LN(2)/25))/(LN(2)/25)*Calculateur!DB102*Calculateur!DD102*VLOOKUP('Données projet'!$B$13,Paramètres!$A$1:$I$89,3,0)*0.475*44/12</f>
        <v>19.989324037424812</v>
      </c>
      <c r="DH102" s="21">
        <f>EXP(-LN(2)/2)*DH101+(1-EXP(-LN(2)/2))/(LN(2)/2)*DB102*DE102*VLOOKUP('Données projet'!$B$13,Paramètres!$A$1:$I$89,3,0)*0.475*44/12</f>
        <v>1.9391654018371431</v>
      </c>
      <c r="DI102" s="22">
        <f t="shared" si="69"/>
        <v>42.553255046758153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5.6843418860808015E-14</v>
      </c>
      <c r="DP102" s="17">
        <f>DO102*VLOOKUP('Données projet'!$B$14,Paramètres!$A$1:$I$89,3,0)*VLOOKUP('Données projet'!$B$14,Paramètres!$A$1:$I$89,5,0)</f>
        <v>4.4337866711430253E-14</v>
      </c>
      <c r="DQ102" s="13">
        <f t="shared" si="97"/>
        <v>7.3222115536967035E-13</v>
      </c>
      <c r="DR102" s="20">
        <f t="shared" si="70"/>
        <v>1.3525069634579169E-12</v>
      </c>
      <c r="DS102" s="59">
        <f t="shared" si="71"/>
        <v>293.33333333333468</v>
      </c>
      <c r="DT102" s="59">
        <f ca="1">AVERAGE(OFFSET($DS$3,0,0,'Données projet'!$E$14+1,1))-AVERAGE(OFFSET($H$3,0,0,'Données projet'!$E$14+1,1))</f>
        <v>288.82868507674738</v>
      </c>
      <c r="DU102" s="59">
        <f t="shared" si="98"/>
        <v>283.48738729114024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23.737140700737278</v>
      </c>
      <c r="EB102" s="21">
        <f>EXP(-LN(2)/25)*EB101+(1-EXP(-LN(2)/25))/(LN(2)/25)*Calculateur!DW102*Calculateur!DY102*VLOOKUP('Données projet'!$B$14,Paramètres!$A$1:$I$89,3,0)*0.475*44/12</f>
        <v>18.427458233875878</v>
      </c>
      <c r="EC102" s="21">
        <f>EXP(-LN(2)/2)*EC101+(1-EXP(-LN(2)/2))/(LN(2)/2)*DW102*DZ102*VLOOKUP('Données projet'!$B$14,Paramètres!$A$1:$I$89,3,0)*0.475*44/12</f>
        <v>1.8541266373682704E-3</v>
      </c>
      <c r="ED102" s="22">
        <f t="shared" si="72"/>
        <v>42.166453061250522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6.7777777777777777</v>
      </c>
      <c r="EJ102" s="12">
        <f>IF('Données projet'!$A$192&gt;35,EJ101+EI102-ER101,IF(A102&lt;'Données projet'!$A$192,$EG$205^A102,IF(A102='Données projet'!$A$192,'Données projet'!$B$192,EJ101+EI102-ER101)))</f>
        <v>237.48111111111098</v>
      </c>
      <c r="EK102" s="17">
        <f>EJ102*VLOOKUP('Données projet'!$B$15,Paramètres!$A$1:$I$89,3,0)*VLOOKUP('Données projet'!$B$15,Paramètres!$A$1:$I$89,5,0)</f>
        <v>229.69173066666653</v>
      </c>
      <c r="EL102" s="13">
        <f t="shared" si="99"/>
        <v>56.216021291878434</v>
      </c>
      <c r="EM102" s="20">
        <f t="shared" si="73"/>
        <v>497.95600132779902</v>
      </c>
      <c r="EN102" s="59">
        <f t="shared" si="74"/>
        <v>791.28933466113233</v>
      </c>
      <c r="EO102" s="59">
        <f ca="1">AVERAGE(OFFSET($EN$3,0,0,'Données projet'!$E$15+1,1))-AVERAGE(OFFSET($H$3,0,0,'Données projet'!$E$15+1,1))</f>
        <v>510.71380643466227</v>
      </c>
      <c r="EP102" s="59">
        <f t="shared" si="100"/>
        <v>252.40654099948841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7.8165155645838293</v>
      </c>
      <c r="EW102" s="21">
        <f>EXP(-LN(2)/25)*EW101+(1-EXP(-LN(2)/25))/(LN(2)/25)*Calculateur!ER102*Calculateur!ET102*VLOOKUP('Données projet'!$B$15,Paramètres!$A$1:$I$89,3,0)*0.475*44/12</f>
        <v>14.366819712797746</v>
      </c>
      <c r="EX102" s="21">
        <f>EXP(-LN(2)/2)*EX101+(1-EXP(-LN(2)/2))/(LN(2)/2)*ER102*EU102*VLOOKUP('Données projet'!$B$15,Paramètres!$A$1:$I$89,3,0)*0.475*44/12</f>
        <v>2.5056519600563556</v>
      </c>
      <c r="EY102" s="22">
        <f t="shared" si="75"/>
        <v>24.688987237437928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6.9749999999999996</v>
      </c>
      <c r="N103" s="13">
        <f>IF('Données projet'!$A$36&gt;35,N102+M103-V102,IF(A103&lt;'Données projet'!$A$36,$K$205^A103,IF(A103='Données projet'!$A$36,'Données projet'!$B$36,N102+M103-V102)))</f>
        <v>267.46500000000026</v>
      </c>
      <c r="O103" s="13">
        <f>N103*VLOOKUP('Données projet'!$B$9,Paramètres!$A$1:$I$89,3,0)*VLOOKUP('Données projet'!$B$9,Paramètres!$A$1:$I$89,5,0)</f>
        <v>271.20951000000025</v>
      </c>
      <c r="P103" s="13">
        <f t="shared" si="87"/>
        <v>65.105891024156392</v>
      </c>
      <c r="Q103" s="20">
        <f t="shared" si="107"/>
        <v>585.74932345040622</v>
      </c>
      <c r="R103" s="59">
        <f t="shared" si="55"/>
        <v>879.08265678373959</v>
      </c>
      <c r="S103" s="59">
        <f ca="1">AVERAGE(OFFSET($R$3,0,0,'Données projet'!$E$9+1,1))-AVERAGE(OFFSET($H$3,0,0,'Données projet'!$E$9+1,1))</f>
        <v>543.67050511722618</v>
      </c>
      <c r="T103" s="59">
        <f t="shared" si="88"/>
        <v>249.0871389941106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6.3812439395516432</v>
      </c>
      <c r="AA103" s="21">
        <f>EXP(-LN(2)/25)*AA102+(1-EXP(-LN(2)/25))/(LN(2)/25)*Calculateur!V103*Calculateur!X103*VLOOKUP('Données projet'!$B$9,Paramètres!$A$1:$I$89,3,0)*0.475*44/12</f>
        <v>33.491516075219032</v>
      </c>
      <c r="AB103" s="21">
        <f>EXP(-LN(2)/2)*AB102+(1-EXP(-LN(2)/2))/(LN(2)/2)*V103*Y103*VLOOKUP('Données projet'!$B$9,Paramètres!$A$1:$I$89,3,0)*0.475*44/12</f>
        <v>0.3892389006204226</v>
      </c>
      <c r="AC103" s="22">
        <f t="shared" si="57"/>
        <v>40.261998915391096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8.9420000000000019</v>
      </c>
      <c r="AI103" s="13">
        <f>IF('Données projet'!$A$62&gt;35,AI102+AH103-AQ102,IF(A103&lt;'Données projet'!$A$62,$AF$205^A103,IF(A103='Données projet'!$A$62,'Données projet'!$B$62,AI102+AH103-AQ102)))</f>
        <v>366.43200000000053</v>
      </c>
      <c r="AJ103" s="13">
        <f>AI103*VLOOKUP('Données projet'!$B$10,Paramètres!$A$1:$I$89,3,0)*VLOOKUP('Données projet'!$B$10,Paramètres!$A$1:$I$89,5,0)</f>
        <v>331.54767360000045</v>
      </c>
      <c r="AK103" s="13">
        <f t="shared" si="89"/>
        <v>77.751091964826287</v>
      </c>
      <c r="AL103" s="20">
        <f t="shared" si="58"/>
        <v>712.86201669207321</v>
      </c>
      <c r="AM103" s="59">
        <f t="shared" si="59"/>
        <v>1006.1953500254065</v>
      </c>
      <c r="AN103" s="59">
        <f ca="1">AVERAGE(OFFSET($AM$3,0,0,'Données projet'!$E$10+1,1))-AVERAGE(OFFSET($H$3,0,0,'Données projet'!$E$10+1,1))</f>
        <v>635.71275911100679</v>
      </c>
      <c r="AO103" s="59">
        <f t="shared" si="90"/>
        <v>281.7776857269169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25.054735908169643</v>
      </c>
      <c r="AV103" s="21">
        <f>EXP(-LN(2)/25)*AV102+(1-EXP(-LN(2)/25))/(LN(2)/25)*Calculateur!AQ103*Calculateur!AS103*VLOOKUP('Données projet'!$B$10,Paramètres!$A$1:$I$89,3,0)*0.475*44/12</f>
        <v>23.86716850485222</v>
      </c>
      <c r="AW103" s="21">
        <f>EXP(-LN(2)/2)*AW102+(1-EXP(-LN(2)/2))/(LN(2)/2)*AQ103*AT103*VLOOKUP('Données projet'!$B$10,Paramètres!$A$1:$I$89,3,0)*0.475*44/12</f>
        <v>0.74152505796610368</v>
      </c>
      <c r="AX103" s="21">
        <f t="shared" si="60"/>
        <v>49.663429470987964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142.94871794871796</v>
      </c>
      <c r="BB103" s="12">
        <f>VLOOKUP(A103,'Données projet'!$A$87:$I$107,9,0)</f>
        <v>1.9230769230769227</v>
      </c>
      <c r="BC103" s="12">
        <f t="array" ref="BC103">INDEX(BB:BB,MIN(IF(ISNUMBER(BB103:BB299),ROW(BB103:BB299),"")))</f>
        <v>1.9230769230769227</v>
      </c>
      <c r="BD103" s="12">
        <f>IF('Données projet'!$A$88&gt;35,BD102+BC103-BL102,IF(A103&lt;'Données projet'!$A$88,$BA$205^A103,IF(A103='Données projet'!$A$88,'Données projet'!$B$88,BD102+BC103-BL102)))</f>
        <v>142.94871794871796</v>
      </c>
      <c r="BE103" s="13">
        <f>BD103*VLOOKUP('Données projet'!$B$11,Paramètres!$A$1:$I$89,3,0)*VLOOKUP('Données projet'!$B$11,Paramètres!$A$1:$I$89,5,0)</f>
        <v>124.88000000000001</v>
      </c>
      <c r="BF103" s="13">
        <f t="shared" si="91"/>
        <v>32.810525222866438</v>
      </c>
      <c r="BG103" s="20">
        <f t="shared" si="61"/>
        <v>274.64433142982574</v>
      </c>
      <c r="BH103" s="59">
        <f t="shared" si="62"/>
        <v>567.97766476315905</v>
      </c>
      <c r="BI103" s="59">
        <f ca="1">AVERAGE(OFFSET($BH$3,0,0,'Données projet'!$E$11+1,1))-AVERAGE(OFFSET($H$3,0,0,'Données projet'!$E$11+1,1))</f>
        <v>204.11804238362862</v>
      </c>
      <c r="BJ103" s="59">
        <f t="shared" si="92"/>
        <v>185.53854651509408</v>
      </c>
      <c r="BK103" s="15">
        <f>IF(ISNA(VLOOKUP(A103,'Données projet'!$A$87:$I$107,3,0)),0,VLOOKUP(A103,'Données projet'!$A$87:$I$107,3,0))</f>
        <v>17</v>
      </c>
      <c r="BL103" s="15">
        <f>IF(ISNA(VLOOKUP(A103,'Données projet'!$A$87:$I$107,4,0)),0,VLOOKUP(A103,'Données projet'!$A$87:$I$107,4,0))</f>
        <v>142.94871794871796</v>
      </c>
      <c r="BM103" s="16">
        <f>IF(ISNA(VLOOKUP(A103,'Données projet'!$A$87:$I$107,5,0)),0%,VLOOKUP(A103,'Données projet'!$A$87:$I$107,5,0)*VLOOKUP('Données projet'!$B$11,Paramètres!$A$1:$I$89,7,0))</f>
        <v>4.3000000000000003E-2</v>
      </c>
      <c r="BN103" s="16">
        <f>IF(ISNA(VLOOKUP(A103,'Données projet'!$A$87:$I$107,6,0)),0%,VLOOKUP(A103,'Données projet'!$A$87:$I$107,6,0)*VLOOKUP('Données projet'!$B$11,Paramètres!$A$1:$I$89,7,0))</f>
        <v>0.215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7.4146971485829045</v>
      </c>
      <c r="BQ103" s="21">
        <f>EXP(-LN(2)/25)*BQ102+(1-EXP(-LN(2)/25))/(LN(2)/25)*Calculateur!BL103*Calculateur!BN103*VLOOKUP('Données projet'!$B$11,Paramètres!$A$1:$I$89,3,0)*0.475*44/12</f>
        <v>40.452940795491095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47.867637944073998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6.9749999999999996</v>
      </c>
      <c r="BY103" s="12">
        <f>IF('Données projet'!$A$114&gt;35,BY102+BX103-CG102,IF(A103&lt;'Données projet'!$A$114,$BV$205^A103,IF(A103='Données projet'!$A$114,'Données projet'!$B$114,BY102+BX103-CG102)))</f>
        <v>267.46500000000026</v>
      </c>
      <c r="BZ103" s="13">
        <f>BY103*VLOOKUP('Données projet'!$B$12,Paramètres!$A$1:$I$89,3,0)*VLOOKUP('Données projet'!$B$12,Paramètres!$A$1:$I$89,5,0)</f>
        <v>267.03705600000029</v>
      </c>
      <c r="CA103" s="13">
        <f t="shared" si="93"/>
        <v>64.220054532972739</v>
      </c>
      <c r="CB103" s="20">
        <f t="shared" si="64"/>
        <v>576.93946751159467</v>
      </c>
      <c r="CC103" s="59">
        <f t="shared" si="65"/>
        <v>870.27280084492804</v>
      </c>
      <c r="CD103" s="59">
        <f ca="1">AVERAGE(OFFSET($CC$3,0,0,'Données projet'!$E$12+1,1))-AVERAGE(OFFSET($H$3,0,0,'Données projet'!$E$12+1,1))</f>
        <v>535.99935263833549</v>
      </c>
      <c r="CE103" s="59">
        <f t="shared" si="94"/>
        <v>245.89966477332644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4.4879078256187368</v>
      </c>
      <c r="CL103" s="21">
        <f>EXP(-LN(2)/25)*CL102+(1-EXP(-LN(2)/25))/(LN(2)/25)*Calculateur!CG103*Calculateur!CI103*VLOOKUP('Données projet'!$B$12,Paramètres!$A$1:$I$89,3,0)*0.475*44/12</f>
        <v>13.476908449553259</v>
      </c>
      <c r="CM103" s="21">
        <f>EXP(-LN(2)/2)*CM102+(1-EXP(-LN(2)/2))/(LN(2)/2)*CG103*CJ103*VLOOKUP('Données projet'!$B$12,Paramètres!$A$1:$I$89,3,0)*0.475*44/12</f>
        <v>0.93128733246629458</v>
      </c>
      <c r="CN103" s="22">
        <f t="shared" si="66"/>
        <v>18.896103607638288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8.9989999999999952</v>
      </c>
      <c r="CT103" s="12">
        <f>IF('Données projet'!$A$140&gt;35,CT102+CS103-DB102,IF(A103&lt;'Données projet'!$A$140,$CQ$205^A103,IF(A103='Données projet'!$A$140,'Données projet'!$B$140,CT102+CS103-DB102)))</f>
        <v>344.40300000000002</v>
      </c>
      <c r="CU103" s="17">
        <f>CT103*VLOOKUP('Données projet'!$B$13,Paramètres!$A$1:$I$89,3,0)*VLOOKUP('Données projet'!$B$13,Paramètres!$A$1:$I$89,5,0)</f>
        <v>327.73389480000003</v>
      </c>
      <c r="CV103" s="13">
        <f t="shared" si="95"/>
        <v>76.960297498116987</v>
      </c>
      <c r="CW103" s="20">
        <f t="shared" si="67"/>
        <v>704.84238491922042</v>
      </c>
      <c r="CX103" s="59">
        <f t="shared" si="68"/>
        <v>998.17571825255368</v>
      </c>
      <c r="CY103" s="59">
        <f ca="1">AVERAGE(OFFSET($CX$3,0,0,'Données projet'!$E$13+1,1))-AVERAGE(OFFSET($H$3,0,0,'Données projet'!$E$13+1,1))</f>
        <v>449.28947235329758</v>
      </c>
      <c r="CZ103" s="59">
        <f t="shared" si="96"/>
        <v>289.36994109443964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20.220326533798055</v>
      </c>
      <c r="DG103" s="21">
        <f>EXP(-LN(2)/25)*DG102+(1-EXP(-LN(2)/25))/(LN(2)/25)*Calculateur!DB103*Calculateur!DD103*VLOOKUP('Données projet'!$B$13,Paramètres!$A$1:$I$89,3,0)*0.475*44/12</f>
        <v>19.442714920428564</v>
      </c>
      <c r="DH103" s="21">
        <f>EXP(-LN(2)/2)*DH102+(1-EXP(-LN(2)/2))/(LN(2)/2)*DB103*DE103*VLOOKUP('Données projet'!$B$13,Paramètres!$A$1:$I$89,3,0)*0.475*44/12</f>
        <v>1.3711970054813805</v>
      </c>
      <c r="DI103" s="22">
        <f t="shared" si="69"/>
        <v>41.034238459707993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5.6843418860808015E-14</v>
      </c>
      <c r="DP103" s="17">
        <f>DO103*VLOOKUP('Données projet'!$B$14,Paramètres!$A$1:$I$89,3,0)*VLOOKUP('Données projet'!$B$14,Paramètres!$A$1:$I$89,5,0)</f>
        <v>4.4337866711430253E-14</v>
      </c>
      <c r="DQ103" s="13">
        <f t="shared" si="97"/>
        <v>7.3222115536967035E-13</v>
      </c>
      <c r="DR103" s="20">
        <f t="shared" si="70"/>
        <v>1.3525069634579169E-12</v>
      </c>
      <c r="DS103" s="59">
        <f t="shared" si="71"/>
        <v>293.33333333333468</v>
      </c>
      <c r="DT103" s="59">
        <f ca="1">AVERAGE(OFFSET($DS$3,0,0,'Données projet'!$E$14+1,1))-AVERAGE(OFFSET($H$3,0,0,'Données projet'!$E$14+1,1))</f>
        <v>288.82868507674738</v>
      </c>
      <c r="DU103" s="59">
        <f t="shared" si="98"/>
        <v>283.48738729114024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23.271669849822043</v>
      </c>
      <c r="EB103" s="21">
        <f>EXP(-LN(2)/25)*EB102+(1-EXP(-LN(2)/25))/(LN(2)/25)*Calculateur!DW103*Calculateur!DY103*VLOOKUP('Données projet'!$B$14,Paramètres!$A$1:$I$89,3,0)*0.475*44/12</f>
        <v>17.923558419412629</v>
      </c>
      <c r="EC103" s="21">
        <f>EXP(-LN(2)/2)*EC102+(1-EXP(-LN(2)/2))/(LN(2)/2)*DW103*DZ103*VLOOKUP('Données projet'!$B$14,Paramètres!$A$1:$I$89,3,0)*0.475*44/12</f>
        <v>1.3110655184617147E-3</v>
      </c>
      <c r="ED103" s="22">
        <f t="shared" si="72"/>
        <v>41.19653933475314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6.7777777777777777</v>
      </c>
      <c r="EJ103" s="12">
        <f>IF('Données projet'!$A$192&gt;35,EJ102+EI103-ER102,IF(A103&lt;'Données projet'!$A$192,$EG$205^A103,IF(A103='Données projet'!$A$192,'Données projet'!$B$192,EJ102+EI103-ER102)))</f>
        <v>244.25888888888875</v>
      </c>
      <c r="EK103" s="17">
        <f>EJ103*VLOOKUP('Données projet'!$B$15,Paramètres!$A$1:$I$89,3,0)*VLOOKUP('Données projet'!$B$15,Paramètres!$A$1:$I$89,5,0)</f>
        <v>236.24719733333319</v>
      </c>
      <c r="EL103" s="13">
        <f t="shared" si="99"/>
        <v>57.631357586724938</v>
      </c>
      <c r="EM103" s="20">
        <f t="shared" si="73"/>
        <v>511.83848315243455</v>
      </c>
      <c r="EN103" s="59">
        <f t="shared" si="74"/>
        <v>805.17181648576786</v>
      </c>
      <c r="EO103" s="59">
        <f ca="1">AVERAGE(OFFSET($EN$3,0,0,'Données projet'!$E$15+1,1))-AVERAGE(OFFSET($H$3,0,0,'Données projet'!$E$15+1,1))</f>
        <v>510.71380643466227</v>
      </c>
      <c r="EP103" s="59">
        <f t="shared" si="100"/>
        <v>252.40654099948841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7.6632384619660732</v>
      </c>
      <c r="EW103" s="21">
        <f>EXP(-LN(2)/25)*EW102+(1-EXP(-LN(2)/25))/(LN(2)/25)*Calculateur!ER103*Calculateur!ET103*VLOOKUP('Données projet'!$B$15,Paramètres!$A$1:$I$89,3,0)*0.475*44/12</f>
        <v>13.973958272233078</v>
      </c>
      <c r="EX103" s="21">
        <f>EXP(-LN(2)/2)*EX102+(1-EXP(-LN(2)/2))/(LN(2)/2)*ER103*EU103*VLOOKUP('Données projet'!$B$15,Paramètres!$A$1:$I$89,3,0)*0.475*44/12</f>
        <v>1.7717634922492134</v>
      </c>
      <c r="EY103" s="22">
        <f t="shared" si="75"/>
        <v>23.408960226448364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6.9749999999999996</v>
      </c>
      <c r="N104" s="13">
        <f>IF('Données projet'!$A$36&gt;35,N103+M104-V103,IF(A104&lt;'Données projet'!$A$36,$K$205^A104,IF(A104='Données projet'!$A$36,'Données projet'!$B$36,N103+M104-V103)))</f>
        <v>274.44000000000028</v>
      </c>
      <c r="O104" s="13">
        <f>N104*VLOOKUP('Données projet'!$B$9,Paramètres!$A$1:$I$89,3,0)*VLOOKUP('Données projet'!$B$9,Paramètres!$A$1:$I$89,5,0)</f>
        <v>278.28216000000032</v>
      </c>
      <c r="P104" s="13">
        <f t="shared" si="87"/>
        <v>66.603849985087848</v>
      </c>
      <c r="Q104" s="20">
        <f t="shared" si="107"/>
        <v>600.67646739069517</v>
      </c>
      <c r="R104" s="59">
        <f t="shared" si="55"/>
        <v>894.00980072402854</v>
      </c>
      <c r="S104" s="59">
        <f ca="1">AVERAGE(OFFSET($R$3,0,0,'Données projet'!$E$9+1,1))-AVERAGE(OFFSET($H$3,0,0,'Données projet'!$E$9+1,1))</f>
        <v>543.67050511722618</v>
      </c>
      <c r="T104" s="59">
        <f t="shared" si="88"/>
        <v>249.0871389941106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6.256111638071518</v>
      </c>
      <c r="AA104" s="21">
        <f>EXP(-LN(2)/25)*AA103+(1-EXP(-LN(2)/25))/(LN(2)/25)*Calculateur!V104*Calculateur!X104*VLOOKUP('Données projet'!$B$9,Paramètres!$A$1:$I$89,3,0)*0.475*44/12</f>
        <v>32.575688806899883</v>
      </c>
      <c r="AB104" s="21">
        <f>EXP(-LN(2)/2)*AB103+(1-EXP(-LN(2)/2))/(LN(2)/2)*V104*Y104*VLOOKUP('Données projet'!$B$9,Paramètres!$A$1:$I$89,3,0)*0.475*44/12</f>
        <v>0.27523346613029748</v>
      </c>
      <c r="AC104" s="22">
        <f t="shared" si="57"/>
        <v>39.107033911101695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8.9420000000000019</v>
      </c>
      <c r="AI104" s="13">
        <f>IF('Données projet'!$A$62&gt;35,AI103+AH104-AQ103,IF(A104&lt;'Données projet'!$A$62,$AF$205^A104,IF(A104='Données projet'!$A$62,'Données projet'!$B$62,AI103+AH104-AQ103)))</f>
        <v>375.37400000000054</v>
      </c>
      <c r="AJ104" s="13">
        <f>AI104*VLOOKUP('Données projet'!$B$10,Paramètres!$A$1:$I$89,3,0)*VLOOKUP('Données projet'!$B$10,Paramètres!$A$1:$I$89,5,0)</f>
        <v>339.6383952000005</v>
      </c>
      <c r="AK104" s="13">
        <f t="shared" si="89"/>
        <v>79.425231954431325</v>
      </c>
      <c r="AL104" s="20">
        <f t="shared" si="58"/>
        <v>729.86915062730213</v>
      </c>
      <c r="AM104" s="59">
        <f t="shared" si="59"/>
        <v>1023.2024839606354</v>
      </c>
      <c r="AN104" s="59">
        <f ca="1">AVERAGE(OFFSET($AM$3,0,0,'Données projet'!$E$10+1,1))-AVERAGE(OFFSET($H$3,0,0,'Données projet'!$E$10+1,1))</f>
        <v>635.71275911100679</v>
      </c>
      <c r="AO104" s="59">
        <f t="shared" si="90"/>
        <v>281.7776857269169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24.563427818890382</v>
      </c>
      <c r="AV104" s="21">
        <f>EXP(-LN(2)/25)*AV103+(1-EXP(-LN(2)/25))/(LN(2)/25)*Calculateur!AQ104*Calculateur!AS104*VLOOKUP('Données projet'!$B$10,Paramètres!$A$1:$I$89,3,0)*0.475*44/12</f>
        <v>23.214519526967194</v>
      </c>
      <c r="AW104" s="21">
        <f>EXP(-LN(2)/2)*AW103+(1-EXP(-LN(2)/2))/(LN(2)/2)*AQ104*AT104*VLOOKUP('Données projet'!$B$10,Paramètres!$A$1:$I$89,3,0)*0.475*44/12</f>
        <v>0.52433739690757963</v>
      </c>
      <c r="AX104" s="21">
        <f t="shared" si="60"/>
        <v>48.302284742765153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204.11804238362862</v>
      </c>
      <c r="BJ104" s="59">
        <f t="shared" si="92"/>
        <v>185.53854651509408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7.2692994600178924</v>
      </c>
      <c r="BQ104" s="21">
        <f>EXP(-LN(2)/25)*BQ103+(1-EXP(-LN(2)/25))/(LN(2)/25)*Calculateur!BL104*Calculateur!BN104*VLOOKUP('Données projet'!$B$11,Paramètres!$A$1:$I$89,3,0)*0.475*44/12</f>
        <v>39.346753002110688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46.616052462128579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6.9749999999999996</v>
      </c>
      <c r="BY104" s="12">
        <f>IF('Données projet'!$A$114&gt;35,BY103+BX104-CG103,IF(A104&lt;'Données projet'!$A$114,$BV$205^A104,IF(A104='Données projet'!$A$114,'Données projet'!$B$114,BY103+BX104-CG103)))</f>
        <v>274.44000000000028</v>
      </c>
      <c r="BZ104" s="13">
        <f>BY104*VLOOKUP('Données projet'!$B$12,Paramètres!$A$1:$I$89,3,0)*VLOOKUP('Données projet'!$B$12,Paramètres!$A$1:$I$89,5,0)</f>
        <v>274.0008960000003</v>
      </c>
      <c r="CA104" s="13">
        <f t="shared" si="93"/>
        <v>65.697632132263678</v>
      </c>
      <c r="CB104" s="20">
        <f t="shared" si="64"/>
        <v>591.64160316369305</v>
      </c>
      <c r="CC104" s="59">
        <f t="shared" si="65"/>
        <v>884.97493649702642</v>
      </c>
      <c r="CD104" s="59">
        <f ca="1">AVERAGE(OFFSET($CC$3,0,0,'Données projet'!$E$12+1,1))-AVERAGE(OFFSET($H$3,0,0,'Données projet'!$E$12+1,1))</f>
        <v>535.99935263833549</v>
      </c>
      <c r="CE104" s="59">
        <f t="shared" si="94"/>
        <v>245.89966477332644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4.3999026905118361</v>
      </c>
      <c r="CL104" s="21">
        <f>EXP(-LN(2)/25)*CL103+(1-EXP(-LN(2)/25))/(LN(2)/25)*Calculateur!CG104*Calculateur!CI104*VLOOKUP('Données projet'!$B$12,Paramètres!$A$1:$I$89,3,0)*0.475*44/12</f>
        <v>13.108381679280411</v>
      </c>
      <c r="CM104" s="21">
        <f>EXP(-LN(2)/2)*CM103+(1-EXP(-LN(2)/2))/(LN(2)/2)*CG104*CJ104*VLOOKUP('Données projet'!$B$12,Paramètres!$A$1:$I$89,3,0)*0.475*44/12</f>
        <v>0.65851958802004773</v>
      </c>
      <c r="CN104" s="22">
        <f t="shared" si="66"/>
        <v>18.166803957812295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8.9989999999999952</v>
      </c>
      <c r="CT104" s="12">
        <f>IF('Données projet'!$A$140&gt;35,CT103+CS104-DB103,IF(A104&lt;'Données projet'!$A$140,$CQ$205^A104,IF(A104='Données projet'!$A$140,'Données projet'!$B$140,CT103+CS104-DB103)))</f>
        <v>353.40200000000004</v>
      </c>
      <c r="CU104" s="17">
        <f>CT104*VLOOKUP('Données projet'!$B$13,Paramètres!$A$1:$I$89,3,0)*VLOOKUP('Données projet'!$B$13,Paramètres!$A$1:$I$89,5,0)</f>
        <v>336.29734320000006</v>
      </c>
      <c r="CV104" s="13">
        <f t="shared" si="95"/>
        <v>78.734467249723195</v>
      </c>
      <c r="CW104" s="20">
        <f t="shared" si="67"/>
        <v>722.84706986660137</v>
      </c>
      <c r="CX104" s="59">
        <f t="shared" si="68"/>
        <v>1016.1804031999347</v>
      </c>
      <c r="CY104" s="59">
        <f ca="1">AVERAGE(OFFSET($CX$3,0,0,'Données projet'!$E$13+1,1))-AVERAGE(OFFSET($H$3,0,0,'Données projet'!$E$13+1,1))</f>
        <v>449.28947235329758</v>
      </c>
      <c r="CZ104" s="59">
        <f t="shared" si="96"/>
        <v>289.36994109443964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19.82381826365166</v>
      </c>
      <c r="DG104" s="21">
        <f>EXP(-LN(2)/25)*DG103+(1-EXP(-LN(2)/25))/(LN(2)/25)*Calculateur!DB104*Calculateur!DD104*VLOOKUP('Données projet'!$B$13,Paramètres!$A$1:$I$89,3,0)*0.475*44/12</f>
        <v>18.911052858481504</v>
      </c>
      <c r="DH104" s="21">
        <f>EXP(-LN(2)/2)*DH103+(1-EXP(-LN(2)/2))/(LN(2)/2)*DB104*DE104*VLOOKUP('Données projet'!$B$13,Paramètres!$A$1:$I$89,3,0)*0.475*44/12</f>
        <v>0.96958270091857179</v>
      </c>
      <c r="DI104" s="22">
        <f t="shared" si="69"/>
        <v>39.704453823051736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5.6843418860808015E-14</v>
      </c>
      <c r="DP104" s="17">
        <f>DO104*VLOOKUP('Données projet'!$B$14,Paramètres!$A$1:$I$89,3,0)*VLOOKUP('Données projet'!$B$14,Paramètres!$A$1:$I$89,5,0)</f>
        <v>4.4337866711430253E-14</v>
      </c>
      <c r="DQ104" s="13">
        <f t="shared" si="97"/>
        <v>7.3222115536967035E-13</v>
      </c>
      <c r="DR104" s="20">
        <f t="shared" si="70"/>
        <v>1.3525069634579169E-12</v>
      </c>
      <c r="DS104" s="59">
        <f t="shared" si="71"/>
        <v>293.33333333333468</v>
      </c>
      <c r="DT104" s="59">
        <f ca="1">AVERAGE(OFFSET($DS$3,0,0,'Données projet'!$E$14+1,1))-AVERAGE(OFFSET($H$3,0,0,'Données projet'!$E$14+1,1))</f>
        <v>288.82868507674738</v>
      </c>
      <c r="DU104" s="59">
        <f t="shared" si="98"/>
        <v>283.48738729114024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22.815326598384068</v>
      </c>
      <c r="EB104" s="21">
        <f>EXP(-LN(2)/25)*EB103+(1-EXP(-LN(2)/25))/(LN(2)/25)*Calculateur!DW104*Calculateur!DY104*VLOOKUP('Données projet'!$B$14,Paramètres!$A$1:$I$89,3,0)*0.475*44/12</f>
        <v>17.433437771874818</v>
      </c>
      <c r="EC104" s="21">
        <f>EXP(-LN(2)/2)*EC103+(1-EXP(-LN(2)/2))/(LN(2)/2)*DW104*DZ104*VLOOKUP('Données projet'!$B$14,Paramètres!$A$1:$I$89,3,0)*0.475*44/12</f>
        <v>9.2706331868413518E-4</v>
      </c>
      <c r="ED104" s="22">
        <f t="shared" si="72"/>
        <v>40.249691433577567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6.7777777777777777</v>
      </c>
      <c r="EJ104" s="12">
        <f>IF('Données projet'!$A$192&gt;35,EJ103+EI104-ER103,IF(A104&lt;'Données projet'!$A$192,$EG$205^A104,IF(A104='Données projet'!$A$192,'Données projet'!$B$192,EJ103+EI104-ER103)))</f>
        <v>251.03666666666652</v>
      </c>
      <c r="EK104" s="17">
        <f>EJ104*VLOOKUP('Données projet'!$B$15,Paramètres!$A$1:$I$89,3,0)*VLOOKUP('Données projet'!$B$15,Paramètres!$A$1:$I$89,5,0)</f>
        <v>242.80266399999985</v>
      </c>
      <c r="EL104" s="13">
        <f t="shared" si="99"/>
        <v>59.04212923358233</v>
      </c>
      <c r="EM104" s="20">
        <f t="shared" si="73"/>
        <v>525.71301488182235</v>
      </c>
      <c r="EN104" s="59">
        <f t="shared" si="74"/>
        <v>819.0463482151556</v>
      </c>
      <c r="EO104" s="59">
        <f ca="1">AVERAGE(OFFSET($EN$3,0,0,'Données projet'!$E$15+1,1))-AVERAGE(OFFSET($H$3,0,0,'Données projet'!$E$15+1,1))</f>
        <v>510.71380643466227</v>
      </c>
      <c r="EP104" s="59">
        <f t="shared" si="100"/>
        <v>252.40654099948841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7.5129670298408495</v>
      </c>
      <c r="EW104" s="21">
        <f>EXP(-LN(2)/25)*EW103+(1-EXP(-LN(2)/25))/(LN(2)/25)*Calculateur!ER104*Calculateur!ET104*VLOOKUP('Données projet'!$B$15,Paramètres!$A$1:$I$89,3,0)*0.475*44/12</f>
        <v>13.591839648420338</v>
      </c>
      <c r="EX104" s="21">
        <f>EXP(-LN(2)/2)*EX103+(1-EXP(-LN(2)/2))/(LN(2)/2)*ER104*EU104*VLOOKUP('Données projet'!$B$15,Paramètres!$A$1:$I$89,3,0)*0.475*44/12</f>
        <v>1.2528259800281778</v>
      </c>
      <c r="EY104" s="22">
        <f t="shared" si="75"/>
        <v>22.357632658289365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6.9749999999999996</v>
      </c>
      <c r="N105" s="13">
        <f>IF('Données projet'!$A$36&gt;35,N104+M105-V104,IF(A105&lt;'Données projet'!$A$36,$K$205^A105,IF(A105='Données projet'!$A$36,'Données projet'!$B$36,N104+M105-V104)))</f>
        <v>281.4150000000003</v>
      </c>
      <c r="O105" s="13">
        <f>N105*VLOOKUP('Données projet'!$B$9,Paramètres!$A$1:$I$89,3,0)*VLOOKUP('Données projet'!$B$9,Paramètres!$A$1:$I$89,5,0)</f>
        <v>285.35481000000033</v>
      </c>
      <c r="P105" s="13">
        <f t="shared" si="87"/>
        <v>68.097383501802497</v>
      </c>
      <c r="Q105" s="20">
        <f t="shared" si="107"/>
        <v>615.59590368230658</v>
      </c>
      <c r="R105" s="59">
        <f t="shared" si="55"/>
        <v>908.92923701563996</v>
      </c>
      <c r="S105" s="59">
        <f ca="1">AVERAGE(OFFSET($R$3,0,0,'Données projet'!$E$9+1,1))-AVERAGE(OFFSET($H$3,0,0,'Données projet'!$E$9+1,1))</f>
        <v>543.67050511722618</v>
      </c>
      <c r="T105" s="59">
        <f t="shared" si="88"/>
        <v>249.0871389941106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6.1334331047002504</v>
      </c>
      <c r="AA105" s="21">
        <f>EXP(-LN(2)/25)*AA104+(1-EXP(-LN(2)/25))/(LN(2)/25)*Calculateur!V105*Calculateur!X105*VLOOKUP('Données projet'!$B$9,Paramètres!$A$1:$I$89,3,0)*0.475*44/12</f>
        <v>31.684904883394186</v>
      </c>
      <c r="AB105" s="21">
        <f>EXP(-LN(2)/2)*AB104+(1-EXP(-LN(2)/2))/(LN(2)/2)*V105*Y105*VLOOKUP('Données projet'!$B$9,Paramètres!$A$1:$I$89,3,0)*0.475*44/12</f>
        <v>0.1946194503102113</v>
      </c>
      <c r="AC105" s="22">
        <f t="shared" si="57"/>
        <v>38.012957438404648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8.9420000000000019</v>
      </c>
      <c r="AI105" s="13">
        <f>IF('Données projet'!$A$62&gt;35,AI104+AH105-AQ104,IF(A105&lt;'Données projet'!$A$62,$AF$205^A105,IF(A105='Données projet'!$A$62,'Données projet'!$B$62,AI104+AH105-AQ104)))</f>
        <v>384.31600000000054</v>
      </c>
      <c r="AJ105" s="13">
        <f>AI105*VLOOKUP('Données projet'!$B$10,Paramètres!$A$1:$I$89,3,0)*VLOOKUP('Données projet'!$B$10,Paramètres!$A$1:$I$89,5,0)</f>
        <v>347.7291168000005</v>
      </c>
      <c r="AK105" s="13">
        <f t="shared" si="89"/>
        <v>81.094735802697301</v>
      </c>
      <c r="AL105" s="20">
        <f t="shared" si="58"/>
        <v>746.86820994969855</v>
      </c>
      <c r="AM105" s="59">
        <f t="shared" si="59"/>
        <v>1040.2015432830319</v>
      </c>
      <c r="AN105" s="59">
        <f ca="1">AVERAGE(OFFSET($AM$3,0,0,'Données projet'!$E$10+1,1))-AVERAGE(OFFSET($H$3,0,0,'Données projet'!$E$10+1,1))</f>
        <v>635.71275911100679</v>
      </c>
      <c r="AO105" s="59">
        <f t="shared" si="90"/>
        <v>281.7776857269169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24.081753981573542</v>
      </c>
      <c r="AV105" s="21">
        <f>EXP(-LN(2)/25)*AV104+(1-EXP(-LN(2)/25))/(LN(2)/25)*Calculateur!AQ105*Calculateur!AS105*VLOOKUP('Données projet'!$B$10,Paramètres!$A$1:$I$89,3,0)*0.475*44/12</f>
        <v>22.579717269703753</v>
      </c>
      <c r="AW105" s="21">
        <f>EXP(-LN(2)/2)*AW104+(1-EXP(-LN(2)/2))/(LN(2)/2)*AQ105*AT105*VLOOKUP('Données projet'!$B$10,Paramètres!$A$1:$I$89,3,0)*0.475*44/12</f>
        <v>0.37076252898305184</v>
      </c>
      <c r="AX105" s="21">
        <f t="shared" si="60"/>
        <v>47.032233780260341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204.11804238362862</v>
      </c>
      <c r="BJ105" s="59">
        <f t="shared" si="92"/>
        <v>185.53854651509408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7.126752931441807</v>
      </c>
      <c r="BQ105" s="21">
        <f>EXP(-LN(2)/25)*BQ104+(1-EXP(-LN(2)/25))/(LN(2)/25)*Calculateur!BL105*Calculateur!BN105*VLOOKUP('Données projet'!$B$11,Paramètres!$A$1:$I$89,3,0)*0.475*44/12</f>
        <v>38.270813972112158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45.397566903553965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6.9749999999999996</v>
      </c>
      <c r="BY105" s="12">
        <f>IF('Données projet'!$A$114&gt;35,BY104+BX105-CG104,IF(A105&lt;'Données projet'!$A$114,$BV$205^A105,IF(A105='Données projet'!$A$114,'Données projet'!$B$114,BY104+BX105-CG104)))</f>
        <v>281.4150000000003</v>
      </c>
      <c r="BZ105" s="13">
        <f>BY105*VLOOKUP('Données projet'!$B$12,Paramètres!$A$1:$I$89,3,0)*VLOOKUP('Données projet'!$B$12,Paramètres!$A$1:$I$89,5,0)</f>
        <v>280.96473600000036</v>
      </c>
      <c r="CA105" s="13">
        <f t="shared" si="93"/>
        <v>67.170844500321891</v>
      </c>
      <c r="CB105" s="20">
        <f t="shared" si="64"/>
        <v>606.33613603806123</v>
      </c>
      <c r="CC105" s="59">
        <f t="shared" si="65"/>
        <v>899.6694693713946</v>
      </c>
      <c r="CD105" s="59">
        <f ca="1">AVERAGE(OFFSET($CC$3,0,0,'Données projet'!$E$12+1,1))-AVERAGE(OFFSET($H$3,0,0,'Données projet'!$E$12+1,1))</f>
        <v>535.99935263833549</v>
      </c>
      <c r="CE105" s="59">
        <f t="shared" si="94"/>
        <v>245.89966477332644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4.3136232824265495</v>
      </c>
      <c r="CL105" s="21">
        <f>EXP(-LN(2)/25)*CL104+(1-EXP(-LN(2)/25))/(LN(2)/25)*Calculateur!CG105*Calculateur!CI105*VLOOKUP('Données projet'!$B$12,Paramètres!$A$1:$I$89,3,0)*0.475*44/12</f>
        <v>12.749932292920656</v>
      </c>
      <c r="CM105" s="21">
        <f>EXP(-LN(2)/2)*CM104+(1-EXP(-LN(2)/2))/(LN(2)/2)*CG105*CJ105*VLOOKUP('Données projet'!$B$12,Paramètres!$A$1:$I$89,3,0)*0.475*44/12</f>
        <v>0.46564366623314735</v>
      </c>
      <c r="CN105" s="22">
        <f t="shared" si="66"/>
        <v>17.529199241580354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8.9989999999999952</v>
      </c>
      <c r="CT105" s="12">
        <f>IF('Données projet'!$A$140&gt;35,CT104+CS105-DB104,IF(A105&lt;'Données projet'!$A$140,$CQ$205^A105,IF(A105='Données projet'!$A$140,'Données projet'!$B$140,CT104+CS105-DB104)))</f>
        <v>362.40100000000007</v>
      </c>
      <c r="CU105" s="17">
        <f>CT105*VLOOKUP('Données projet'!$B$13,Paramètres!$A$1:$I$89,3,0)*VLOOKUP('Données projet'!$B$13,Paramètres!$A$1:$I$89,5,0)</f>
        <v>344.86079160000008</v>
      </c>
      <c r="CV105" s="13">
        <f t="shared" si="95"/>
        <v>80.503385547683365</v>
      </c>
      <c r="CW105" s="20">
        <f t="shared" si="67"/>
        <v>740.84260853221531</v>
      </c>
      <c r="CX105" s="59">
        <f t="shared" si="68"/>
        <v>1034.1759418655486</v>
      </c>
      <c r="CY105" s="59">
        <f ca="1">AVERAGE(OFFSET($CX$3,0,0,'Données projet'!$E$13+1,1))-AVERAGE(OFFSET($H$3,0,0,'Données projet'!$E$13+1,1))</f>
        <v>449.28947235329758</v>
      </c>
      <c r="CZ105" s="59">
        <f t="shared" si="96"/>
        <v>289.36994109443964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19.43508527883667</v>
      </c>
      <c r="DG105" s="21">
        <f>EXP(-LN(2)/25)*DG104+(1-EXP(-LN(2)/25))/(LN(2)/25)*Calculateur!DB105*Calculateur!DD105*VLOOKUP('Données projet'!$B$13,Paramètres!$A$1:$I$89,3,0)*0.475*44/12</f>
        <v>18.39392912357728</v>
      </c>
      <c r="DH105" s="21">
        <f>EXP(-LN(2)/2)*DH104+(1-EXP(-LN(2)/2))/(LN(2)/2)*DB105*DE105*VLOOKUP('Données projet'!$B$13,Paramètres!$A$1:$I$89,3,0)*0.475*44/12</f>
        <v>0.68559850274069034</v>
      </c>
      <c r="DI105" s="22">
        <f t="shared" si="69"/>
        <v>38.514612905154635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5.6843418860808015E-14</v>
      </c>
      <c r="DP105" s="17">
        <f>DO105*VLOOKUP('Données projet'!$B$14,Paramètres!$A$1:$I$89,3,0)*VLOOKUP('Données projet'!$B$14,Paramètres!$A$1:$I$89,5,0)</f>
        <v>4.4337866711430253E-14</v>
      </c>
      <c r="DQ105" s="13">
        <f t="shared" si="97"/>
        <v>7.3222115536967035E-13</v>
      </c>
      <c r="DR105" s="20">
        <f t="shared" si="70"/>
        <v>1.3525069634579169E-12</v>
      </c>
      <c r="DS105" s="59">
        <f t="shared" si="71"/>
        <v>293.33333333333468</v>
      </c>
      <c r="DT105" s="59">
        <f ca="1">AVERAGE(OFFSET($DS$3,0,0,'Données projet'!$E$14+1,1))-AVERAGE(OFFSET($H$3,0,0,'Données projet'!$E$14+1,1))</f>
        <v>288.82868507674738</v>
      </c>
      <c r="DU105" s="59">
        <f t="shared" si="98"/>
        <v>283.48738729114024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22.367931959764892</v>
      </c>
      <c r="EB105" s="21">
        <f>EXP(-LN(2)/25)*EB104+(1-EXP(-LN(2)/25))/(LN(2)/25)*Calculateur!DW105*Calculateur!DY105*VLOOKUP('Données projet'!$B$14,Paramètres!$A$1:$I$89,3,0)*0.475*44/12</f>
        <v>16.956719499218252</v>
      </c>
      <c r="EC105" s="21">
        <f>EXP(-LN(2)/2)*EC104+(1-EXP(-LN(2)/2))/(LN(2)/2)*DW105*DZ105*VLOOKUP('Données projet'!$B$14,Paramètres!$A$1:$I$89,3,0)*0.475*44/12</f>
        <v>6.5553275923085734E-4</v>
      </c>
      <c r="ED105" s="22">
        <f t="shared" si="72"/>
        <v>39.325306991742373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6.7777777777777777</v>
      </c>
      <c r="EJ105" s="12">
        <f>IF('Données projet'!$A$192&gt;35,EJ104+EI105-ER104,IF(A105&lt;'Données projet'!$A$192,$EG$205^A105,IF(A105='Données projet'!$A$192,'Données projet'!$B$192,EJ104+EI105-ER104)))</f>
        <v>257.81444444444429</v>
      </c>
      <c r="EK105" s="17">
        <f>EJ105*VLOOKUP('Données projet'!$B$15,Paramètres!$A$1:$I$89,3,0)*VLOOKUP('Données projet'!$B$15,Paramètres!$A$1:$I$89,5,0)</f>
        <v>249.35813066666651</v>
      </c>
      <c r="EL105" s="13">
        <f t="shared" si="99"/>
        <v>60.44847363724665</v>
      </c>
      <c r="EM105" s="20">
        <f t="shared" si="73"/>
        <v>539.57983582931536</v>
      </c>
      <c r="EN105" s="59">
        <f t="shared" si="74"/>
        <v>832.91316916264873</v>
      </c>
      <c r="EO105" s="59">
        <f ca="1">AVERAGE(OFFSET($EN$3,0,0,'Données projet'!$E$15+1,1))-AVERAGE(OFFSET($H$3,0,0,'Données projet'!$E$15+1,1))</f>
        <v>510.71380643466227</v>
      </c>
      <c r="EP105" s="59">
        <f t="shared" si="100"/>
        <v>252.40654099948841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7.3656423288430783</v>
      </c>
      <c r="EW105" s="21">
        <f>EXP(-LN(2)/25)*EW104+(1-EXP(-LN(2)/25))/(LN(2)/25)*Calculateur!ER105*Calculateur!ET105*VLOOKUP('Données projet'!$B$15,Paramètres!$A$1:$I$89,3,0)*0.475*44/12</f>
        <v>13.220170078470501</v>
      </c>
      <c r="EX105" s="21">
        <f>EXP(-LN(2)/2)*EX104+(1-EXP(-LN(2)/2))/(LN(2)/2)*ER105*EU105*VLOOKUP('Données projet'!$B$15,Paramètres!$A$1:$I$89,3,0)*0.475*44/12</f>
        <v>0.88588174612460668</v>
      </c>
      <c r="EY105" s="22">
        <f t="shared" si="75"/>
        <v>21.471694153438186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>
        <f>VLOOKUP(A106,'Données projet'!$A$35:$I$55,2,0)</f>
        <v>288.39</v>
      </c>
      <c r="L106" s="12">
        <f>VLOOKUP(A106,'Données projet'!$A$35:$I$55,9,0)</f>
        <v>6.9749999999999996</v>
      </c>
      <c r="M106" s="12">
        <f t="array" ref="M106">INDEX(L:L,MIN(IF(ISNUMBER(L106:L302),ROW(L106:L302),"")))</f>
        <v>6.9749999999999996</v>
      </c>
      <c r="N106" s="13">
        <f>IF('Données projet'!$A$36&gt;35,N105+M106-V105,IF(A106&lt;'Données projet'!$A$36,$K$205^A106,IF(A106='Données projet'!$A$36,'Données projet'!$B$36,N105+M106-V105)))</f>
        <v>288.39000000000033</v>
      </c>
      <c r="O106" s="13">
        <f>N106*VLOOKUP('Données projet'!$B$9,Paramètres!$A$1:$I$89,3,0)*VLOOKUP('Données projet'!$B$9,Paramètres!$A$1:$I$89,5,0)</f>
        <v>292.42746000000034</v>
      </c>
      <c r="P106" s="13">
        <f t="shared" si="87"/>
        <v>69.586613877353358</v>
      </c>
      <c r="Q106" s="20">
        <f t="shared" si="107"/>
        <v>630.50784533639091</v>
      </c>
      <c r="R106" s="59">
        <f t="shared" si="55"/>
        <v>923.84117866972429</v>
      </c>
      <c r="S106" s="59">
        <f ca="1">AVERAGE(OFFSET($R$3,0,0,'Données projet'!$E$9+1,1))-AVERAGE(OFFSET($H$3,0,0,'Données projet'!$E$9+1,1))</f>
        <v>543.67050511722618</v>
      </c>
      <c r="T106" s="59">
        <f t="shared" si="88"/>
        <v>249.0871389941106</v>
      </c>
      <c r="U106" s="15">
        <f>IF(ISNA(VLOOKUP(A106,'Données projet'!$A$35:$I$55,3,0)),0,VLOOKUP(A106,'Données projet'!$A$35:$I$55,3,0))</f>
        <v>7</v>
      </c>
      <c r="V106" s="15">
        <f>IF(ISNA(VLOOKUP(A106,'Données projet'!$A$35:$I$55,4,0)),0,VLOOKUP(A106,'Données projet'!$A$35:$I$55,4,0))</f>
        <v>48.569999999999993</v>
      </c>
      <c r="W106" s="16">
        <f>IF(ISNA(VLOOKUP(A106,'Données projet'!$A$35:$I$55,5,0)),0%,VLOOKUP(A106,'Données projet'!$A$35:$I$55,5,0)*VLOOKUP('Données projet'!$B$9,Paramètres!$A$1:$I$89,7,0))</f>
        <v>0.15049999999999999</v>
      </c>
      <c r="X106" s="16">
        <f>IF(ISNA(VLOOKUP(A106,'Données projet'!$A$35:$I$55,6,0)),0%,VLOOKUP(A106,'Données projet'!$A$35:$I$55,6,0)*VLOOKUP('Données projet'!$B$9,Paramètres!$A$1:$I$89,7,0))</f>
        <v>8.6000000000000007E-2</v>
      </c>
      <c r="Y106" s="16">
        <f>IF(ISNA(VLOOKUP(A106,'Données projet'!$A$35:$I$55,7,0)),0%,VLOOKUP(A106,'Données projet'!$A$35:$I$55,7,0))</f>
        <v>0.1</v>
      </c>
      <c r="Z106" s="21">
        <f>EXP(-LN(2)/35)*Z105+(1-EXP(-LN(2)/35))/(LN(2)/35)*V106*W106*VLOOKUP('Données projet'!$B$9,Paramètres!$A$1:$I$89,3,0)*0.475*44/12</f>
        <v>14.207041531971701</v>
      </c>
      <c r="AA106" s="21">
        <f>EXP(-LN(2)/25)*AA105+(1-EXP(-LN(2)/25))/(LN(2)/25)*Calculateur!V106*Calculateur!X106*VLOOKUP('Données projet'!$B$9,Paramètres!$A$1:$I$89,3,0)*0.475*44/12</f>
        <v>35.482261708321637</v>
      </c>
      <c r="AB106" s="21">
        <f>EXP(-LN(2)/2)*AB105+(1-EXP(-LN(2)/2))/(LN(2)/2)*V106*Y106*VLOOKUP('Données projet'!$B$9,Paramètres!$A$1:$I$89,3,0)*0.475*44/12</f>
        <v>4.7844849004428553</v>
      </c>
      <c r="AC106" s="22">
        <f t="shared" si="57"/>
        <v>54.473788140736197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8.9420000000000019</v>
      </c>
      <c r="AI106" s="13">
        <f>IF('Données projet'!$A$62&gt;35,AI105+AH106-AQ105,IF(A106&lt;'Données projet'!$A$62,$AF$205^A106,IF(A106='Données projet'!$A$62,'Données projet'!$B$62,AI105+AH106-AQ105)))</f>
        <v>393.25800000000055</v>
      </c>
      <c r="AJ106" s="13">
        <f>AI106*VLOOKUP('Données projet'!$B$10,Paramètres!$A$1:$I$89,3,0)*VLOOKUP('Données projet'!$B$10,Paramètres!$A$1:$I$89,5,0)</f>
        <v>355.81983840000049</v>
      </c>
      <c r="AK106" s="13">
        <f t="shared" si="89"/>
        <v>82.759723795307863</v>
      </c>
      <c r="AL106" s="20">
        <f t="shared" si="58"/>
        <v>763.85940415682887</v>
      </c>
      <c r="AM106" s="59">
        <f t="shared" si="59"/>
        <v>1057.1927374901622</v>
      </c>
      <c r="AN106" s="59">
        <f ca="1">AVERAGE(OFFSET($AM$3,0,0,'Données projet'!$E$10+1,1))-AVERAGE(OFFSET($H$3,0,0,'Données projet'!$E$10+1,1))</f>
        <v>635.71275911100679</v>
      </c>
      <c r="AO106" s="59">
        <f t="shared" si="90"/>
        <v>281.7776857269169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23.60952547441445</v>
      </c>
      <c r="AV106" s="21">
        <f>EXP(-LN(2)/25)*AV105+(1-EXP(-LN(2)/25))/(LN(2)/25)*Calculateur!AQ106*Calculateur!AS106*VLOOKUP('Données projet'!$B$10,Paramètres!$A$1:$I$89,3,0)*0.475*44/12</f>
        <v>21.96227371354798</v>
      </c>
      <c r="AW106" s="21">
        <f>EXP(-LN(2)/2)*AW105+(1-EXP(-LN(2)/2))/(LN(2)/2)*AQ106*AT106*VLOOKUP('Données projet'!$B$10,Paramètres!$A$1:$I$89,3,0)*0.475*44/12</f>
        <v>0.26216869845378982</v>
      </c>
      <c r="AX106" s="21">
        <f t="shared" si="60"/>
        <v>45.833967886416218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204.11804238362862</v>
      </c>
      <c r="BJ106" s="59">
        <f t="shared" si="92"/>
        <v>185.53854651509408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6.9870016533463017</v>
      </c>
      <c r="BQ106" s="21">
        <f>EXP(-LN(2)/25)*BQ105+(1-EXP(-LN(2)/25))/(LN(2)/25)*Calculateur!BL106*Calculateur!BN106*VLOOKUP('Données projet'!$B$11,Paramètres!$A$1:$I$89,3,0)*0.475*44/12</f>
        <v>37.224296551470111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44.211298204816416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>
        <f>VLOOKUP(A106,'Données projet'!$A$113:$I$133,2,0)</f>
        <v>288.39</v>
      </c>
      <c r="BW106" s="12">
        <f>VLOOKUP(A106,'Données projet'!$A$113:$I$133,9,0)</f>
        <v>6.9749999999999996</v>
      </c>
      <c r="BX106" s="12">
        <f t="array" ref="BX106">INDEX(BW:BW,MIN(IF(ISNUMBER(BW106:BW302),ROW(BW106:BW302),"")))</f>
        <v>6.9749999999999996</v>
      </c>
      <c r="BY106" s="12">
        <f>IF('Données projet'!$A$114&gt;35,BY105+BX106-CG105,IF(A106&lt;'Données projet'!$A$114,$BV$205^A106,IF(A106='Données projet'!$A$114,'Données projet'!$B$114,BY105+BX106-CG105)))</f>
        <v>288.39000000000033</v>
      </c>
      <c r="BZ106" s="13">
        <f>BY106*VLOOKUP('Données projet'!$B$12,Paramètres!$A$1:$I$89,3,0)*VLOOKUP('Données projet'!$B$12,Paramètres!$A$1:$I$89,5,0)</f>
        <v>287.92857600000031</v>
      </c>
      <c r="CA106" s="13">
        <f t="shared" si="93"/>
        <v>68.639812276134236</v>
      </c>
      <c r="CB106" s="20">
        <f t="shared" si="64"/>
        <v>621.02327624760107</v>
      </c>
      <c r="CC106" s="59">
        <f t="shared" si="65"/>
        <v>914.35660958093445</v>
      </c>
      <c r="CD106" s="59">
        <f ca="1">AVERAGE(OFFSET($CC$3,0,0,'Données projet'!$E$12+1,1))-AVERAGE(OFFSET($H$3,0,0,'Données projet'!$E$12+1,1))</f>
        <v>535.99935263833549</v>
      </c>
      <c r="CE106" s="59">
        <f t="shared" si="94"/>
        <v>245.89966477332644</v>
      </c>
      <c r="CF106" s="15">
        <f>IF(ISNA(VLOOKUP(A106,'Données projet'!$A$113:$I$133,3,0)),0,VLOOKUP(A106,'Données projet'!$A$113:$I$133,3,0))</f>
        <v>7</v>
      </c>
      <c r="CG106" s="15">
        <f>IF(ISNA(VLOOKUP(A106,'Données projet'!$A$113:$I$133,4,0)),0,VLOOKUP(A106,'Données projet'!$A$113:$I$133,4,0))</f>
        <v>48.569999999999993</v>
      </c>
      <c r="CH106" s="16">
        <f>IF(ISNA(VLOOKUP(A106,'Données projet'!$A$113:$I$133,5,0)),0%,VLOOKUP(A106,'Données projet'!$A$113:$I$133,5,0)*VLOOKUP('Données projet'!$B$12,Paramètres!$A$1:$I$89,7,0))</f>
        <v>0.1075</v>
      </c>
      <c r="CI106" s="16">
        <f>IF(ISNA(VLOOKUP(A106,'Données projet'!$A$113:$I$133,6,0)),0%,VLOOKUP(A106,'Données projet'!$A$113:$I$133,6,0)*VLOOKUP('Données projet'!$B$12,Paramètres!$A$1:$I$89,7,0))</f>
        <v>0.1075</v>
      </c>
      <c r="CJ106" s="16">
        <f>IF(ISNA(VLOOKUP(A106,'Données projet'!$A$113:$I$133,7,0)),0%,VLOOKUP(A106,'Données projet'!$A$113:$I$133,7,0))</f>
        <v>0.25</v>
      </c>
      <c r="CK106" s="21">
        <f>EXP(-LN(2)/35)*CK105+(1-EXP(-LN(2)/35))/(LN(2)/35)*CG106*CH106*VLOOKUP('Données projet'!$B$12,Paramètres!$A$1:$I$89,3,0)*0.475*44/12</f>
        <v>9.9917654730350414</v>
      </c>
      <c r="CL106" s="21">
        <f>EXP(-LN(2)/25)*CL105+(1-EXP(-LN(2)/25))/(LN(2)/25)*Calculateur!CG106*Calculateur!CI106*VLOOKUP('Données projet'!$B$12,Paramètres!$A$1:$I$89,3,0)*0.475*44/12</f>
        <v>18.141324373358604</v>
      </c>
      <c r="CM106" s="21">
        <f>EXP(-LN(2)/2)*CM105+(1-EXP(-LN(2)/2))/(LN(2)/2)*CG106*CJ106*VLOOKUP('Données projet'!$B$12,Paramètres!$A$1:$I$89,3,0)*0.475*44/12</f>
        <v>11.767704513708996</v>
      </c>
      <c r="CN106" s="22">
        <f t="shared" si="66"/>
        <v>39.900794360102637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>
        <f>VLOOKUP(A106,'Données projet'!$A$139:$I$159,2,0)</f>
        <v>371.4</v>
      </c>
      <c r="CR106" s="12">
        <f>VLOOKUP(A106,'Données projet'!$A$139:$I$159,9,0)</f>
        <v>8.9989999999999952</v>
      </c>
      <c r="CS106" s="12">
        <f t="array" ref="CS106">INDEX(CR:CR,MIN(IF(ISNUMBER(CR106:CR302),ROW(CR106:CR302),"")))</f>
        <v>8.9989999999999952</v>
      </c>
      <c r="CT106" s="12">
        <f>IF('Données projet'!$A$140&gt;35,CT105+CS106-DB105,IF(A106&lt;'Données projet'!$A$140,$CQ$205^A106,IF(A106='Données projet'!$A$140,'Données projet'!$B$140,CT105+CS106-DB105)))</f>
        <v>371.40000000000009</v>
      </c>
      <c r="CU106" s="17">
        <f>CT106*VLOOKUP('Données projet'!$B$13,Paramètres!$A$1:$I$89,3,0)*VLOOKUP('Données projet'!$B$13,Paramètres!$A$1:$I$89,5,0)</f>
        <v>353.42424000000011</v>
      </c>
      <c r="CV106" s="13">
        <f t="shared" si="95"/>
        <v>82.267197792875848</v>
      </c>
      <c r="CW106" s="20">
        <f t="shared" si="67"/>
        <v>758.82925415592547</v>
      </c>
      <c r="CX106" s="59">
        <f t="shared" si="68"/>
        <v>1052.1625874892588</v>
      </c>
      <c r="CY106" s="59">
        <f ca="1">AVERAGE(OFFSET($CX$3,0,0,'Données projet'!$E$13+1,1))-AVERAGE(OFFSET($H$3,0,0,'Données projet'!$E$13+1,1))</f>
        <v>449.28947235329758</v>
      </c>
      <c r="CZ106" s="59">
        <f t="shared" si="96"/>
        <v>289.36994109443964</v>
      </c>
      <c r="DA106" s="15">
        <f>IF(ISNA(VLOOKUP(A106,'Données projet'!$A$139:$I$159,3,0)),0,VLOOKUP(A106,'Données projet'!$A$139:$I$159,3,0))</f>
        <v>9</v>
      </c>
      <c r="DB106" s="15">
        <f>IF(ISNA(VLOOKUP(A106,'Données projet'!$A$139:$I$159,4,0)),0,VLOOKUP(A106,'Données projet'!$A$139:$I$159,4,0))</f>
        <v>67.759999999999991</v>
      </c>
      <c r="DC106" s="16">
        <f>IF(ISNA(VLOOKUP(A106,'Données projet'!$A$139:$I$159,5,0)),0%,VLOOKUP(A106,'Données projet'!$A$139:$I$159,5,0)*VLOOKUP('Données projet'!$B$13,Paramètres!$A$1:$I$89,7,0))</f>
        <v>0.1075</v>
      </c>
      <c r="DD106" s="16">
        <f>IF(ISNA(VLOOKUP(A106,'Données projet'!$A$139:$I$159,6,0)),0%,VLOOKUP(A106,'Données projet'!$A$139:$I$159,6,0)*VLOOKUP('Données projet'!$B$13,Paramètres!$A$1:$I$89,7,0))</f>
        <v>0.1075</v>
      </c>
      <c r="DE106" s="16">
        <f>IF(ISNA(VLOOKUP(A106,'Données projet'!$A$139:$I$159,7,0)),0%,VLOOKUP(A106,'Données projet'!$A$139:$I$159,7,0))</f>
        <v>0.25</v>
      </c>
      <c r="DF106" s="21">
        <f>EXP(-LN(2)/35)*DF105+(1-EXP(-LN(2)/35))/(LN(2)/35)*DB106*DC106*VLOOKUP('Données projet'!$B$13,Paramètres!$A$1:$I$89,3,0)*0.475*44/12</f>
        <v>26.716703030156165</v>
      </c>
      <c r="DG106" s="21">
        <f>EXP(-LN(2)/25)*DG105+(1-EXP(-LN(2)/25))/(LN(2)/25)*Calculateur!DB106*Calculateur!DD106*VLOOKUP('Données projet'!$B$13,Paramètres!$A$1:$I$89,3,0)*0.475*44/12</f>
        <v>25.523503004257396</v>
      </c>
      <c r="DH106" s="21">
        <f>EXP(-LN(2)/2)*DH105+(1-EXP(-LN(2)/2))/(LN(2)/2)*DB106*DE106*VLOOKUP('Données projet'!$B$13,Paramètres!$A$1:$I$89,3,0)*0.475*44/12</f>
        <v>15.69454334069726</v>
      </c>
      <c r="DI106" s="22">
        <f t="shared" si="69"/>
        <v>67.934749375110826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5.6843418860808015E-14</v>
      </c>
      <c r="DP106" s="17">
        <f>DO106*VLOOKUP('Données projet'!$B$14,Paramètres!$A$1:$I$89,3,0)*VLOOKUP('Données projet'!$B$14,Paramètres!$A$1:$I$89,5,0)</f>
        <v>4.4337866711430253E-14</v>
      </c>
      <c r="DQ106" s="13">
        <f t="shared" si="97"/>
        <v>7.3222115536967035E-13</v>
      </c>
      <c r="DR106" s="20">
        <f t="shared" si="70"/>
        <v>1.3525069634579169E-12</v>
      </c>
      <c r="DS106" s="59">
        <f t="shared" si="71"/>
        <v>293.33333333333468</v>
      </c>
      <c r="DT106" s="59">
        <f ca="1">AVERAGE(OFFSET($DS$3,0,0,'Données projet'!$E$14+1,1))-AVERAGE(OFFSET($H$3,0,0,'Données projet'!$E$14+1,1))</f>
        <v>288.82868507674738</v>
      </c>
      <c r="DU106" s="59">
        <f t="shared" si="98"/>
        <v>283.48738729114024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21.929310457125254</v>
      </c>
      <c r="EB106" s="21">
        <f>EXP(-LN(2)/25)*EB105+(1-EXP(-LN(2)/25))/(LN(2)/25)*Calculateur!DW106*Calculateur!DY106*VLOOKUP('Données projet'!$B$14,Paramètres!$A$1:$I$89,3,0)*0.475*44/12</f>
        <v>16.493037112797005</v>
      </c>
      <c r="EC106" s="21">
        <f>EXP(-LN(2)/2)*EC105+(1-EXP(-LN(2)/2))/(LN(2)/2)*DW106*DZ106*VLOOKUP('Données projet'!$B$14,Paramètres!$A$1:$I$89,3,0)*0.475*44/12</f>
        <v>4.6353165934206759E-4</v>
      </c>
      <c r="ED106" s="22">
        <f t="shared" si="72"/>
        <v>38.422811101581601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6.7777777777777777</v>
      </c>
      <c r="EJ106" s="12">
        <f>IF('Données projet'!$A$192&gt;35,EJ105+EI106-ER105,IF(A106&lt;'Données projet'!$A$192,$EG$205^A106,IF(A106='Données projet'!$A$192,'Données projet'!$B$192,EJ105+EI106-ER105)))</f>
        <v>264.59222222222206</v>
      </c>
      <c r="EK106" s="17">
        <f>EJ106*VLOOKUP('Données projet'!$B$15,Paramètres!$A$1:$I$89,3,0)*VLOOKUP('Données projet'!$B$15,Paramètres!$A$1:$I$89,5,0)</f>
        <v>255.91359733333317</v>
      </c>
      <c r="EL106" s="13">
        <f t="shared" si="99"/>
        <v>61.850520566504819</v>
      </c>
      <c r="EM106" s="20">
        <f t="shared" si="73"/>
        <v>553.43917200888438</v>
      </c>
      <c r="EN106" s="59">
        <f t="shared" si="74"/>
        <v>846.77250534221776</v>
      </c>
      <c r="EO106" s="59">
        <f ca="1">AVERAGE(OFFSET($EN$3,0,0,'Données projet'!$E$15+1,1))-AVERAGE(OFFSET($H$3,0,0,'Données projet'!$E$15+1,1))</f>
        <v>510.71380643466227</v>
      </c>
      <c r="EP106" s="59">
        <f t="shared" si="100"/>
        <v>252.40654099948841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7.2212065753726788</v>
      </c>
      <c r="EW106" s="21">
        <f>EXP(-LN(2)/25)*EW105+(1-EXP(-LN(2)/25))/(LN(2)/25)*Calculateur!ER106*Calculateur!ET106*VLOOKUP('Données projet'!$B$15,Paramètres!$A$1:$I$89,3,0)*0.475*44/12</f>
        <v>12.858663832456196</v>
      </c>
      <c r="EX106" s="21">
        <f>EXP(-LN(2)/2)*EX105+(1-EXP(-LN(2)/2))/(LN(2)/2)*ER106*EU106*VLOOKUP('Données projet'!$B$15,Paramètres!$A$1:$I$89,3,0)*0.475*44/12</f>
        <v>0.6264129900140889</v>
      </c>
      <c r="EY106" s="22">
        <f t="shared" si="75"/>
        <v>20.706283397842963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7</v>
      </c>
      <c r="N107" s="13">
        <f>IF('Données projet'!$A$36&gt;35,N106+M107-V106,IF(A107&lt;'Données projet'!$A$36,$K$205^A107,IF(A107='Données projet'!$A$36,'Données projet'!$B$36,N106+M107-V106)))</f>
        <v>246.82000000000033</v>
      </c>
      <c r="O107" s="13">
        <f>N107*VLOOKUP('Données projet'!$B$9,Paramètres!$A$1:$I$89,3,0)*VLOOKUP('Données projet'!$B$9,Paramètres!$A$1:$I$89,5,0)</f>
        <v>250.27548000000036</v>
      </c>
      <c r="P107" s="13">
        <f t="shared" si="87"/>
        <v>60.644926966616843</v>
      </c>
      <c r="Q107" s="20">
        <f t="shared" si="107"/>
        <v>541.51970880019155</v>
      </c>
      <c r="R107" s="59">
        <f t="shared" si="55"/>
        <v>834.85304213352492</v>
      </c>
      <c r="S107" s="59">
        <f ca="1">AVERAGE(OFFSET($R$3,0,0,'Données projet'!$E$9+1,1))-AVERAGE(OFFSET($H$3,0,0,'Données projet'!$E$9+1,1))</f>
        <v>543.67050511722618</v>
      </c>
      <c r="T107" s="59">
        <f t="shared" si="88"/>
        <v>249.0871389941106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13.928450112969429</v>
      </c>
      <c r="AA107" s="21">
        <f>EXP(-LN(2)/25)*AA106+(1-EXP(-LN(2)/25))/(LN(2)/25)*Calculateur!V107*Calculateur!X107*VLOOKUP('Données projet'!$B$9,Paramètres!$A$1:$I$89,3,0)*0.475*44/12</f>
        <v>34.511997395976536</v>
      </c>
      <c r="AB107" s="21">
        <f>EXP(-LN(2)/2)*AB106+(1-EXP(-LN(2)/2))/(LN(2)/2)*V107*Y107*VLOOKUP('Données projet'!$B$9,Paramètres!$A$1:$I$89,3,0)*0.475*44/12</f>
        <v>3.3831417175877871</v>
      </c>
      <c r="AC107" s="22">
        <f t="shared" si="57"/>
        <v>51.823589226533755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8.9420000000000019</v>
      </c>
      <c r="AH107" s="12">
        <f t="array" ref="AH107">INDEX(AG:AG,MIN(IF(ISNUMBER(AG107:AG303),ROW(AG107:AG303),"")))</f>
        <v>8.9420000000000019</v>
      </c>
      <c r="AI107" s="13">
        <f>IF('Données projet'!$A$62&gt;35,AI106+AH107-AQ106,IF(A107&lt;'Données projet'!$A$62,$AF$205^A107,IF(A107='Données projet'!$A$62,'Données projet'!$B$62,AI106+AH107-AQ106)))</f>
        <v>402.20000000000056</v>
      </c>
      <c r="AJ107" s="13">
        <f>AI107*VLOOKUP('Données projet'!$B$10,Paramètres!$A$1:$I$89,3,0)*VLOOKUP('Données projet'!$B$10,Paramètres!$A$1:$I$89,5,0)</f>
        <v>363.91056000000049</v>
      </c>
      <c r="AK107" s="13">
        <f t="shared" si="89"/>
        <v>84.42031043556446</v>
      </c>
      <c r="AL107" s="20">
        <f t="shared" si="58"/>
        <v>780.84293267527562</v>
      </c>
      <c r="AM107" s="59">
        <f t="shared" si="59"/>
        <v>1074.176266008609</v>
      </c>
      <c r="AN107" s="59">
        <f ca="1">AVERAGE(OFFSET($AM$3,0,0,'Données projet'!$E$10+1,1))-AVERAGE(OFFSET($H$3,0,0,'Données projet'!$E$10+1,1))</f>
        <v>635.71275911100679</v>
      </c>
      <c r="AO107" s="59">
        <f t="shared" si="90"/>
        <v>281.7776857269169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66.089999999999975</v>
      </c>
      <c r="AR107" s="16">
        <f>IF(ISNA(VLOOKUP(A107,'Données projet'!$A$61:$I$81,5,0)),0%,VLOOKUP(A107,'Données projet'!$A$61:$I$81,5,0)*VLOOKUP('Données projet'!$B$10,Paramètres!$A$1:$I$89,7,0))</f>
        <v>0.15049999999999999</v>
      </c>
      <c r="AS107" s="16">
        <f>IF(ISNA(VLOOKUP(A107,'Données projet'!$A$61:$I$81,6,0)),0%,VLOOKUP(A107,'Données projet'!$A$61:$I$81,6,0)*VLOOKUP('Données projet'!$B$10,Paramètres!$A$1:$I$89,7,0))</f>
        <v>8.6000000000000007E-2</v>
      </c>
      <c r="AT107" s="16">
        <f>IF(ISNA(VLOOKUP(A107,'Données projet'!$A$61:$I$81,7,0)),0%,VLOOKUP(A107,'Données projet'!$A$61:$I$81,7,0))</f>
        <v>0.1</v>
      </c>
      <c r="AU107" s="21">
        <f>EXP(-LN(2)/35)*AU106+(1-EXP(-LN(2)/35))/(LN(2)/35)*AQ107*AR107*VLOOKUP('Données projet'!$B$10,Paramètres!$A$1:$I$89,3,0)*0.475*44/12</f>
        <v>33.09538580102793</v>
      </c>
      <c r="AV107" s="21">
        <f>EXP(-LN(2)/25)*AV106+(1-EXP(-LN(2)/25))/(LN(2)/25)*Calculateur!AQ107*Calculateur!AS107*VLOOKUP('Données projet'!$B$10,Paramètres!$A$1:$I$89,3,0)*0.475*44/12</f>
        <v>27.024374978935796</v>
      </c>
      <c r="AW107" s="21">
        <f>EXP(-LN(2)/2)*AW106+(1-EXP(-LN(2)/2))/(LN(2)/2)*AQ107*AT107*VLOOKUP('Données projet'!$B$10,Paramètres!$A$1:$I$89,3,0)*0.475*44/12</f>
        <v>5.8275053982732432</v>
      </c>
      <c r="AX107" s="21">
        <f t="shared" si="60"/>
        <v>65.947266178236973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204.11804238362862</v>
      </c>
      <c r="BJ107" s="59">
        <f t="shared" si="92"/>
        <v>185.53854651509408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6.8499908125743865</v>
      </c>
      <c r="BQ107" s="21">
        <f>EXP(-LN(2)/25)*BQ106+(1-EXP(-LN(2)/25))/(LN(2)/25)*Calculateur!BL107*Calculateur!BN107*VLOOKUP('Données projet'!$B$11,Paramètres!$A$1:$I$89,3,0)*0.475*44/12</f>
        <v>36.206396204729479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43.056387017303862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7</v>
      </c>
      <c r="BY107" s="12">
        <f>IF('Données projet'!$A$114&gt;35,BY106+BX107-CG106,IF(A107&lt;'Données projet'!$A$114,$BV$205^A107,IF(A107='Données projet'!$A$114,'Données projet'!$B$114,BY106+BX107-CG106)))</f>
        <v>246.82000000000033</v>
      </c>
      <c r="BZ107" s="13">
        <f>BY107*VLOOKUP('Données projet'!$B$12,Paramètres!$A$1:$I$89,3,0)*VLOOKUP('Données projet'!$B$12,Paramètres!$A$1:$I$89,5,0)</f>
        <v>246.42508800000036</v>
      </c>
      <c r="CA107" s="13">
        <f t="shared" si="93"/>
        <v>59.819786745553536</v>
      </c>
      <c r="CB107" s="20">
        <f t="shared" si="64"/>
        <v>533.3764901818397</v>
      </c>
      <c r="CC107" s="59">
        <f t="shared" si="65"/>
        <v>826.70982351517296</v>
      </c>
      <c r="CD107" s="59">
        <f ca="1">AVERAGE(OFFSET($CC$3,0,0,'Données projet'!$E$12+1,1))-AVERAGE(OFFSET($H$3,0,0,'Données projet'!$E$12+1,1))</f>
        <v>535.99935263833549</v>
      </c>
      <c r="CE107" s="59">
        <f t="shared" si="94"/>
        <v>245.89966477332644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9.7958330464839936</v>
      </c>
      <c r="CL107" s="21">
        <f>EXP(-LN(2)/25)*CL106+(1-EXP(-LN(2)/25))/(LN(2)/25)*Calculateur!CG107*Calculateur!CI107*VLOOKUP('Données projet'!$B$12,Paramètres!$A$1:$I$89,3,0)*0.475*44/12</f>
        <v>17.645248904358326</v>
      </c>
      <c r="CM107" s="21">
        <f>EXP(-LN(2)/2)*CM106+(1-EXP(-LN(2)/2))/(LN(2)/2)*CG107*CJ107*VLOOKUP('Données projet'!$B$12,Paramètres!$A$1:$I$89,3,0)*0.475*44/12</f>
        <v>8.3210236606431742</v>
      </c>
      <c r="CN107" s="22">
        <f t="shared" si="66"/>
        <v>35.762105611485495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8.7540000000000013</v>
      </c>
      <c r="CT107" s="12">
        <f>IF('Données projet'!$A$140&gt;35,CT106+CS107-DB106,IF(A107&lt;'Données projet'!$A$140,$CQ$205^A107,IF(A107='Données projet'!$A$140,'Données projet'!$B$140,CT106+CS107-DB106)))</f>
        <v>312.39400000000012</v>
      </c>
      <c r="CU107" s="17">
        <f>CT107*VLOOKUP('Données projet'!$B$13,Paramètres!$A$1:$I$89,3,0)*VLOOKUP('Données projet'!$B$13,Paramètres!$A$1:$I$89,5,0)</f>
        <v>297.27413040000016</v>
      </c>
      <c r="CV107" s="13">
        <f t="shared" si="95"/>
        <v>70.604713287138281</v>
      </c>
      <c r="CW107" s="20">
        <f t="shared" si="67"/>
        <v>640.72231942176609</v>
      </c>
      <c r="CX107" s="59">
        <f t="shared" si="68"/>
        <v>934.05565275509935</v>
      </c>
      <c r="CY107" s="59">
        <f ca="1">AVERAGE(OFFSET($CX$3,0,0,'Données projet'!$E$13+1,1))-AVERAGE(OFFSET($H$3,0,0,'Données projet'!$E$13+1,1))</f>
        <v>449.28947235329758</v>
      </c>
      <c r="CZ107" s="59">
        <f t="shared" si="96"/>
        <v>289.36994109443964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26.192804779314596</v>
      </c>
      <c r="DG107" s="21">
        <f>EXP(-LN(2)/25)*DG106+(1-EXP(-LN(2)/25))/(LN(2)/25)*Calculateur!DB107*Calculateur!DD107*VLOOKUP('Données projet'!$B$13,Paramètres!$A$1:$I$89,3,0)*0.475*44/12</f>
        <v>24.825561472383288</v>
      </c>
      <c r="DH107" s="21">
        <f>EXP(-LN(2)/2)*DH106+(1-EXP(-LN(2)/2))/(LN(2)/2)*DB107*DE107*VLOOKUP('Données projet'!$B$13,Paramètres!$A$1:$I$89,3,0)*0.475*44/12</f>
        <v>11.097718023833204</v>
      </c>
      <c r="DI107" s="22">
        <f t="shared" si="69"/>
        <v>62.116084275531087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5.6843418860808015E-14</v>
      </c>
      <c r="DP107" s="17">
        <f>DO107*VLOOKUP('Données projet'!$B$14,Paramètres!$A$1:$I$89,3,0)*VLOOKUP('Données projet'!$B$14,Paramètres!$A$1:$I$89,5,0)</f>
        <v>4.4337866711430253E-14</v>
      </c>
      <c r="DQ107" s="13">
        <f t="shared" si="97"/>
        <v>7.3222115536967035E-13</v>
      </c>
      <c r="DR107" s="20">
        <f t="shared" si="70"/>
        <v>1.3525069634579169E-12</v>
      </c>
      <c r="DS107" s="59">
        <f t="shared" si="71"/>
        <v>293.33333333333468</v>
      </c>
      <c r="DT107" s="59">
        <f ca="1">AVERAGE(OFFSET($DS$3,0,0,'Données projet'!$E$14+1,1))-AVERAGE(OFFSET($H$3,0,0,'Données projet'!$E$14+1,1))</f>
        <v>288.82868507674738</v>
      </c>
      <c r="DU107" s="59">
        <f t="shared" si="98"/>
        <v>283.48738729114024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21.499290054619681</v>
      </c>
      <c r="EB107" s="21">
        <f>EXP(-LN(2)/25)*EB106+(1-EXP(-LN(2)/25))/(LN(2)/25)*Calculateur!DW107*Calculateur!DY107*VLOOKUP('Données projet'!$B$14,Paramètres!$A$1:$I$89,3,0)*0.475*44/12</f>
        <v>16.042034145616444</v>
      </c>
      <c r="EC107" s="21">
        <f>EXP(-LN(2)/2)*EC106+(1-EXP(-LN(2)/2))/(LN(2)/2)*DW107*DZ107*VLOOKUP('Données projet'!$B$14,Paramètres!$A$1:$I$89,3,0)*0.475*44/12</f>
        <v>3.2776637961542867E-4</v>
      </c>
      <c r="ED107" s="22">
        <f t="shared" si="72"/>
        <v>37.541651966615738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>
        <f>VLOOKUP(A107,'Données projet'!$A$191:$I$211,2,0)</f>
        <v>271.37</v>
      </c>
      <c r="EH107" s="12">
        <f>VLOOKUP(A107,'Données projet'!$A$191:$I$211,9,0)</f>
        <v>6.7777777777777777</v>
      </c>
      <c r="EI107" s="12">
        <f t="array" ref="EI107">INDEX(EH:EH,MIN(IF(ISNUMBER(EH107:EH303),ROW(EH107:EH303),"")))</f>
        <v>6.7777777777777777</v>
      </c>
      <c r="EJ107" s="12">
        <f>IF('Données projet'!$A$192&gt;35,EJ106+EI107-ER106,IF(A107&lt;'Données projet'!$A$192,$EG$205^A107,IF(A107='Données projet'!$A$192,'Données projet'!$B$192,EJ106+EI107-ER106)))</f>
        <v>271.36999999999983</v>
      </c>
      <c r="EK107" s="17">
        <f>EJ107*VLOOKUP('Données projet'!$B$15,Paramètres!$A$1:$I$89,3,0)*VLOOKUP('Données projet'!$B$15,Paramètres!$A$1:$I$89,5,0)</f>
        <v>262.46906399999983</v>
      </c>
      <c r="EL107" s="13">
        <f t="shared" si="99"/>
        <v>63.248392763074122</v>
      </c>
      <c r="EM107" s="20">
        <f t="shared" si="73"/>
        <v>567.29123719568713</v>
      </c>
      <c r="EN107" s="59">
        <f t="shared" si="74"/>
        <v>860.6245705290205</v>
      </c>
      <c r="EO107" s="59">
        <f ca="1">AVERAGE(OFFSET($EN$3,0,0,'Données projet'!$E$15+1,1))-AVERAGE(OFFSET($H$3,0,0,'Données projet'!$E$15+1,1))</f>
        <v>510.71380643466227</v>
      </c>
      <c r="EP107" s="59">
        <f t="shared" si="100"/>
        <v>252.40654099948841</v>
      </c>
      <c r="EQ107" s="15">
        <f>IF(ISNA(VLOOKUP(A107,'Données projet'!$A$191:$I$211,3,0)),0,VLOOKUP(A107,'Données projet'!$A$191:$I$211,3,0))</f>
        <v>6</v>
      </c>
      <c r="ER107" s="15">
        <f>IF(ISNA(VLOOKUP(A107,'Données projet'!$A$191:$I$211,4,0)),0,VLOOKUP(A107,'Données projet'!$A$191:$I$211,4,0))</f>
        <v>39.400000000000006</v>
      </c>
      <c r="ES107" s="16">
        <f>IF(ISNA(VLOOKUP(A107,'Données projet'!$A$191:$I$211,5,0)),0%,VLOOKUP(A107,'Données projet'!$A$191:$I$211,5,0)*VLOOKUP('Données projet'!$B$15,Paramètres!$A$1:$I$89,7,0))</f>
        <v>0.1075</v>
      </c>
      <c r="ET107" s="16">
        <f>IF(ISNA(VLOOKUP(A107,'Données projet'!$A$191:$I$211,6,0)),0%,VLOOKUP(A107,'Données projet'!$A$191:$I$211,6,0)*VLOOKUP('Données projet'!$B$15,Paramètres!$A$1:$I$89,7,0))</f>
        <v>0.1075</v>
      </c>
      <c r="EU107" s="16">
        <f>IF(ISNA(VLOOKUP(A107,'Données projet'!$A$191:$I$211,7,0)),0%,VLOOKUP(A107,'Données projet'!$A$191:$I$211,7,0))</f>
        <v>0.25</v>
      </c>
      <c r="EV107" s="21">
        <f>EXP(-LN(2)/35)*EV106+(1-EXP(-LN(2)/35))/(LN(2)/35)*ER107*ES107*VLOOKUP('Données projet'!$B$15,Paramètres!$A$1:$I$89,3,0)*0.475*44/12</f>
        <v>11.608246102248147</v>
      </c>
      <c r="EW107" s="21">
        <f>EXP(-LN(2)/25)*EW106+(1-EXP(-LN(2)/25))/(LN(2)/25)*Calculateur!ER107*Calculateur!ET107*VLOOKUP('Données projet'!$B$15,Paramètres!$A$1:$I$89,3,0)*0.475*44/12</f>
        <v>17.017854984093784</v>
      </c>
      <c r="EX107" s="21">
        <f>EXP(-LN(2)/2)*EX106+(1-EXP(-LN(2)/2))/(LN(2)/2)*ER107*EU107*VLOOKUP('Données projet'!$B$15,Paramètres!$A$1:$I$89,3,0)*0.475*44/12</f>
        <v>9.431846306354668</v>
      </c>
      <c r="EY107" s="22">
        <f t="shared" si="75"/>
        <v>38.057947392696605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7</v>
      </c>
      <c r="N108" s="13">
        <f>IF('Données projet'!$A$36&gt;35,N107+M108-V107,IF(A108&lt;'Données projet'!$A$36,$K$205^A108,IF(A108='Données projet'!$A$36,'Données projet'!$B$36,N107+M108-V107)))</f>
        <v>253.82000000000033</v>
      </c>
      <c r="O108" s="13">
        <f>N108*VLOOKUP('Données projet'!$B$9,Paramètres!$A$1:$I$89,3,0)*VLOOKUP('Données projet'!$B$9,Paramètres!$A$1:$I$89,5,0)</f>
        <v>257.37348000000037</v>
      </c>
      <c r="P108" s="13">
        <f t="shared" si="87"/>
        <v>62.162179621418396</v>
      </c>
      <c r="Q108" s="20">
        <f t="shared" si="107"/>
        <v>556.52460717397105</v>
      </c>
      <c r="R108" s="59">
        <f t="shared" si="55"/>
        <v>849.85794050730442</v>
      </c>
      <c r="S108" s="59">
        <f ca="1">AVERAGE(OFFSET($R$3,0,0,'Données projet'!$E$9+1,1))-AVERAGE(OFFSET($H$3,0,0,'Données projet'!$E$9+1,1))</f>
        <v>543.67050511722618</v>
      </c>
      <c r="T108" s="59">
        <f t="shared" si="88"/>
        <v>249.0871389941106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13.655321701769806</v>
      </c>
      <c r="AA108" s="21">
        <f>EXP(-LN(2)/25)*AA107+(1-EXP(-LN(2)/25))/(LN(2)/25)*Calculateur!V108*Calculateur!X108*VLOOKUP('Données projet'!$B$9,Paramètres!$A$1:$I$89,3,0)*0.475*44/12</f>
        <v>33.568265012276491</v>
      </c>
      <c r="AB108" s="21">
        <f>EXP(-LN(2)/2)*AB107+(1-EXP(-LN(2)/2))/(LN(2)/2)*V108*Y108*VLOOKUP('Données projet'!$B$9,Paramètres!$A$1:$I$89,3,0)*0.475*44/12</f>
        <v>2.3922424502214281</v>
      </c>
      <c r="AC108" s="22">
        <f t="shared" si="57"/>
        <v>49.61582916426773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8.8449999999999989</v>
      </c>
      <c r="AI108" s="13">
        <f>IF('Données projet'!$A$62&gt;35,AI107+AH108-AQ107,IF(A108&lt;'Données projet'!$A$62,$AF$205^A108,IF(A108='Données projet'!$A$62,'Données projet'!$B$62,AI107+AH108-AQ107)))</f>
        <v>344.95500000000055</v>
      </c>
      <c r="AJ108" s="13">
        <f>AI108*VLOOKUP('Données projet'!$B$10,Paramètres!$A$1:$I$89,3,0)*VLOOKUP('Données projet'!$B$10,Paramètres!$A$1:$I$89,5,0)</f>
        <v>312.11528400000049</v>
      </c>
      <c r="AK108" s="13">
        <f t="shared" si="89"/>
        <v>73.71041067221141</v>
      </c>
      <c r="AL108" s="20">
        <f t="shared" si="58"/>
        <v>671.97975155410234</v>
      </c>
      <c r="AM108" s="59">
        <f t="shared" si="59"/>
        <v>965.31308488743571</v>
      </c>
      <c r="AN108" s="59">
        <f ca="1">AVERAGE(OFFSET($AM$3,0,0,'Données projet'!$E$10+1,1))-AVERAGE(OFFSET($H$3,0,0,'Données projet'!$E$10+1,1))</f>
        <v>635.71275911100679</v>
      </c>
      <c r="AO108" s="59">
        <f t="shared" si="90"/>
        <v>281.7776857269169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32.44640547166189</v>
      </c>
      <c r="AV108" s="21">
        <f>EXP(-LN(2)/25)*AV107+(1-EXP(-LN(2)/25))/(LN(2)/25)*Calculateur!AQ108*Calculateur!AS108*VLOOKUP('Données projet'!$B$10,Paramètres!$A$1:$I$89,3,0)*0.475*44/12</f>
        <v>26.285392023986681</v>
      </c>
      <c r="AW108" s="21">
        <f>EXP(-LN(2)/2)*AW107+(1-EXP(-LN(2)/2))/(LN(2)/2)*AQ108*AT108*VLOOKUP('Données projet'!$B$10,Paramètres!$A$1:$I$89,3,0)*0.475*44/12</f>
        <v>4.1206685845202227</v>
      </c>
      <c r="AX108" s="21">
        <f t="shared" si="60"/>
        <v>62.852466080168796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204.11804238362862</v>
      </c>
      <c r="BJ108" s="59">
        <f t="shared" si="92"/>
        <v>185.53854651509408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6.7156666708216468</v>
      </c>
      <c r="BQ108" s="21">
        <f>EXP(-LN(2)/25)*BQ107+(1-EXP(-LN(2)/25))/(LN(2)/25)*Calculateur!BL108*Calculateur!BN108*VLOOKUP('Données projet'!$B$11,Paramètres!$A$1:$I$89,3,0)*0.475*44/12</f>
        <v>35.216330396499529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41.931997067321177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7</v>
      </c>
      <c r="BY108" s="12">
        <f>IF('Données projet'!$A$114&gt;35,BY107+BX108-CG107,IF(A108&lt;'Données projet'!$A$114,$BV$205^A108,IF(A108='Données projet'!$A$114,'Données projet'!$B$114,BY107+BX108-CG107)))</f>
        <v>253.82000000000033</v>
      </c>
      <c r="BZ108" s="13">
        <f>BY108*VLOOKUP('Données projet'!$B$12,Paramètres!$A$1:$I$89,3,0)*VLOOKUP('Données projet'!$B$12,Paramètres!$A$1:$I$89,5,0)</f>
        <v>253.41388800000036</v>
      </c>
      <c r="CA108" s="13">
        <f t="shared" si="93"/>
        <v>61.316395527015374</v>
      </c>
      <c r="CB108" s="20">
        <f t="shared" si="64"/>
        <v>548.15524380955242</v>
      </c>
      <c r="CC108" s="59">
        <f t="shared" si="65"/>
        <v>841.48857714288579</v>
      </c>
      <c r="CD108" s="59">
        <f ca="1">AVERAGE(OFFSET($CC$3,0,0,'Données projet'!$E$12+1,1))-AVERAGE(OFFSET($H$3,0,0,'Données projet'!$E$12+1,1))</f>
        <v>535.99935263833549</v>
      </c>
      <c r="CE108" s="59">
        <f t="shared" si="94"/>
        <v>245.89966477332644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9.6037427353106324</v>
      </c>
      <c r="CL108" s="21">
        <f>EXP(-LN(2)/25)*CL107+(1-EXP(-LN(2)/25))/(LN(2)/25)*Calculateur!CG108*Calculateur!CI108*VLOOKUP('Données projet'!$B$12,Paramètres!$A$1:$I$89,3,0)*0.475*44/12</f>
        <v>17.162738645145335</v>
      </c>
      <c r="CM108" s="21">
        <f>EXP(-LN(2)/2)*CM107+(1-EXP(-LN(2)/2))/(LN(2)/2)*CG108*CJ108*VLOOKUP('Données projet'!$B$12,Paramètres!$A$1:$I$89,3,0)*0.475*44/12</f>
        <v>5.8838522568544978</v>
      </c>
      <c r="CN108" s="22">
        <f t="shared" si="66"/>
        <v>32.650333637310467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8.7540000000000013</v>
      </c>
      <c r="CT108" s="12">
        <f>IF('Données projet'!$A$140&gt;35,CT107+CS108-DB107,IF(A108&lt;'Données projet'!$A$140,$CQ$205^A108,IF(A108='Données projet'!$A$140,'Données projet'!$B$140,CT107+CS108-DB107)))</f>
        <v>321.14800000000014</v>
      </c>
      <c r="CU108" s="17">
        <f>CT108*VLOOKUP('Données projet'!$B$13,Paramètres!$A$1:$I$89,3,0)*VLOOKUP('Données projet'!$B$13,Paramètres!$A$1:$I$89,5,0)</f>
        <v>305.60443680000009</v>
      </c>
      <c r="CV108" s="13">
        <f t="shared" si="95"/>
        <v>72.350100063341856</v>
      </c>
      <c r="CW108" s="20">
        <f t="shared" si="67"/>
        <v>658.27081837032063</v>
      </c>
      <c r="CX108" s="59">
        <f t="shared" si="68"/>
        <v>951.604151703654</v>
      </c>
      <c r="CY108" s="59">
        <f ca="1">AVERAGE(OFFSET($CX$3,0,0,'Données projet'!$E$13+1,1))-AVERAGE(OFFSET($H$3,0,0,'Données projet'!$E$13+1,1))</f>
        <v>449.28947235329758</v>
      </c>
      <c r="CZ108" s="59">
        <f t="shared" si="96"/>
        <v>289.36994109443964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25.679179853625648</v>
      </c>
      <c r="DG108" s="21">
        <f>EXP(-LN(2)/25)*DG107+(1-EXP(-LN(2)/25))/(LN(2)/25)*Calculateur!DB108*Calculateur!DD108*VLOOKUP('Données projet'!$B$13,Paramètres!$A$1:$I$89,3,0)*0.475*44/12</f>
        <v>24.14670518840143</v>
      </c>
      <c r="DH108" s="21">
        <f>EXP(-LN(2)/2)*DH107+(1-EXP(-LN(2)/2))/(LN(2)/2)*DB108*DE108*VLOOKUP('Données projet'!$B$13,Paramètres!$A$1:$I$89,3,0)*0.475*44/12</f>
        <v>7.8472716703486309</v>
      </c>
      <c r="DI108" s="22">
        <f t="shared" si="69"/>
        <v>57.673156712375715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5.6843418860808015E-14</v>
      </c>
      <c r="DP108" s="17">
        <f>DO108*VLOOKUP('Données projet'!$B$14,Paramètres!$A$1:$I$89,3,0)*VLOOKUP('Données projet'!$B$14,Paramètres!$A$1:$I$89,5,0)</f>
        <v>4.4337866711430253E-14</v>
      </c>
      <c r="DQ108" s="13">
        <f t="shared" si="97"/>
        <v>7.3222115536967035E-13</v>
      </c>
      <c r="DR108" s="20">
        <f t="shared" si="70"/>
        <v>1.3525069634579169E-12</v>
      </c>
      <c r="DS108" s="59">
        <f t="shared" si="71"/>
        <v>293.33333333333468</v>
      </c>
      <c r="DT108" s="59">
        <f ca="1">AVERAGE(OFFSET($DS$3,0,0,'Données projet'!$E$14+1,1))-AVERAGE(OFFSET($H$3,0,0,'Données projet'!$E$14+1,1))</f>
        <v>288.82868507674738</v>
      </c>
      <c r="DU108" s="59">
        <f t="shared" si="98"/>
        <v>283.48738729114024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21.077702089920695</v>
      </c>
      <c r="EB108" s="21">
        <f>EXP(-LN(2)/25)*EB107+(1-EXP(-LN(2)/25))/(LN(2)/25)*Calculateur!DW108*Calculateur!DY108*VLOOKUP('Données projet'!$B$14,Paramètres!$A$1:$I$89,3,0)*0.475*44/12</f>
        <v>15.603363878290651</v>
      </c>
      <c r="EC108" s="21">
        <f>EXP(-LN(2)/2)*EC107+(1-EXP(-LN(2)/2))/(LN(2)/2)*DW108*DZ108*VLOOKUP('Données projet'!$B$14,Paramètres!$A$1:$I$89,3,0)*0.475*44/12</f>
        <v>2.3176582967103379E-4</v>
      </c>
      <c r="ED108" s="22">
        <f t="shared" si="72"/>
        <v>36.68129773404101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6.8811111111111085</v>
      </c>
      <c r="EJ108" s="12">
        <f>IF('Données projet'!$A$192&gt;35,EJ107+EI108-ER107,IF(A108&lt;'Données projet'!$A$192,$EG$205^A108,IF(A108='Données projet'!$A$192,'Données projet'!$B$192,EJ107+EI108-ER107)))</f>
        <v>238.85111111111095</v>
      </c>
      <c r="EK108" s="17">
        <f>EJ108*VLOOKUP('Données projet'!$B$15,Paramètres!$A$1:$I$89,3,0)*VLOOKUP('Données projet'!$B$15,Paramètres!$A$1:$I$89,5,0)</f>
        <v>231.0167946666665</v>
      </c>
      <c r="EL108" s="13">
        <f t="shared" si="99"/>
        <v>56.50247983642894</v>
      </c>
      <c r="EM108" s="20">
        <f t="shared" si="73"/>
        <v>500.76273642622454</v>
      </c>
      <c r="EN108" s="59">
        <f t="shared" si="74"/>
        <v>794.09606975955785</v>
      </c>
      <c r="EO108" s="59">
        <f ca="1">AVERAGE(OFFSET($EN$3,0,0,'Données projet'!$E$15+1,1))-AVERAGE(OFFSET($H$3,0,0,'Données projet'!$E$15+1,1))</f>
        <v>510.71380643466227</v>
      </c>
      <c r="EP108" s="59">
        <f t="shared" si="100"/>
        <v>252.40654099948841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11.380615476514059</v>
      </c>
      <c r="EW108" s="21">
        <f>EXP(-LN(2)/25)*EW107+(1-EXP(-LN(2)/25))/(LN(2)/25)*Calculateur!ER108*Calculateur!ET108*VLOOKUP('Données projet'!$B$15,Paramètres!$A$1:$I$89,3,0)*0.475*44/12</f>
        <v>16.552500844623641</v>
      </c>
      <c r="EX108" s="21">
        <f>EXP(-LN(2)/2)*EX107+(1-EXP(-LN(2)/2))/(LN(2)/2)*ER108*EU108*VLOOKUP('Données projet'!$B$15,Paramètres!$A$1:$I$89,3,0)*0.475*44/12</f>
        <v>6.6693224823326771</v>
      </c>
      <c r="EY108" s="22">
        <f t="shared" si="75"/>
        <v>34.602438803470378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7</v>
      </c>
      <c r="N109" s="13">
        <f>IF('Données projet'!$A$36&gt;35,N108+M109-V108,IF(A109&lt;'Données projet'!$A$36,$K$205^A109,IF(A109='Données projet'!$A$36,'Données projet'!$B$36,N108+M109-V108)))</f>
        <v>260.82000000000033</v>
      </c>
      <c r="O109" s="13">
        <f>N109*VLOOKUP('Données projet'!$B$9,Paramètres!$A$1:$I$89,3,0)*VLOOKUP('Données projet'!$B$9,Paramètres!$A$1:$I$89,5,0)</f>
        <v>264.47148000000033</v>
      </c>
      <c r="P109" s="13">
        <f t="shared" si="87"/>
        <v>63.674568827109773</v>
      </c>
      <c r="Q109" s="20">
        <f t="shared" si="107"/>
        <v>571.52103504055015</v>
      </c>
      <c r="R109" s="59">
        <f t="shared" si="55"/>
        <v>864.85436837388352</v>
      </c>
      <c r="S109" s="59">
        <f ca="1">AVERAGE(OFFSET($R$3,0,0,'Données projet'!$E$9+1,1))-AVERAGE(OFFSET($H$3,0,0,'Données projet'!$E$9+1,1))</f>
        <v>543.67050511722618</v>
      </c>
      <c r="T109" s="59">
        <f t="shared" si="88"/>
        <v>249.0871389941106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13.387549172121926</v>
      </c>
      <c r="AA109" s="21">
        <f>EXP(-LN(2)/25)*AA108+(1-EXP(-LN(2)/25))/(LN(2)/25)*Calculateur!V109*Calculateur!X109*VLOOKUP('Données projet'!$B$9,Paramètres!$A$1:$I$89,3,0)*0.475*44/12</f>
        <v>32.650339040237455</v>
      </c>
      <c r="AB109" s="21">
        <f>EXP(-LN(2)/2)*AB108+(1-EXP(-LN(2)/2))/(LN(2)/2)*V109*Y109*VLOOKUP('Données projet'!$B$9,Paramètres!$A$1:$I$89,3,0)*0.475*44/12</f>
        <v>1.6915708587938938</v>
      </c>
      <c r="AC109" s="22">
        <f t="shared" si="57"/>
        <v>47.729459071153272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8.8449999999999989</v>
      </c>
      <c r="AI109" s="13">
        <f>IF('Données projet'!$A$62&gt;35,AI108+AH109-AQ108,IF(A109&lt;'Données projet'!$A$62,$AF$205^A109,IF(A109='Données projet'!$A$62,'Données projet'!$B$62,AI108+AH109-AQ108)))</f>
        <v>353.80000000000052</v>
      </c>
      <c r="AJ109" s="13">
        <f>AI109*VLOOKUP('Données projet'!$B$10,Paramètres!$A$1:$I$89,3,0)*VLOOKUP('Données projet'!$B$10,Paramètres!$A$1:$I$89,5,0)</f>
        <v>320.11824000000047</v>
      </c>
      <c r="AK109" s="13">
        <f t="shared" si="89"/>
        <v>75.377955265343587</v>
      </c>
      <c r="AL109" s="20">
        <f t="shared" si="58"/>
        <v>688.82254008714096</v>
      </c>
      <c r="AM109" s="59">
        <f t="shared" si="59"/>
        <v>982.15587342047434</v>
      </c>
      <c r="AN109" s="59">
        <f ca="1">AVERAGE(OFFSET($AM$3,0,0,'Données projet'!$E$10+1,1))-AVERAGE(OFFSET($H$3,0,0,'Données projet'!$E$10+1,1))</f>
        <v>635.71275911100679</v>
      </c>
      <c r="AO109" s="59">
        <f t="shared" si="90"/>
        <v>281.7776857269169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31.810151250715805</v>
      </c>
      <c r="AV109" s="21">
        <f>EXP(-LN(2)/25)*AV108+(1-EXP(-LN(2)/25))/(LN(2)/25)*Calculateur!AQ109*Calculateur!AS109*VLOOKUP('Données projet'!$B$10,Paramètres!$A$1:$I$89,3,0)*0.475*44/12</f>
        <v>25.566616596802074</v>
      </c>
      <c r="AW109" s="21">
        <f>EXP(-LN(2)/2)*AW108+(1-EXP(-LN(2)/2))/(LN(2)/2)*AQ109*AT109*VLOOKUP('Données projet'!$B$10,Paramètres!$A$1:$I$89,3,0)*0.475*44/12</f>
        <v>2.9137526991366216</v>
      </c>
      <c r="AX109" s="21">
        <f t="shared" si="60"/>
        <v>60.290520546654506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204.11804238362862</v>
      </c>
      <c r="BJ109" s="59">
        <f t="shared" si="92"/>
        <v>185.53854651509408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6.583976543559042</v>
      </c>
      <c r="BQ109" s="21">
        <f>EXP(-LN(2)/25)*BQ108+(1-EXP(-LN(2)/25))/(LN(2)/25)*Calculateur!BL109*Calculateur!BN109*VLOOKUP('Données projet'!$B$11,Paramètres!$A$1:$I$89,3,0)*0.475*44/12</f>
        <v>34.253337989860924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40.837314533419963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7</v>
      </c>
      <c r="BY109" s="12">
        <f>IF('Données projet'!$A$114&gt;35,BY108+BX109-CG108,IF(A109&lt;'Données projet'!$A$114,$BV$205^A109,IF(A109='Données projet'!$A$114,'Données projet'!$B$114,BY108+BX109-CG108)))</f>
        <v>260.82000000000033</v>
      </c>
      <c r="BZ109" s="13">
        <f>BY109*VLOOKUP('Données projet'!$B$12,Paramètres!$A$1:$I$89,3,0)*VLOOKUP('Données projet'!$B$12,Paramètres!$A$1:$I$89,5,0)</f>
        <v>260.40268800000035</v>
      </c>
      <c r="CA109" s="13">
        <f t="shared" si="93"/>
        <v>62.808207031884358</v>
      </c>
      <c r="CB109" s="20">
        <f t="shared" si="64"/>
        <v>562.92564218053246</v>
      </c>
      <c r="CC109" s="59">
        <f t="shared" si="65"/>
        <v>856.25897551386583</v>
      </c>
      <c r="CD109" s="59">
        <f ca="1">AVERAGE(OFFSET($CC$3,0,0,'Données projet'!$E$12+1,1))-AVERAGE(OFFSET($H$3,0,0,'Données projet'!$E$12+1,1))</f>
        <v>535.99935263833549</v>
      </c>
      <c r="CE109" s="59">
        <f t="shared" si="94"/>
        <v>245.89966477332644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9.4154191979758597</v>
      </c>
      <c r="CL109" s="21">
        <f>EXP(-LN(2)/25)*CL108+(1-EXP(-LN(2)/25))/(LN(2)/25)*Calculateur!CG109*Calculateur!CI109*VLOOKUP('Données projet'!$B$12,Paramètres!$A$1:$I$89,3,0)*0.475*44/12</f>
        <v>16.693422654344637</v>
      </c>
      <c r="CM109" s="21">
        <f>EXP(-LN(2)/2)*CM108+(1-EXP(-LN(2)/2))/(LN(2)/2)*CG109*CJ109*VLOOKUP('Données projet'!$B$12,Paramètres!$A$1:$I$89,3,0)*0.475*44/12</f>
        <v>4.1605118303215871</v>
      </c>
      <c r="CN109" s="22">
        <f t="shared" si="66"/>
        <v>30.269353682642084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8.7540000000000013</v>
      </c>
      <c r="CT109" s="12">
        <f>IF('Données projet'!$A$140&gt;35,CT108+CS109-DB108,IF(A109&lt;'Données projet'!$A$140,$CQ$205^A109,IF(A109='Données projet'!$A$140,'Données projet'!$B$140,CT108+CS109-DB108)))</f>
        <v>329.90200000000016</v>
      </c>
      <c r="CU109" s="17">
        <f>CT109*VLOOKUP('Données projet'!$B$13,Paramètres!$A$1:$I$89,3,0)*VLOOKUP('Données projet'!$B$13,Paramètres!$A$1:$I$89,5,0)</f>
        <v>313.93474320000013</v>
      </c>
      <c r="CV109" s="13">
        <f t="shared" si="95"/>
        <v>74.089956981068127</v>
      </c>
      <c r="CW109" s="20">
        <f t="shared" si="67"/>
        <v>675.80968614869391</v>
      </c>
      <c r="CX109" s="59">
        <f t="shared" si="68"/>
        <v>969.14301948202728</v>
      </c>
      <c r="CY109" s="59">
        <f ca="1">AVERAGE(OFFSET($CX$3,0,0,'Données projet'!$E$13+1,1))-AVERAGE(OFFSET($H$3,0,0,'Données projet'!$E$13+1,1))</f>
        <v>449.28947235329758</v>
      </c>
      <c r="CZ109" s="59">
        <f t="shared" si="96"/>
        <v>289.36994109443964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25.175626799449191</v>
      </c>
      <c r="DG109" s="21">
        <f>EXP(-LN(2)/25)*DG108+(1-EXP(-LN(2)/25))/(LN(2)/25)*Calculateur!DB109*Calculateur!DD109*VLOOKUP('Données projet'!$B$13,Paramètres!$A$1:$I$89,3,0)*0.475*44/12</f>
        <v>23.486412265204557</v>
      </c>
      <c r="DH109" s="21">
        <f>EXP(-LN(2)/2)*DH108+(1-EXP(-LN(2)/2))/(LN(2)/2)*DB109*DE109*VLOOKUP('Données projet'!$B$13,Paramètres!$A$1:$I$89,3,0)*0.475*44/12</f>
        <v>5.548859011916603</v>
      </c>
      <c r="DI109" s="22">
        <f t="shared" si="69"/>
        <v>54.210898076570352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5.6843418860808015E-14</v>
      </c>
      <c r="DP109" s="17">
        <f>DO109*VLOOKUP('Données projet'!$B$14,Paramètres!$A$1:$I$89,3,0)*VLOOKUP('Données projet'!$B$14,Paramètres!$A$1:$I$89,5,0)</f>
        <v>4.4337866711430253E-14</v>
      </c>
      <c r="DQ109" s="13">
        <f t="shared" si="97"/>
        <v>7.3222115536967035E-13</v>
      </c>
      <c r="DR109" s="20">
        <f t="shared" si="70"/>
        <v>1.3525069634579169E-12</v>
      </c>
      <c r="DS109" s="59">
        <f t="shared" si="71"/>
        <v>293.33333333333468</v>
      </c>
      <c r="DT109" s="59">
        <f ca="1">AVERAGE(OFFSET($DS$3,0,0,'Données projet'!$E$14+1,1))-AVERAGE(OFFSET($H$3,0,0,'Données projet'!$E$14+1,1))</f>
        <v>288.82868507674738</v>
      </c>
      <c r="DU109" s="59">
        <f t="shared" si="98"/>
        <v>283.48738729114024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20.664381208066189</v>
      </c>
      <c r="EB109" s="21">
        <f>EXP(-LN(2)/25)*EB108+(1-EXP(-LN(2)/25))/(LN(2)/25)*Calculateur!DW109*Calculateur!DY109*VLOOKUP('Données projet'!$B$14,Paramètres!$A$1:$I$89,3,0)*0.475*44/12</f>
        <v>15.176689072493549</v>
      </c>
      <c r="EC109" s="21">
        <f>EXP(-LN(2)/2)*EC108+(1-EXP(-LN(2)/2))/(LN(2)/2)*DW109*DZ109*VLOOKUP('Données projet'!$B$14,Paramètres!$A$1:$I$89,3,0)*0.475*44/12</f>
        <v>1.6388318980771433E-4</v>
      </c>
      <c r="ED109" s="22">
        <f t="shared" si="72"/>
        <v>35.84123416374954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6.8811111111111085</v>
      </c>
      <c r="EJ109" s="12">
        <f>IF('Données projet'!$A$192&gt;35,EJ108+EI109-ER108,IF(A109&lt;'Données projet'!$A$192,$EG$205^A109,IF(A109='Données projet'!$A$192,'Données projet'!$B$192,EJ108+EI109-ER108)))</f>
        <v>245.73222222222205</v>
      </c>
      <c r="EK109" s="17">
        <f>EJ109*VLOOKUP('Données projet'!$B$15,Paramètres!$A$1:$I$89,3,0)*VLOOKUP('Données projet'!$B$15,Paramètres!$A$1:$I$89,5,0)</f>
        <v>237.67220533333315</v>
      </c>
      <c r="EL109" s="13">
        <f t="shared" si="99"/>
        <v>57.938410377158242</v>
      </c>
      <c r="EM109" s="20">
        <f t="shared" si="73"/>
        <v>514.8551556957724</v>
      </c>
      <c r="EN109" s="59">
        <f t="shared" si="74"/>
        <v>808.18848902910577</v>
      </c>
      <c r="EO109" s="59">
        <f ca="1">AVERAGE(OFFSET($EN$3,0,0,'Données projet'!$E$15+1,1))-AVERAGE(OFFSET($H$3,0,0,'Données projet'!$E$15+1,1))</f>
        <v>510.71380643466227</v>
      </c>
      <c r="EP109" s="59">
        <f t="shared" si="100"/>
        <v>252.40654099948841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11.157448548509644</v>
      </c>
      <c r="EW109" s="21">
        <f>EXP(-LN(2)/25)*EW108+(1-EXP(-LN(2)/25))/(LN(2)/25)*Calculateur!ER109*Calculateur!ET109*VLOOKUP('Données projet'!$B$15,Paramètres!$A$1:$I$89,3,0)*0.475*44/12</f>
        <v>16.099871838569218</v>
      </c>
      <c r="EX109" s="21">
        <f>EXP(-LN(2)/2)*EX108+(1-EXP(-LN(2)/2))/(LN(2)/2)*ER109*EU109*VLOOKUP('Données projet'!$B$15,Paramètres!$A$1:$I$89,3,0)*0.475*44/12</f>
        <v>4.7159231531773349</v>
      </c>
      <c r="EY109" s="22">
        <f t="shared" si="75"/>
        <v>31.973243540256199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7</v>
      </c>
      <c r="N110" s="13">
        <f>IF('Données projet'!$A$36&gt;35,N109+M110-V109,IF(A110&lt;'Données projet'!$A$36,$K$205^A110,IF(A110='Données projet'!$A$36,'Données projet'!$B$36,N109+M110-V109)))</f>
        <v>267.82000000000033</v>
      </c>
      <c r="O110" s="13">
        <f>N110*VLOOKUP('Données projet'!$B$9,Paramètres!$A$1:$I$89,3,0)*VLOOKUP('Données projet'!$B$9,Paramètres!$A$1:$I$89,5,0)</f>
        <v>271.56948000000034</v>
      </c>
      <c r="P110" s="13">
        <f t="shared" si="87"/>
        <v>65.182240112422235</v>
      </c>
      <c r="Q110" s="20">
        <f t="shared" si="107"/>
        <v>586.50924586246936</v>
      </c>
      <c r="R110" s="59">
        <f t="shared" si="55"/>
        <v>879.84257919580273</v>
      </c>
      <c r="S110" s="59">
        <f ca="1">AVERAGE(OFFSET($R$3,0,0,'Données projet'!$E$9+1,1))-AVERAGE(OFFSET($H$3,0,0,'Données projet'!$E$9+1,1))</f>
        <v>543.67050511722618</v>
      </c>
      <c r="T110" s="59">
        <f t="shared" si="88"/>
        <v>249.0871389941106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13.125027498455324</v>
      </c>
      <c r="AA110" s="21">
        <f>EXP(-LN(2)/25)*AA109+(1-EXP(-LN(2)/25))/(LN(2)/25)*Calculateur!V110*Calculateur!X110*VLOOKUP('Données projet'!$B$9,Paramètres!$A$1:$I$89,3,0)*0.475*44/12</f>
        <v>31.757513802175456</v>
      </c>
      <c r="AB110" s="21">
        <f>EXP(-LN(2)/2)*AB109+(1-EXP(-LN(2)/2))/(LN(2)/2)*V110*Y110*VLOOKUP('Données projet'!$B$9,Paramètres!$A$1:$I$89,3,0)*0.475*44/12</f>
        <v>1.1961212251107143</v>
      </c>
      <c r="AC110" s="22">
        <f t="shared" si="57"/>
        <v>46.078662525741493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8.8449999999999989</v>
      </c>
      <c r="AI110" s="13">
        <f>IF('Données projet'!$A$62&gt;35,AI109+AH110-AQ109,IF(A110&lt;'Données projet'!$A$62,$AF$205^A110,IF(A110='Données projet'!$A$62,'Données projet'!$B$62,AI109+AH110-AQ109)))</f>
        <v>362.64500000000055</v>
      </c>
      <c r="AJ110" s="13">
        <f>AI110*VLOOKUP('Données projet'!$B$10,Paramètres!$A$1:$I$89,3,0)*VLOOKUP('Données projet'!$B$10,Paramètres!$A$1:$I$89,5,0)</f>
        <v>328.12119600000045</v>
      </c>
      <c r="AK110" s="13">
        <f t="shared" si="89"/>
        <v>77.040653823854953</v>
      </c>
      <c r="AL110" s="20">
        <f t="shared" si="58"/>
        <v>705.65688844321483</v>
      </c>
      <c r="AM110" s="59">
        <f t="shared" si="59"/>
        <v>998.9902217765482</v>
      </c>
      <c r="AN110" s="59">
        <f ca="1">AVERAGE(OFFSET($AM$3,0,0,'Données projet'!$E$10+1,1))-AVERAGE(OFFSET($H$3,0,0,'Données projet'!$E$10+1,1))</f>
        <v>635.71275911100679</v>
      </c>
      <c r="AO110" s="59">
        <f t="shared" si="90"/>
        <v>281.7776857269169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31.186373586965715</v>
      </c>
      <c r="AV110" s="21">
        <f>EXP(-LN(2)/25)*AV109+(1-EXP(-LN(2)/25))/(LN(2)/25)*Calculateur!AQ110*Calculateur!AS110*VLOOKUP('Données projet'!$B$10,Paramètres!$A$1:$I$89,3,0)*0.475*44/12</f>
        <v>24.867496121472588</v>
      </c>
      <c r="AW110" s="21">
        <f>EXP(-LN(2)/2)*AW109+(1-EXP(-LN(2)/2))/(LN(2)/2)*AQ110*AT110*VLOOKUP('Données projet'!$B$10,Paramètres!$A$1:$I$89,3,0)*0.475*44/12</f>
        <v>2.0603342922601113</v>
      </c>
      <c r="AX110" s="21">
        <f t="shared" si="60"/>
        <v>58.114204000698408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204.11804238362862</v>
      </c>
      <c r="BJ110" s="59">
        <f t="shared" si="92"/>
        <v>185.53854651509408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6.4548687793690105</v>
      </c>
      <c r="BQ110" s="21">
        <f>EXP(-LN(2)/25)*BQ109+(1-EXP(-LN(2)/25))/(LN(2)/25)*Calculateur!BL110*Calculateur!BN110*VLOOKUP('Données projet'!$B$11,Paramètres!$A$1:$I$89,3,0)*0.475*44/12</f>
        <v>33.31667866122342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39.771547440592428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7</v>
      </c>
      <c r="BY110" s="12">
        <f>IF('Données projet'!$A$114&gt;35,BY109+BX110-CG109,IF(A110&lt;'Données projet'!$A$114,$BV$205^A110,IF(A110='Données projet'!$A$114,'Données projet'!$B$114,BY109+BX110-CG109)))</f>
        <v>267.82000000000033</v>
      </c>
      <c r="BZ110" s="13">
        <f>BY110*VLOOKUP('Données projet'!$B$12,Paramètres!$A$1:$I$89,3,0)*VLOOKUP('Données projet'!$B$12,Paramètres!$A$1:$I$89,5,0)</f>
        <v>267.39148800000038</v>
      </c>
      <c r="CA110" s="13">
        <f t="shared" si="93"/>
        <v>64.295364808814796</v>
      </c>
      <c r="CB110" s="20">
        <f t="shared" si="64"/>
        <v>577.68793530868641</v>
      </c>
      <c r="CC110" s="59">
        <f t="shared" si="65"/>
        <v>871.02126864201978</v>
      </c>
      <c r="CD110" s="59">
        <f ca="1">AVERAGE(OFFSET($CC$3,0,0,'Données projet'!$E$12+1,1))-AVERAGE(OFFSET($H$3,0,0,'Données projet'!$E$12+1,1))</f>
        <v>535.99935263833549</v>
      </c>
      <c r="CE110" s="59">
        <f t="shared" si="94"/>
        <v>245.89966477332644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9.2307885703422059</v>
      </c>
      <c r="CL110" s="21">
        <f>EXP(-LN(2)/25)*CL109+(1-EXP(-LN(2)/25))/(LN(2)/25)*Calculateur!CG110*Calculateur!CI110*VLOOKUP('Données projet'!$B$12,Paramètres!$A$1:$I$89,3,0)*0.475*44/12</f>
        <v>16.23694013399264</v>
      </c>
      <c r="CM110" s="21">
        <f>EXP(-LN(2)/2)*CM109+(1-EXP(-LN(2)/2))/(LN(2)/2)*CG110*CJ110*VLOOKUP('Données projet'!$B$12,Paramètres!$A$1:$I$89,3,0)*0.475*44/12</f>
        <v>2.9419261284272489</v>
      </c>
      <c r="CN110" s="22">
        <f t="shared" si="66"/>
        <v>28.409654832762094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8.7540000000000013</v>
      </c>
      <c r="CT110" s="12">
        <f>IF('Données projet'!$A$140&gt;35,CT109+CS110-DB109,IF(A110&lt;'Données projet'!$A$140,$CQ$205^A110,IF(A110='Données projet'!$A$140,'Données projet'!$B$140,CT109+CS110-DB109)))</f>
        <v>338.65600000000018</v>
      </c>
      <c r="CU110" s="17">
        <f>CT110*VLOOKUP('Données projet'!$B$13,Paramètres!$A$1:$I$89,3,0)*VLOOKUP('Données projet'!$B$13,Paramètres!$A$1:$I$89,5,0)</f>
        <v>322.26504960000017</v>
      </c>
      <c r="CV110" s="13">
        <f t="shared" si="95"/>
        <v>75.824447642126486</v>
      </c>
      <c r="CW110" s="20">
        <f t="shared" si="67"/>
        <v>693.33920769670385</v>
      </c>
      <c r="CX110" s="59">
        <f t="shared" si="68"/>
        <v>986.67254103003711</v>
      </c>
      <c r="CY110" s="59">
        <f ca="1">AVERAGE(OFFSET($CX$3,0,0,'Données projet'!$E$13+1,1))-AVERAGE(OFFSET($H$3,0,0,'Données projet'!$E$13+1,1))</f>
        <v>449.28947235329758</v>
      </c>
      <c r="CZ110" s="59">
        <f t="shared" si="96"/>
        <v>289.36994109443964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24.681948113528097</v>
      </c>
      <c r="DG110" s="21">
        <f>EXP(-LN(2)/25)*DG109+(1-EXP(-LN(2)/25))/(LN(2)/25)*Calculateur!DB110*Calculateur!DD110*VLOOKUP('Données projet'!$B$13,Paramètres!$A$1:$I$89,3,0)*0.475*44/12</f>
        <v>22.844175086715797</v>
      </c>
      <c r="DH110" s="21">
        <f>EXP(-LN(2)/2)*DH109+(1-EXP(-LN(2)/2))/(LN(2)/2)*DB110*DE110*VLOOKUP('Données projet'!$B$13,Paramètres!$A$1:$I$89,3,0)*0.475*44/12</f>
        <v>3.9236358351743159</v>
      </c>
      <c r="DI110" s="22">
        <f t="shared" si="69"/>
        <v>51.449759035418211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5.6843418860808015E-14</v>
      </c>
      <c r="DP110" s="17">
        <f>DO110*VLOOKUP('Données projet'!$B$14,Paramètres!$A$1:$I$89,3,0)*VLOOKUP('Données projet'!$B$14,Paramètres!$A$1:$I$89,5,0)</f>
        <v>4.4337866711430253E-14</v>
      </c>
      <c r="DQ110" s="13">
        <f t="shared" si="97"/>
        <v>7.3222115536967035E-13</v>
      </c>
      <c r="DR110" s="20">
        <f t="shared" si="70"/>
        <v>1.3525069634579169E-12</v>
      </c>
      <c r="DS110" s="59">
        <f t="shared" si="71"/>
        <v>293.33333333333468</v>
      </c>
      <c r="DT110" s="59">
        <f ca="1">AVERAGE(OFFSET($DS$3,0,0,'Données projet'!$E$14+1,1))-AVERAGE(OFFSET($H$3,0,0,'Données projet'!$E$14+1,1))</f>
        <v>288.82868507674738</v>
      </c>
      <c r="DU110" s="59">
        <f t="shared" si="98"/>
        <v>283.48738729114024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20.259165296604003</v>
      </c>
      <c r="EB110" s="21">
        <f>EXP(-LN(2)/25)*EB109+(1-EXP(-LN(2)/25))/(LN(2)/25)*Calculateur!DW110*Calculateur!DY110*VLOOKUP('Données projet'!$B$14,Paramètres!$A$1:$I$89,3,0)*0.475*44/12</f>
        <v>14.76168171169882</v>
      </c>
      <c r="EC110" s="21">
        <f>EXP(-LN(2)/2)*EC109+(1-EXP(-LN(2)/2))/(LN(2)/2)*DW110*DZ110*VLOOKUP('Données projet'!$B$14,Paramètres!$A$1:$I$89,3,0)*0.475*44/12</f>
        <v>1.158829148355169E-4</v>
      </c>
      <c r="ED110" s="22">
        <f t="shared" si="72"/>
        <v>35.020962891217657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6.8811111111111085</v>
      </c>
      <c r="EJ110" s="12">
        <f>IF('Données projet'!$A$192&gt;35,EJ109+EI110-ER109,IF(A110&lt;'Données projet'!$A$192,$EG$205^A110,IF(A110='Données projet'!$A$192,'Données projet'!$B$192,EJ109+EI110-ER109)))</f>
        <v>252.61333333333314</v>
      </c>
      <c r="EK110" s="17">
        <f>EJ110*VLOOKUP('Données projet'!$B$15,Paramètres!$A$1:$I$89,3,0)*VLOOKUP('Données projet'!$B$15,Paramètres!$A$1:$I$89,5,0)</f>
        <v>244.32761599999981</v>
      </c>
      <c r="EL110" s="13">
        <f t="shared" si="99"/>
        <v>59.369667493101296</v>
      </c>
      <c r="EM110" s="20">
        <f t="shared" si="73"/>
        <v>528.93943541715112</v>
      </c>
      <c r="EN110" s="59">
        <f t="shared" si="74"/>
        <v>822.27276875048437</v>
      </c>
      <c r="EO110" s="59">
        <f ca="1">AVERAGE(OFFSET($EN$3,0,0,'Données projet'!$E$15+1,1))-AVERAGE(OFFSET($H$3,0,0,'Données projet'!$E$15+1,1))</f>
        <v>510.71380643466227</v>
      </c>
      <c r="EP110" s="59">
        <f t="shared" si="100"/>
        <v>252.40654099948841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10.93865778784501</v>
      </c>
      <c r="EW110" s="21">
        <f>EXP(-LN(2)/25)*EW109+(1-EXP(-LN(2)/25))/(LN(2)/25)*Calculateur!ER110*Calculateur!ET110*VLOOKUP('Données projet'!$B$15,Paramètres!$A$1:$I$89,3,0)*0.475*44/12</f>
        <v>15.659619996488079</v>
      </c>
      <c r="EX110" s="21">
        <f>EXP(-LN(2)/2)*EX109+(1-EXP(-LN(2)/2))/(LN(2)/2)*ER110*EU110*VLOOKUP('Données projet'!$B$15,Paramètres!$A$1:$I$89,3,0)*0.475*44/12</f>
        <v>3.3346612411663394</v>
      </c>
      <c r="EY110" s="22">
        <f t="shared" si="75"/>
        <v>29.932939025499429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7</v>
      </c>
      <c r="N111" s="13">
        <f>IF('Données projet'!$A$36&gt;35,N110+M111-V110,IF(A111&lt;'Données projet'!$A$36,$K$205^A111,IF(A111='Données projet'!$A$36,'Données projet'!$B$36,N110+M111-V110)))</f>
        <v>274.82000000000033</v>
      </c>
      <c r="O111" s="13">
        <f>N111*VLOOKUP('Données projet'!$B$9,Paramètres!$A$1:$I$89,3,0)*VLOOKUP('Données projet'!$B$9,Paramètres!$A$1:$I$89,5,0)</f>
        <v>278.66748000000035</v>
      </c>
      <c r="P111" s="13">
        <f t="shared" si="87"/>
        <v>66.685330965452238</v>
      </c>
      <c r="Q111" s="20">
        <f t="shared" si="107"/>
        <v>601.4894790981632</v>
      </c>
      <c r="R111" s="59">
        <f t="shared" si="55"/>
        <v>894.82281243149646</v>
      </c>
      <c r="S111" s="59">
        <f ca="1">AVERAGE(OFFSET($R$3,0,0,'Données projet'!$E$9+1,1))-AVERAGE(OFFSET($H$3,0,0,'Données projet'!$E$9+1,1))</f>
        <v>543.67050511722618</v>
      </c>
      <c r="T111" s="59">
        <f t="shared" si="88"/>
        <v>249.0871389941106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12.867653714686915</v>
      </c>
      <c r="AA111" s="21">
        <f>EXP(-LN(2)/25)*AA110+(1-EXP(-LN(2)/25))/(LN(2)/25)*Calculateur!V111*Calculateur!X111*VLOOKUP('Données projet'!$B$9,Paramètres!$A$1:$I$89,3,0)*0.475*44/12</f>
        <v>30.889102917199899</v>
      </c>
      <c r="AB111" s="21">
        <f>EXP(-LN(2)/2)*AB110+(1-EXP(-LN(2)/2))/(LN(2)/2)*V111*Y111*VLOOKUP('Données projet'!$B$9,Paramètres!$A$1:$I$89,3,0)*0.475*44/12</f>
        <v>0.84578542939694701</v>
      </c>
      <c r="AC111" s="22">
        <f t="shared" si="57"/>
        <v>44.602542061283764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8.8449999999999989</v>
      </c>
      <c r="AI111" s="13">
        <f>IF('Données projet'!$A$62&gt;35,AI110+AH111-AQ110,IF(A111&lt;'Données projet'!$A$62,$AF$205^A111,IF(A111='Données projet'!$A$62,'Données projet'!$B$62,AI110+AH111-AQ110)))</f>
        <v>371.49000000000058</v>
      </c>
      <c r="AJ111" s="13">
        <f>AI111*VLOOKUP('Données projet'!$B$10,Paramètres!$A$1:$I$89,3,0)*VLOOKUP('Données projet'!$B$10,Paramètres!$A$1:$I$89,5,0)</f>
        <v>336.12415200000049</v>
      </c>
      <c r="AK111" s="13">
        <f t="shared" si="89"/>
        <v>78.698638141016232</v>
      </c>
      <c r="AL111" s="20">
        <f t="shared" si="58"/>
        <v>722.4830261622709</v>
      </c>
      <c r="AM111" s="59">
        <f t="shared" si="59"/>
        <v>1015.8163594956043</v>
      </c>
      <c r="AN111" s="59">
        <f ca="1">AVERAGE(OFFSET($AM$3,0,0,'Données projet'!$E$10+1,1))-AVERAGE(OFFSET($H$3,0,0,'Données projet'!$E$10+1,1))</f>
        <v>635.71275911100679</v>
      </c>
      <c r="AO111" s="59">
        <f t="shared" si="90"/>
        <v>281.7776857269169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30.574827822734957</v>
      </c>
      <c r="AV111" s="21">
        <f>EXP(-LN(2)/25)*AV110+(1-EXP(-LN(2)/25))/(LN(2)/25)*Calculateur!AQ111*Calculateur!AS111*VLOOKUP('Données projet'!$B$10,Paramètres!$A$1:$I$89,3,0)*0.475*44/12</f>
        <v>24.187493132306134</v>
      </c>
      <c r="AW111" s="21">
        <f>EXP(-LN(2)/2)*AW110+(1-EXP(-LN(2)/2))/(LN(2)/2)*AQ111*AT111*VLOOKUP('Données projet'!$B$10,Paramètres!$A$1:$I$89,3,0)*0.475*44/12</f>
        <v>1.4568763495683108</v>
      </c>
      <c r="AX111" s="21">
        <f t="shared" si="60"/>
        <v>56.219197304609402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204.11804238362862</v>
      </c>
      <c r="BJ111" s="59">
        <f t="shared" si="92"/>
        <v>185.53854651509408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6.328292739686785</v>
      </c>
      <c r="BQ111" s="21">
        <f>EXP(-LN(2)/25)*BQ110+(1-EXP(-LN(2)/25))/(LN(2)/25)*Calculateur!BL111*Calculateur!BN111*VLOOKUP('Données projet'!$B$11,Paramètres!$A$1:$I$89,3,0)*0.475*44/12</f>
        <v>32.405632331184279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38.733925070871067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7</v>
      </c>
      <c r="BY111" s="12">
        <f>IF('Données projet'!$A$114&gt;35,BY110+BX111-CG110,IF(A111&lt;'Données projet'!$A$114,$BV$205^A111,IF(A111='Données projet'!$A$114,'Données projet'!$B$114,BY110+BX111-CG110)))</f>
        <v>274.82000000000033</v>
      </c>
      <c r="BZ111" s="13">
        <f>BY111*VLOOKUP('Données projet'!$B$12,Paramètres!$A$1:$I$89,3,0)*VLOOKUP('Données projet'!$B$12,Paramètres!$A$1:$I$89,5,0)</f>
        <v>274.38028800000035</v>
      </c>
      <c r="CA111" s="13">
        <f t="shared" si="93"/>
        <v>65.778004475228215</v>
      </c>
      <c r="CB111" s="20">
        <f t="shared" si="64"/>
        <v>592.44235939435634</v>
      </c>
      <c r="CC111" s="59">
        <f t="shared" si="65"/>
        <v>885.7756927276896</v>
      </c>
      <c r="CD111" s="59">
        <f ca="1">AVERAGE(OFFSET($CC$3,0,0,'Données projet'!$E$12+1,1))-AVERAGE(OFFSET($H$3,0,0,'Données projet'!$E$12+1,1))</f>
        <v>535.99935263833549</v>
      </c>
      <c r="CE111" s="59">
        <f t="shared" si="94"/>
        <v>245.89966477332644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9.0497784367028853</v>
      </c>
      <c r="CL111" s="21">
        <f>EXP(-LN(2)/25)*CL110+(1-EXP(-LN(2)/25))/(LN(2)/25)*Calculateur!CG111*Calculateur!CI111*VLOOKUP('Données projet'!$B$12,Paramètres!$A$1:$I$89,3,0)*0.475*44/12</f>
        <v>15.792940152165039</v>
      </c>
      <c r="CM111" s="21">
        <f>EXP(-LN(2)/2)*CM110+(1-EXP(-LN(2)/2))/(LN(2)/2)*CG111*CJ111*VLOOKUP('Données projet'!$B$12,Paramètres!$A$1:$I$89,3,0)*0.475*44/12</f>
        <v>2.0802559151607936</v>
      </c>
      <c r="CN111" s="22">
        <f t="shared" si="66"/>
        <v>26.922974504028719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8.7540000000000013</v>
      </c>
      <c r="CT111" s="12">
        <f>IF('Données projet'!$A$140&gt;35,CT110+CS111-DB110,IF(A111&lt;'Données projet'!$A$140,$CQ$205^A111,IF(A111='Données projet'!$A$140,'Données projet'!$B$140,CT110+CS111-DB110)))</f>
        <v>347.4100000000002</v>
      </c>
      <c r="CU111" s="17">
        <f>CT111*VLOOKUP('Données projet'!$B$13,Paramètres!$A$1:$I$89,3,0)*VLOOKUP('Données projet'!$B$13,Paramètres!$A$1:$I$89,5,0)</f>
        <v>330.59535600000015</v>
      </c>
      <c r="CV111" s="13">
        <f t="shared" si="95"/>
        <v>77.553726708555331</v>
      </c>
      <c r="CW111" s="20">
        <f t="shared" si="67"/>
        <v>710.85965238406754</v>
      </c>
      <c r="CX111" s="59">
        <f t="shared" si="68"/>
        <v>1004.1929857174009</v>
      </c>
      <c r="CY111" s="59">
        <f ca="1">AVERAGE(OFFSET($CX$3,0,0,'Données projet'!$E$13+1,1))-AVERAGE(OFFSET($H$3,0,0,'Données projet'!$E$13+1,1))</f>
        <v>449.28947235329758</v>
      </c>
      <c r="CZ111" s="59">
        <f t="shared" si="96"/>
        <v>289.36994109443964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24.19795016552365</v>
      </c>
      <c r="DG111" s="21">
        <f>EXP(-LN(2)/25)*DG110+(1-EXP(-LN(2)/25))/(LN(2)/25)*Calculateur!DB111*Calculateur!DD111*VLOOKUP('Données projet'!$B$13,Paramètres!$A$1:$I$89,3,0)*0.475*44/12</f>
        <v>22.219499917646598</v>
      </c>
      <c r="DH111" s="21">
        <f>EXP(-LN(2)/2)*DH110+(1-EXP(-LN(2)/2))/(LN(2)/2)*DB111*DE111*VLOOKUP('Données projet'!$B$13,Paramètres!$A$1:$I$89,3,0)*0.475*44/12</f>
        <v>2.774429505958302</v>
      </c>
      <c r="DI111" s="22">
        <f t="shared" si="69"/>
        <v>49.191879589128554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5.6843418860808015E-14</v>
      </c>
      <c r="DP111" s="17">
        <f>DO111*VLOOKUP('Données projet'!$B$14,Paramètres!$A$1:$I$89,3,0)*VLOOKUP('Données projet'!$B$14,Paramètres!$A$1:$I$89,5,0)</f>
        <v>4.4337866711430253E-14</v>
      </c>
      <c r="DQ111" s="13">
        <f t="shared" si="97"/>
        <v>7.3222115536967035E-13</v>
      </c>
      <c r="DR111" s="20">
        <f t="shared" si="70"/>
        <v>1.3525069634579169E-12</v>
      </c>
      <c r="DS111" s="59">
        <f t="shared" si="71"/>
        <v>293.33333333333468</v>
      </c>
      <c r="DT111" s="59">
        <f ca="1">AVERAGE(OFFSET($DS$3,0,0,'Données projet'!$E$14+1,1))-AVERAGE(OFFSET($H$3,0,0,'Données projet'!$E$14+1,1))</f>
        <v>288.82868507674738</v>
      </c>
      <c r="DU111" s="59">
        <f t="shared" si="98"/>
        <v>283.48738729114024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19.861895422008288</v>
      </c>
      <c r="EB111" s="21">
        <f>EXP(-LN(2)/25)*EB110+(1-EXP(-LN(2)/25))/(LN(2)/25)*Calculateur!DW111*Calculateur!DY111*VLOOKUP('Données projet'!$B$14,Paramètres!$A$1:$I$89,3,0)*0.475*44/12</f>
        <v>14.358022749009313</v>
      </c>
      <c r="EC111" s="21">
        <f>EXP(-LN(2)/2)*EC110+(1-EXP(-LN(2)/2))/(LN(2)/2)*DW111*DZ111*VLOOKUP('Données projet'!$B$14,Paramètres!$A$1:$I$89,3,0)*0.475*44/12</f>
        <v>8.1941594903857167E-5</v>
      </c>
      <c r="ED111" s="22">
        <f t="shared" si="72"/>
        <v>34.22000011261251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6.8811111111111085</v>
      </c>
      <c r="EJ111" s="12">
        <f>IF('Données projet'!$A$192&gt;35,EJ110+EI111-ER110,IF(A111&lt;'Données projet'!$A$192,$EG$205^A111,IF(A111='Données projet'!$A$192,'Données projet'!$B$192,EJ110+EI111-ER110)))</f>
        <v>259.49444444444424</v>
      </c>
      <c r="EK111" s="17">
        <f>EJ111*VLOOKUP('Données projet'!$B$15,Paramètres!$A$1:$I$89,3,0)*VLOOKUP('Données projet'!$B$15,Paramètres!$A$1:$I$89,5,0)</f>
        <v>250.98302666666646</v>
      </c>
      <c r="EL111" s="13">
        <f t="shared" si="99"/>
        <v>60.796393115447323</v>
      </c>
      <c r="EM111" s="20">
        <f t="shared" si="73"/>
        <v>543.01582278718149</v>
      </c>
      <c r="EN111" s="59">
        <f t="shared" si="74"/>
        <v>836.34915612051486</v>
      </c>
      <c r="EO111" s="59">
        <f ca="1">AVERAGE(OFFSET($EN$3,0,0,'Données projet'!$E$15+1,1))-AVERAGE(OFFSET($H$3,0,0,'Données projet'!$E$15+1,1))</f>
        <v>510.71380643466227</v>
      </c>
      <c r="EP111" s="59">
        <f t="shared" si="100"/>
        <v>252.40654099948841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10.724157380547823</v>
      </c>
      <c r="EW111" s="21">
        <f>EXP(-LN(2)/25)*EW110+(1-EXP(-LN(2)/25))/(LN(2)/25)*Calculateur!ER111*Calculateur!ET111*VLOOKUP('Données projet'!$B$15,Paramètres!$A$1:$I$89,3,0)*0.475*44/12</f>
        <v>15.231406864180487</v>
      </c>
      <c r="EX111" s="21">
        <f>EXP(-LN(2)/2)*EX110+(1-EXP(-LN(2)/2))/(LN(2)/2)*ER111*EU111*VLOOKUP('Données projet'!$B$15,Paramètres!$A$1:$I$89,3,0)*0.475*44/12</f>
        <v>2.3579615765886679</v>
      </c>
      <c r="EY111" s="22">
        <f t="shared" si="75"/>
        <v>28.313525821316976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7</v>
      </c>
      <c r="N112" s="13">
        <f>IF('Données projet'!$A$36&gt;35,N111+M112-V111,IF(A112&lt;'Données projet'!$A$36,$K$205^A112,IF(A112='Données projet'!$A$36,'Données projet'!$B$36,N111+M112-V111)))</f>
        <v>281.82000000000033</v>
      </c>
      <c r="O112" s="13">
        <f>N112*VLOOKUP('Données projet'!$B$9,Paramètres!$A$1:$I$89,3,0)*VLOOKUP('Données projet'!$B$9,Paramètres!$A$1:$I$89,5,0)</f>
        <v>285.76548000000037</v>
      </c>
      <c r="P112" s="13">
        <f t="shared" si="87"/>
        <v>68.183971471248285</v>
      </c>
      <c r="Q112" s="20">
        <f t="shared" si="107"/>
        <v>616.46196131242471</v>
      </c>
      <c r="R112" s="59">
        <f t="shared" si="55"/>
        <v>909.79529464575808</v>
      </c>
      <c r="S112" s="59">
        <f ca="1">AVERAGE(OFFSET($R$3,0,0,'Données projet'!$E$9+1,1))-AVERAGE(OFFSET($H$3,0,0,'Données projet'!$E$9+1,1))</f>
        <v>543.67050511722618</v>
      </c>
      <c r="T112" s="59">
        <f t="shared" si="88"/>
        <v>249.0871389941106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12.615326873835697</v>
      </c>
      <c r="AA112" s="21">
        <f>EXP(-LN(2)/25)*AA111+(1-EXP(-LN(2)/25))/(LN(2)/25)*Calculateur!V112*Calculateur!X112*VLOOKUP('Données projet'!$B$9,Paramètres!$A$1:$I$89,3,0)*0.475*44/12</f>
        <v>30.044438773541742</v>
      </c>
      <c r="AB112" s="21">
        <f>EXP(-LN(2)/2)*AB111+(1-EXP(-LN(2)/2))/(LN(2)/2)*V112*Y112*VLOOKUP('Données projet'!$B$9,Paramètres!$A$1:$I$89,3,0)*0.475*44/12</f>
        <v>0.59806061255535714</v>
      </c>
      <c r="AC112" s="22">
        <f t="shared" si="57"/>
        <v>43.257826259932799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8.8449999999999989</v>
      </c>
      <c r="AI112" s="13">
        <f>IF('Données projet'!$A$62&gt;35,AI111+AH112-AQ111,IF(A112&lt;'Données projet'!$A$62,$AF$205^A112,IF(A112='Données projet'!$A$62,'Données projet'!$B$62,AI111+AH112-AQ111)))</f>
        <v>380.3350000000006</v>
      </c>
      <c r="AJ112" s="13">
        <f>AI112*VLOOKUP('Données projet'!$B$10,Paramètres!$A$1:$I$89,3,0)*VLOOKUP('Données projet'!$B$10,Paramètres!$A$1:$I$89,5,0)</f>
        <v>344.12710800000053</v>
      </c>
      <c r="AK112" s="13">
        <f t="shared" si="89"/>
        <v>80.352033376279337</v>
      </c>
      <c r="AL112" s="20">
        <f t="shared" si="58"/>
        <v>739.30117123035416</v>
      </c>
      <c r="AM112" s="59">
        <f t="shared" si="59"/>
        <v>1032.6345045636874</v>
      </c>
      <c r="AN112" s="59">
        <f ca="1">AVERAGE(OFFSET($AM$3,0,0,'Données projet'!$E$10+1,1))-AVERAGE(OFFSET($H$3,0,0,'Données projet'!$E$10+1,1))</f>
        <v>635.71275911100679</v>
      </c>
      <c r="AO112" s="59">
        <f t="shared" si="90"/>
        <v>281.7776857269169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29.97527409793468</v>
      </c>
      <c r="AV112" s="21">
        <f>EXP(-LN(2)/25)*AV111+(1-EXP(-LN(2)/25))/(LN(2)/25)*Calculateur!AQ112*Calculateur!AS112*VLOOKUP('Données projet'!$B$10,Paramètres!$A$1:$I$89,3,0)*0.475*44/12</f>
        <v>23.526084860638239</v>
      </c>
      <c r="AW112" s="21">
        <f>EXP(-LN(2)/2)*AW111+(1-EXP(-LN(2)/2))/(LN(2)/2)*AQ112*AT112*VLOOKUP('Données projet'!$B$10,Paramètres!$A$1:$I$89,3,0)*0.475*44/12</f>
        <v>1.0301671461300557</v>
      </c>
      <c r="AX112" s="21">
        <f t="shared" si="60"/>
        <v>54.531526104702976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204.11804238362862</v>
      </c>
      <c r="BJ112" s="59">
        <f t="shared" si="92"/>
        <v>185.53854651509408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6.2041987789389674</v>
      </c>
      <c r="BQ112" s="21">
        <f>EXP(-LN(2)/25)*BQ111+(1-EXP(-LN(2)/25))/(LN(2)/25)*Calculateur!BL112*Calculateur!BN112*VLOOKUP('Données projet'!$B$11,Paramètres!$A$1:$I$89,3,0)*0.475*44/12</f>
        <v>31.519498610949906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37.723697389888876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7</v>
      </c>
      <c r="BY112" s="12">
        <f>IF('Données projet'!$A$114&gt;35,BY111+BX112-CG111,IF(A112&lt;'Données projet'!$A$114,$BV$205^A112,IF(A112='Données projet'!$A$114,'Données projet'!$B$114,BY111+BX112-CG111)))</f>
        <v>281.82000000000033</v>
      </c>
      <c r="BZ112" s="13">
        <f>BY112*VLOOKUP('Données projet'!$B$12,Paramètres!$A$1:$I$89,3,0)*VLOOKUP('Données projet'!$B$12,Paramètres!$A$1:$I$89,5,0)</f>
        <v>281.36908800000037</v>
      </c>
      <c r="CA112" s="13">
        <f t="shared" si="93"/>
        <v>67.256254346224281</v>
      </c>
      <c r="CB112" s="20">
        <f t="shared" si="64"/>
        <v>607.18913791967464</v>
      </c>
      <c r="CC112" s="59">
        <f t="shared" si="65"/>
        <v>900.52247125300801</v>
      </c>
      <c r="CD112" s="59">
        <f ca="1">AVERAGE(OFFSET($CC$3,0,0,'Données projet'!$E$12+1,1))-AVERAGE(OFFSET($H$3,0,0,'Données projet'!$E$12+1,1))</f>
        <v>535.99935263833549</v>
      </c>
      <c r="CE112" s="59">
        <f t="shared" si="94"/>
        <v>245.89966477332644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8.8723178013789514</v>
      </c>
      <c r="CL112" s="21">
        <f>EXP(-LN(2)/25)*CL111+(1-EXP(-LN(2)/25))/(LN(2)/25)*Calculateur!CG112*Calculateur!CI112*VLOOKUP('Données projet'!$B$12,Paramètres!$A$1:$I$89,3,0)*0.475*44/12</f>
        <v>15.361081373189458</v>
      </c>
      <c r="CM112" s="21">
        <f>EXP(-LN(2)/2)*CM111+(1-EXP(-LN(2)/2))/(LN(2)/2)*CG112*CJ112*VLOOKUP('Données projet'!$B$12,Paramètres!$A$1:$I$89,3,0)*0.475*44/12</f>
        <v>1.4709630642136244</v>
      </c>
      <c r="CN112" s="22">
        <f t="shared" si="66"/>
        <v>25.704362238782036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8.7540000000000013</v>
      </c>
      <c r="CT112" s="12">
        <f>IF('Données projet'!$A$140&gt;35,CT111+CS112-DB111,IF(A112&lt;'Données projet'!$A$140,$CQ$205^A112,IF(A112='Données projet'!$A$140,'Données projet'!$B$140,CT111+CS112-DB111)))</f>
        <v>356.16400000000021</v>
      </c>
      <c r="CU112" s="17">
        <f>CT112*VLOOKUP('Données projet'!$B$13,Paramètres!$A$1:$I$89,3,0)*VLOOKUP('Données projet'!$B$13,Paramètres!$A$1:$I$89,5,0)</f>
        <v>338.92566240000019</v>
      </c>
      <c r="CV112" s="13">
        <f t="shared" si="95"/>
        <v>79.27794060390417</v>
      </c>
      <c r="CW112" s="20">
        <f t="shared" si="67"/>
        <v>728.37127523180015</v>
      </c>
      <c r="CX112" s="59">
        <f t="shared" si="68"/>
        <v>1021.7046085651334</v>
      </c>
      <c r="CY112" s="59">
        <f ca="1">AVERAGE(OFFSET($CX$3,0,0,'Données projet'!$E$13+1,1))-AVERAGE(OFFSET($H$3,0,0,'Données projet'!$E$13+1,1))</f>
        <v>449.28947235329758</v>
      </c>
      <c r="CZ112" s="59">
        <f t="shared" si="96"/>
        <v>289.36994109443964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23.723443122069973</v>
      </c>
      <c r="DG112" s="21">
        <f>EXP(-LN(2)/25)*DG111+(1-EXP(-LN(2)/25))/(LN(2)/25)*Calculateur!DB112*Calculateur!DD112*VLOOKUP('Données projet'!$B$13,Paramètres!$A$1:$I$89,3,0)*0.475*44/12</f>
        <v>21.611906523925835</v>
      </c>
      <c r="DH112" s="21">
        <f>EXP(-LN(2)/2)*DH111+(1-EXP(-LN(2)/2))/(LN(2)/2)*DB112*DE112*VLOOKUP('Données projet'!$B$13,Paramètres!$A$1:$I$89,3,0)*0.475*44/12</f>
        <v>1.9618179175871584</v>
      </c>
      <c r="DI112" s="22">
        <f t="shared" si="69"/>
        <v>47.297167563582967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5.6843418860808015E-14</v>
      </c>
      <c r="DP112" s="17">
        <f>DO112*VLOOKUP('Données projet'!$B$14,Paramètres!$A$1:$I$89,3,0)*VLOOKUP('Données projet'!$B$14,Paramètres!$A$1:$I$89,5,0)</f>
        <v>4.4337866711430253E-14</v>
      </c>
      <c r="DQ112" s="13">
        <f t="shared" si="97"/>
        <v>7.3222115536967035E-13</v>
      </c>
      <c r="DR112" s="20">
        <f t="shared" si="70"/>
        <v>1.3525069634579169E-12</v>
      </c>
      <c r="DS112" s="59">
        <f t="shared" si="71"/>
        <v>293.33333333333468</v>
      </c>
      <c r="DT112" s="59">
        <f ca="1">AVERAGE(OFFSET($DS$3,0,0,'Données projet'!$E$14+1,1))-AVERAGE(OFFSET($H$3,0,0,'Données projet'!$E$14+1,1))</f>
        <v>288.82868507674738</v>
      </c>
      <c r="DU112" s="59">
        <f t="shared" si="98"/>
        <v>283.48738729114024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19.472415767342699</v>
      </c>
      <c r="EB112" s="21">
        <f>EXP(-LN(2)/25)*EB111+(1-EXP(-LN(2)/25))/(LN(2)/25)*Calculateur!DW112*Calculateur!DY112*VLOOKUP('Données projet'!$B$14,Paramètres!$A$1:$I$89,3,0)*0.475*44/12</f>
        <v>13.965401861882054</v>
      </c>
      <c r="EC112" s="21">
        <f>EXP(-LN(2)/2)*EC111+(1-EXP(-LN(2)/2))/(LN(2)/2)*DW112*DZ112*VLOOKUP('Données projet'!$B$14,Paramètres!$A$1:$I$89,3,0)*0.475*44/12</f>
        <v>5.7941457417758449E-5</v>
      </c>
      <c r="ED112" s="22">
        <f t="shared" si="72"/>
        <v>33.437875570682174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6.8811111111111085</v>
      </c>
      <c r="EJ112" s="12">
        <f>IF('Données projet'!$A$192&gt;35,EJ111+EI112-ER111,IF(A112&lt;'Données projet'!$A$192,$EG$205^A112,IF(A112='Données projet'!$A$192,'Données projet'!$B$192,EJ111+EI112-ER111)))</f>
        <v>266.37555555555537</v>
      </c>
      <c r="EK112" s="17">
        <f>EJ112*VLOOKUP('Données projet'!$B$15,Paramètres!$A$1:$I$89,3,0)*VLOOKUP('Données projet'!$B$15,Paramètres!$A$1:$I$89,5,0)</f>
        <v>257.63843733333317</v>
      </c>
      <c r="EL112" s="13">
        <f t="shared" si="99"/>
        <v>62.218721219477693</v>
      </c>
      <c r="EM112" s="20">
        <f t="shared" si="73"/>
        <v>557.0845511461456</v>
      </c>
      <c r="EN112" s="59">
        <f t="shared" si="74"/>
        <v>850.41788447947897</v>
      </c>
      <c r="EO112" s="59">
        <f ca="1">AVERAGE(OFFSET($EN$3,0,0,'Données projet'!$E$15+1,1))-AVERAGE(OFFSET($H$3,0,0,'Données projet'!$E$15+1,1))</f>
        <v>510.71380643466227</v>
      </c>
      <c r="EP112" s="59">
        <f t="shared" si="100"/>
        <v>252.40654099948841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10.513863195405403</v>
      </c>
      <c r="EW112" s="21">
        <f>EXP(-LN(2)/25)*EW111+(1-EXP(-LN(2)/25))/(LN(2)/25)*Calculateur!ER112*Calculateur!ET112*VLOOKUP('Données projet'!$B$15,Paramètres!$A$1:$I$89,3,0)*0.475*44/12</f>
        <v>14.814903242494596</v>
      </c>
      <c r="EX112" s="21">
        <f>EXP(-LN(2)/2)*EX111+(1-EXP(-LN(2)/2))/(LN(2)/2)*ER112*EU112*VLOOKUP('Données projet'!$B$15,Paramètres!$A$1:$I$89,3,0)*0.475*44/12</f>
        <v>1.6673306205831699</v>
      </c>
      <c r="EY112" s="22">
        <f t="shared" si="75"/>
        <v>26.996097058483169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7</v>
      </c>
      <c r="N113" s="13">
        <f>IF('Données projet'!$A$36&gt;35,N112+M113-V112,IF(A113&lt;'Données projet'!$A$36,$K$205^A113,IF(A113='Données projet'!$A$36,'Données projet'!$B$36,N112+M113-V112)))</f>
        <v>288.82000000000033</v>
      </c>
      <c r="O113" s="13">
        <f>N113*VLOOKUP('Données projet'!$B$9,Paramètres!$A$1:$I$89,3,0)*VLOOKUP('Données projet'!$B$9,Paramètres!$A$1:$I$89,5,0)</f>
        <v>292.86348000000038</v>
      </c>
      <c r="P113" s="13">
        <f t="shared" si="87"/>
        <v>69.678284884267285</v>
      </c>
      <c r="Q113" s="20">
        <f t="shared" si="107"/>
        <v>631.42690717343282</v>
      </c>
      <c r="R113" s="59">
        <f t="shared" si="55"/>
        <v>924.76024050676619</v>
      </c>
      <c r="S113" s="59">
        <f ca="1">AVERAGE(OFFSET($R$3,0,0,'Données projet'!$E$9+1,1))-AVERAGE(OFFSET($H$3,0,0,'Données projet'!$E$9+1,1))</f>
        <v>543.67050511722618</v>
      </c>
      <c r="T113" s="59">
        <f t="shared" si="88"/>
        <v>249.0871389941106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12.367948008429394</v>
      </c>
      <c r="AA113" s="21">
        <f>EXP(-LN(2)/25)*AA112+(1-EXP(-LN(2)/25))/(LN(2)/25)*Calculateur!V113*Calculateur!X113*VLOOKUP('Données projet'!$B$9,Paramètres!$A$1:$I$89,3,0)*0.475*44/12</f>
        <v>29.222872015310877</v>
      </c>
      <c r="AB113" s="21">
        <f>EXP(-LN(2)/2)*AB112+(1-EXP(-LN(2)/2))/(LN(2)/2)*V113*Y113*VLOOKUP('Données projet'!$B$9,Paramètres!$A$1:$I$89,3,0)*0.475*44/12</f>
        <v>0.4228927146984735</v>
      </c>
      <c r="AC113" s="22">
        <f t="shared" si="57"/>
        <v>42.013712738438741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8.8449999999999989</v>
      </c>
      <c r="AI113" s="13">
        <f>IF('Données projet'!$A$62&gt;35,AI112+AH113-AQ112,IF(A113&lt;'Données projet'!$A$62,$AF$205^A113,IF(A113='Données projet'!$A$62,'Données projet'!$B$62,AI112+AH113-AQ112)))</f>
        <v>389.18000000000063</v>
      </c>
      <c r="AJ113" s="13">
        <f>AI113*VLOOKUP('Données projet'!$B$10,Paramètres!$A$1:$I$89,3,0)*VLOOKUP('Données projet'!$B$10,Paramètres!$A$1:$I$89,5,0)</f>
        <v>352.13006400000057</v>
      </c>
      <c r="AK113" s="13">
        <f t="shared" si="89"/>
        <v>82.000958535583734</v>
      </c>
      <c r="AL113" s="20">
        <f t="shared" si="58"/>
        <v>756.11153091614267</v>
      </c>
      <c r="AM113" s="59">
        <f t="shared" si="59"/>
        <v>1049.444864249476</v>
      </c>
      <c r="AN113" s="59">
        <f ca="1">AVERAGE(OFFSET($AM$3,0,0,'Données projet'!$E$10+1,1))-AVERAGE(OFFSET($H$3,0,0,'Données projet'!$E$10+1,1))</f>
        <v>635.71275911100679</v>
      </c>
      <c r="AO113" s="59">
        <f t="shared" si="90"/>
        <v>281.7776857269169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29.387477255986074</v>
      </c>
      <c r="AV113" s="21">
        <f>EXP(-LN(2)/25)*AV112+(1-EXP(-LN(2)/25))/(LN(2)/25)*Calculateur!AQ113*Calculateur!AS113*VLOOKUP('Données projet'!$B$10,Paramètres!$A$1:$I$89,3,0)*0.475*44/12</f>
        <v>22.882762832941054</v>
      </c>
      <c r="AW113" s="21">
        <f>EXP(-LN(2)/2)*AW112+(1-EXP(-LN(2)/2))/(LN(2)/2)*AQ113*AT113*VLOOKUP('Données projet'!$B$10,Paramètres!$A$1:$I$89,3,0)*0.475*44/12</f>
        <v>0.7284381747841554</v>
      </c>
      <c r="AX113" s="21">
        <f t="shared" si="60"/>
        <v>52.998678263711277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204.11804238362862</v>
      </c>
      <c r="BJ113" s="59">
        <f t="shared" si="92"/>
        <v>185.53854651509408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6.0825382250715716</v>
      </c>
      <c r="BQ113" s="21">
        <f>EXP(-LN(2)/25)*BQ112+(1-EXP(-LN(2)/25))/(LN(2)/25)*Calculateur!BL113*Calculateur!BN113*VLOOKUP('Données projet'!$B$11,Paramètres!$A$1:$I$89,3,0)*0.475*44/12</f>
        <v>30.657596263895087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36.74013448896666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7</v>
      </c>
      <c r="BY113" s="12">
        <f>IF('Données projet'!$A$114&gt;35,BY112+BX113-CG112,IF(A113&lt;'Données projet'!$A$114,$BV$205^A113,IF(A113='Données projet'!$A$114,'Données projet'!$B$114,BY112+BX113-CG112)))</f>
        <v>288.82000000000033</v>
      </c>
      <c r="BZ113" s="13">
        <f>BY113*VLOOKUP('Données projet'!$B$12,Paramètres!$A$1:$I$89,3,0)*VLOOKUP('Données projet'!$B$12,Paramètres!$A$1:$I$89,5,0)</f>
        <v>288.35788800000034</v>
      </c>
      <c r="CA113" s="13">
        <f t="shared" si="93"/>
        <v>68.730235999248933</v>
      </c>
      <c r="CB113" s="20">
        <f t="shared" si="64"/>
        <v>621.92848263202575</v>
      </c>
      <c r="CC113" s="59">
        <f t="shared" si="65"/>
        <v>915.26181596535912</v>
      </c>
      <c r="CD113" s="59">
        <f ca="1">AVERAGE(OFFSET($CC$3,0,0,'Données projet'!$E$12+1,1))-AVERAGE(OFFSET($H$3,0,0,'Données projet'!$E$12+1,1))</f>
        <v>535.99935263833549</v>
      </c>
      <c r="CE113" s="59">
        <f t="shared" si="94"/>
        <v>245.89966477332644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8.6983370608734205</v>
      </c>
      <c r="CL113" s="21">
        <f>EXP(-LN(2)/25)*CL112+(1-EXP(-LN(2)/25))/(LN(2)/25)*Calculateur!CG113*Calculateur!CI113*VLOOKUP('Données projet'!$B$12,Paramètres!$A$1:$I$89,3,0)*0.475*44/12</f>
        <v>14.941031795235432</v>
      </c>
      <c r="CM113" s="21">
        <f>EXP(-LN(2)/2)*CM112+(1-EXP(-LN(2)/2))/(LN(2)/2)*CG113*CJ113*VLOOKUP('Données projet'!$B$12,Paramètres!$A$1:$I$89,3,0)*0.475*44/12</f>
        <v>1.0401279575803968</v>
      </c>
      <c r="CN113" s="22">
        <f t="shared" si="66"/>
        <v>24.679496813689248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8.7540000000000013</v>
      </c>
      <c r="CT113" s="12">
        <f>IF('Données projet'!$A$140&gt;35,CT112+CS113-DB112,IF(A113&lt;'Données projet'!$A$140,$CQ$205^A113,IF(A113='Données projet'!$A$140,'Données projet'!$B$140,CT112+CS113-DB112)))</f>
        <v>364.91800000000023</v>
      </c>
      <c r="CU113" s="17">
        <f>CT113*VLOOKUP('Données projet'!$B$13,Paramètres!$A$1:$I$89,3,0)*VLOOKUP('Données projet'!$B$13,Paramètres!$A$1:$I$89,5,0)</f>
        <v>347.25596880000023</v>
      </c>
      <c r="CV113" s="13">
        <f t="shared" si="95"/>
        <v>80.997228143628277</v>
      </c>
      <c r="CW113" s="20">
        <f t="shared" si="67"/>
        <v>745.87431801015293</v>
      </c>
      <c r="CX113" s="59">
        <f t="shared" si="68"/>
        <v>1039.2076513434863</v>
      </c>
      <c r="CY113" s="59">
        <f ca="1">AVERAGE(OFFSET($CX$3,0,0,'Données projet'!$E$13+1,1))-AVERAGE(OFFSET($H$3,0,0,'Données projet'!$E$13+1,1))</f>
        <v>449.28947235329758</v>
      </c>
      <c r="CZ113" s="59">
        <f t="shared" si="96"/>
        <v>289.36994109443964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23.258240872317703</v>
      </c>
      <c r="DG113" s="21">
        <f>EXP(-LN(2)/25)*DG112+(1-EXP(-LN(2)/25))/(LN(2)/25)*Calculateur!DB113*Calculateur!DD113*VLOOKUP('Données projet'!$B$13,Paramètres!$A$1:$I$89,3,0)*0.475*44/12</f>
        <v>21.020927803508314</v>
      </c>
      <c r="DH113" s="21">
        <f>EXP(-LN(2)/2)*DH112+(1-EXP(-LN(2)/2))/(LN(2)/2)*DB113*DE113*VLOOKUP('Données projet'!$B$13,Paramètres!$A$1:$I$89,3,0)*0.475*44/12</f>
        <v>1.3872147529791512</v>
      </c>
      <c r="DI113" s="22">
        <f t="shared" si="69"/>
        <v>45.666383428805162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5.6843418860808015E-14</v>
      </c>
      <c r="DP113" s="17">
        <f>DO113*VLOOKUP('Données projet'!$B$14,Paramètres!$A$1:$I$89,3,0)*VLOOKUP('Données projet'!$B$14,Paramètres!$A$1:$I$89,5,0)</f>
        <v>4.4337866711430253E-14</v>
      </c>
      <c r="DQ113" s="13">
        <f t="shared" si="97"/>
        <v>7.3222115536967035E-13</v>
      </c>
      <c r="DR113" s="20">
        <f t="shared" si="70"/>
        <v>1.3525069634579169E-12</v>
      </c>
      <c r="DS113" s="59">
        <f t="shared" si="71"/>
        <v>293.33333333333468</v>
      </c>
      <c r="DT113" s="59">
        <f ca="1">AVERAGE(OFFSET($DS$3,0,0,'Données projet'!$E$14+1,1))-AVERAGE(OFFSET($H$3,0,0,'Données projet'!$E$14+1,1))</f>
        <v>288.82868507674738</v>
      </c>
      <c r="DU113" s="59">
        <f t="shared" si="98"/>
        <v>283.48738729114024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19.090573571145971</v>
      </c>
      <c r="EB113" s="21">
        <f>EXP(-LN(2)/25)*EB112+(1-EXP(-LN(2)/25))/(LN(2)/25)*Calculateur!DW113*Calculateur!DY113*VLOOKUP('Données projet'!$B$14,Paramètres!$A$1:$I$89,3,0)*0.475*44/12</f>
        <v>13.583517213560324</v>
      </c>
      <c r="EC113" s="21">
        <f>EXP(-LN(2)/2)*EC112+(1-EXP(-LN(2)/2))/(LN(2)/2)*DW113*DZ113*VLOOKUP('Données projet'!$B$14,Paramètres!$A$1:$I$89,3,0)*0.475*44/12</f>
        <v>4.0970797451928584E-5</v>
      </c>
      <c r="ED113" s="22">
        <f t="shared" si="72"/>
        <v>32.674131755503744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6.8811111111111085</v>
      </c>
      <c r="EJ113" s="12">
        <f>IF('Données projet'!$A$192&gt;35,EJ112+EI113-ER112,IF(A113&lt;'Données projet'!$A$192,$EG$205^A113,IF(A113='Données projet'!$A$192,'Données projet'!$B$192,EJ112+EI113-ER112)))</f>
        <v>273.25666666666649</v>
      </c>
      <c r="EK113" s="17">
        <f>EJ113*VLOOKUP('Données projet'!$B$15,Paramètres!$A$1:$I$89,3,0)*VLOOKUP('Données projet'!$B$15,Paramètres!$A$1:$I$89,5,0)</f>
        <v>264.29384799999985</v>
      </c>
      <c r="EL113" s="13">
        <f t="shared" si="99"/>
        <v>63.636778464374139</v>
      </c>
      <c r="EM113" s="20">
        <f t="shared" si="73"/>
        <v>571.14584109211796</v>
      </c>
      <c r="EN113" s="59">
        <f t="shared" si="74"/>
        <v>864.47917442545122</v>
      </c>
      <c r="EO113" s="59">
        <f ca="1">AVERAGE(OFFSET($EN$3,0,0,'Données projet'!$E$15+1,1))-AVERAGE(OFFSET($H$3,0,0,'Données projet'!$E$15+1,1))</f>
        <v>510.71380643466227</v>
      </c>
      <c r="EP113" s="59">
        <f t="shared" si="100"/>
        <v>252.40654099948841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10.307692750966838</v>
      </c>
      <c r="EW113" s="21">
        <f>EXP(-LN(2)/25)*EW112+(1-EXP(-LN(2)/25))/(LN(2)/25)*Calculateur!ER113*Calculateur!ET113*VLOOKUP('Données projet'!$B$15,Paramètres!$A$1:$I$89,3,0)*0.475*44/12</f>
        <v>14.409788934246679</v>
      </c>
      <c r="EX113" s="21">
        <f>EXP(-LN(2)/2)*EX112+(1-EXP(-LN(2)/2))/(LN(2)/2)*ER113*EU113*VLOOKUP('Données projet'!$B$15,Paramètres!$A$1:$I$89,3,0)*0.475*44/12</f>
        <v>1.1789807882943342</v>
      </c>
      <c r="EY113" s="22">
        <f t="shared" si="75"/>
        <v>25.896462473507853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7</v>
      </c>
      <c r="N114" s="13">
        <f>IF('Données projet'!$A$36&gt;35,N113+M114-V113,IF(A114&lt;'Données projet'!$A$36,$K$205^A114,IF(A114='Données projet'!$A$36,'Données projet'!$B$36,N113+M114-V113)))</f>
        <v>295.82000000000033</v>
      </c>
      <c r="O114" s="13">
        <f>N114*VLOOKUP('Données projet'!$B$9,Paramètres!$A$1:$I$89,3,0)*VLOOKUP('Données projet'!$B$9,Paramètres!$A$1:$I$89,5,0)</f>
        <v>299.96148000000034</v>
      </c>
      <c r="P114" s="13">
        <f t="shared" si="87"/>
        <v>71.168388143770414</v>
      </c>
      <c r="Q114" s="20">
        <f t="shared" si="107"/>
        <v>646.38452035040075</v>
      </c>
      <c r="R114" s="59">
        <f t="shared" si="55"/>
        <v>939.71785368373412</v>
      </c>
      <c r="S114" s="59">
        <f ca="1">AVERAGE(OFFSET($R$3,0,0,'Données projet'!$E$9+1,1))-AVERAGE(OFFSET($H$3,0,0,'Données projet'!$E$9+1,1))</f>
        <v>543.67050511722618</v>
      </c>
      <c r="T114" s="59">
        <f t="shared" si="88"/>
        <v>249.0871389941106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12.1254200916875</v>
      </c>
      <c r="AA114" s="21">
        <f>EXP(-LN(2)/25)*AA113+(1-EXP(-LN(2)/25))/(LN(2)/25)*Calculateur!V114*Calculateur!X114*VLOOKUP('Données projet'!$B$9,Paramètres!$A$1:$I$89,3,0)*0.475*44/12</f>
        <v>28.423771043288152</v>
      </c>
      <c r="AB114" s="21">
        <f>EXP(-LN(2)/2)*AB113+(1-EXP(-LN(2)/2))/(LN(2)/2)*V114*Y114*VLOOKUP('Données projet'!$B$9,Paramètres!$A$1:$I$89,3,0)*0.475*44/12</f>
        <v>0.29903030627767857</v>
      </c>
      <c r="AC114" s="22">
        <f t="shared" si="57"/>
        <v>40.84822144125333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8.8449999999999989</v>
      </c>
      <c r="AI114" s="13">
        <f>IF('Données projet'!$A$62&gt;35,AI113+AH114-AQ113,IF(A114&lt;'Données projet'!$A$62,$AF$205^A114,IF(A114='Données projet'!$A$62,'Données projet'!$B$62,AI113+AH114-AQ113)))</f>
        <v>398.02500000000066</v>
      </c>
      <c r="AJ114" s="13">
        <f>AI114*VLOOKUP('Données projet'!$B$10,Paramètres!$A$1:$I$89,3,0)*VLOOKUP('Données projet'!$B$10,Paramètres!$A$1:$I$89,5,0)</f>
        <v>360.13302000000061</v>
      </c>
      <c r="AK114" s="13">
        <f t="shared" si="89"/>
        <v>83.645526906767415</v>
      </c>
      <c r="AL114" s="20">
        <f t="shared" si="58"/>
        <v>772.91430252928774</v>
      </c>
      <c r="AM114" s="59">
        <f t="shared" si="59"/>
        <v>1066.2476358626211</v>
      </c>
      <c r="AN114" s="59">
        <f ca="1">AVERAGE(OFFSET($AM$3,0,0,'Données projet'!$E$10+1,1))-AVERAGE(OFFSET($H$3,0,0,'Données projet'!$E$10+1,1))</f>
        <v>635.71275911100679</v>
      </c>
      <c r="AO114" s="59">
        <f t="shared" si="90"/>
        <v>281.7776857269169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28.811206751587406</v>
      </c>
      <c r="AV114" s="21">
        <f>EXP(-LN(2)/25)*AV113+(1-EXP(-LN(2)/25))/(LN(2)/25)*Calculateur!AQ114*Calculateur!AS114*VLOOKUP('Données projet'!$B$10,Paramètres!$A$1:$I$89,3,0)*0.475*44/12</f>
        <v>22.257032479922085</v>
      </c>
      <c r="AW114" s="21">
        <f>EXP(-LN(2)/2)*AW113+(1-EXP(-LN(2)/2))/(LN(2)/2)*AQ114*AT114*VLOOKUP('Données projet'!$B$10,Paramètres!$A$1:$I$89,3,0)*0.475*44/12</f>
        <v>0.51508357306502783</v>
      </c>
      <c r="AX114" s="21">
        <f t="shared" si="60"/>
        <v>51.583322804574522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204.11804238362862</v>
      </c>
      <c r="BJ114" s="59">
        <f t="shared" si="92"/>
        <v>185.53854651509408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5.963263360459905</v>
      </c>
      <c r="BQ114" s="21">
        <f>EXP(-LN(2)/25)*BQ113+(1-EXP(-LN(2)/25))/(LN(2)/25)*Calculateur!BL114*Calculateur!BN114*VLOOKUP('Données projet'!$B$11,Paramètres!$A$1:$I$89,3,0)*0.475*44/12</f>
        <v>29.819262681845956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35.782526042305861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7</v>
      </c>
      <c r="BY114" s="12">
        <f>IF('Données projet'!$A$114&gt;35,BY113+BX114-CG113,IF(A114&lt;'Données projet'!$A$114,$BV$205^A114,IF(A114='Données projet'!$A$114,'Données projet'!$B$114,BY113+BX114-CG113)))</f>
        <v>295.82000000000033</v>
      </c>
      <c r="BZ114" s="13">
        <f>BY114*VLOOKUP('Données projet'!$B$12,Paramètres!$A$1:$I$89,3,0)*VLOOKUP('Données projet'!$B$12,Paramètres!$A$1:$I$89,5,0)</f>
        <v>295.34668800000031</v>
      </c>
      <c r="CA114" s="13">
        <f t="shared" si="93"/>
        <v>70.200064782477568</v>
      </c>
      <c r="CB114" s="20">
        <f t="shared" si="64"/>
        <v>636.66059442948233</v>
      </c>
      <c r="CC114" s="59">
        <f t="shared" si="65"/>
        <v>929.9939277628157</v>
      </c>
      <c r="CD114" s="59">
        <f ca="1">AVERAGE(OFFSET($CC$3,0,0,'Données projet'!$E$12+1,1))-AVERAGE(OFFSET($H$3,0,0,'Données projet'!$E$12+1,1))</f>
        <v>535.99935263833549</v>
      </c>
      <c r="CE114" s="59">
        <f t="shared" si="94"/>
        <v>245.89966477332644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8.5277679765714289</v>
      </c>
      <c r="CL114" s="21">
        <f>EXP(-LN(2)/25)*CL113+(1-EXP(-LN(2)/25))/(LN(2)/25)*Calculateur!CG114*Calculateur!CI114*VLOOKUP('Données projet'!$B$12,Paramètres!$A$1:$I$89,3,0)*0.475*44/12</f>
        <v>14.532468495080005</v>
      </c>
      <c r="CM114" s="21">
        <f>EXP(-LN(2)/2)*CM113+(1-EXP(-LN(2)/2))/(LN(2)/2)*CG114*CJ114*VLOOKUP('Données projet'!$B$12,Paramètres!$A$1:$I$89,3,0)*0.475*44/12</f>
        <v>0.73548153210681222</v>
      </c>
      <c r="CN114" s="22">
        <f t="shared" si="66"/>
        <v>23.79571800375825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8.7540000000000013</v>
      </c>
      <c r="CT114" s="12">
        <f>IF('Données projet'!$A$140&gt;35,CT113+CS114-DB113,IF(A114&lt;'Données projet'!$A$140,$CQ$205^A114,IF(A114='Données projet'!$A$140,'Données projet'!$B$140,CT113+CS114-DB113)))</f>
        <v>373.67200000000025</v>
      </c>
      <c r="CU114" s="17">
        <f>CT114*VLOOKUP('Données projet'!$B$13,Paramètres!$A$1:$I$89,3,0)*VLOOKUP('Données projet'!$B$13,Paramètres!$A$1:$I$89,5,0)</f>
        <v>355.58627520000022</v>
      </c>
      <c r="CV114" s="13">
        <f t="shared" si="95"/>
        <v>82.711721103289179</v>
      </c>
      <c r="CW114" s="20">
        <f t="shared" si="67"/>
        <v>763.36901022822894</v>
      </c>
      <c r="CX114" s="59">
        <f t="shared" si="68"/>
        <v>1056.7023435615622</v>
      </c>
      <c r="CY114" s="59">
        <f ca="1">AVERAGE(OFFSET($CX$3,0,0,'Données projet'!$E$13+1,1))-AVERAGE(OFFSET($H$3,0,0,'Données projet'!$E$13+1,1))</f>
        <v>449.28947235329758</v>
      </c>
      <c r="CZ114" s="59">
        <f t="shared" si="96"/>
        <v>289.36994109443964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22.802160954937722</v>
      </c>
      <c r="DG114" s="21">
        <f>EXP(-LN(2)/25)*DG113+(1-EXP(-LN(2)/25))/(LN(2)/25)*Calculateur!DB114*Calculateur!DD114*VLOOKUP('Données projet'!$B$13,Paramètres!$A$1:$I$89,3,0)*0.475*44/12</f>
        <v>20.446109427278831</v>
      </c>
      <c r="DH114" s="21">
        <f>EXP(-LN(2)/2)*DH113+(1-EXP(-LN(2)/2))/(LN(2)/2)*DB114*DE114*VLOOKUP('Données projet'!$B$13,Paramètres!$A$1:$I$89,3,0)*0.475*44/12</f>
        <v>0.98090895879357931</v>
      </c>
      <c r="DI114" s="22">
        <f t="shared" si="69"/>
        <v>44.229179341010131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5.6843418860808015E-14</v>
      </c>
      <c r="DP114" s="17">
        <f>DO114*VLOOKUP('Données projet'!$B$14,Paramètres!$A$1:$I$89,3,0)*VLOOKUP('Données projet'!$B$14,Paramètres!$A$1:$I$89,5,0)</f>
        <v>4.4337866711430253E-14</v>
      </c>
      <c r="DQ114" s="13">
        <f t="shared" si="97"/>
        <v>7.3222115536967035E-13</v>
      </c>
      <c r="DR114" s="20">
        <f t="shared" si="70"/>
        <v>1.3525069634579169E-12</v>
      </c>
      <c r="DS114" s="59">
        <f t="shared" si="71"/>
        <v>293.33333333333468</v>
      </c>
      <c r="DT114" s="59">
        <f ca="1">AVERAGE(OFFSET($DS$3,0,0,'Données projet'!$E$14+1,1))-AVERAGE(OFFSET($H$3,0,0,'Données projet'!$E$14+1,1))</f>
        <v>288.82868507674738</v>
      </c>
      <c r="DU114" s="59">
        <f t="shared" si="98"/>
        <v>283.48738729114024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18.716219067515919</v>
      </c>
      <c r="EB114" s="21">
        <f>EXP(-LN(2)/25)*EB113+(1-EXP(-LN(2)/25))/(LN(2)/25)*Calculateur!DW114*Calculateur!DY114*VLOOKUP('Données projet'!$B$14,Paramètres!$A$1:$I$89,3,0)*0.475*44/12</f>
        <v>13.212075221029393</v>
      </c>
      <c r="EC114" s="21">
        <f>EXP(-LN(2)/2)*EC113+(1-EXP(-LN(2)/2))/(LN(2)/2)*DW114*DZ114*VLOOKUP('Données projet'!$B$14,Paramètres!$A$1:$I$89,3,0)*0.475*44/12</f>
        <v>2.8970728708879224E-5</v>
      </c>
      <c r="ED114" s="22">
        <f t="shared" si="72"/>
        <v>31.92832325927402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6.8811111111111085</v>
      </c>
      <c r="EJ114" s="12">
        <f>IF('Données projet'!$A$192&gt;35,EJ113+EI114-ER113,IF(A114&lt;'Données projet'!$A$192,$EG$205^A114,IF(A114='Données projet'!$A$192,'Données projet'!$B$192,EJ113+EI114-ER113)))</f>
        <v>280.13777777777761</v>
      </c>
      <c r="EK114" s="17">
        <f>EJ114*VLOOKUP('Données projet'!$B$15,Paramètres!$A$1:$I$89,3,0)*VLOOKUP('Données projet'!$B$15,Paramètres!$A$1:$I$89,5,0)</f>
        <v>270.94925866666654</v>
      </c>
      <c r="EL114" s="13">
        <f t="shared" si="99"/>
        <v>65.050684766766153</v>
      </c>
      <c r="EM114" s="20">
        <f t="shared" si="73"/>
        <v>585.19990147989529</v>
      </c>
      <c r="EN114" s="59">
        <f t="shared" si="74"/>
        <v>878.53323481322855</v>
      </c>
      <c r="EO114" s="59">
        <f ca="1">AVERAGE(OFFSET($EN$3,0,0,'Données projet'!$E$15+1,1))-AVERAGE(OFFSET($H$3,0,0,'Données projet'!$E$15+1,1))</f>
        <v>510.71380643466227</v>
      </c>
      <c r="EP114" s="59">
        <f t="shared" si="100"/>
        <v>252.40654099948841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10.10556518319216</v>
      </c>
      <c r="EW114" s="21">
        <f>EXP(-LN(2)/25)*EW113+(1-EXP(-LN(2)/25))/(LN(2)/25)*Calculateur!ER114*Calculateur!ET114*VLOOKUP('Données projet'!$B$15,Paramètres!$A$1:$I$89,3,0)*0.475*44/12</f>
        <v>14.015752498061838</v>
      </c>
      <c r="EX114" s="21">
        <f>EXP(-LN(2)/2)*EX113+(1-EXP(-LN(2)/2))/(LN(2)/2)*ER114*EU114*VLOOKUP('Données projet'!$B$15,Paramètres!$A$1:$I$89,3,0)*0.475*44/12</f>
        <v>0.83366531029158508</v>
      </c>
      <c r="EY114" s="22">
        <f t="shared" si="75"/>
        <v>24.954982991545585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7</v>
      </c>
      <c r="N115" s="13">
        <f>IF('Données projet'!$A$36&gt;35,N114+M115-V114,IF(A115&lt;'Données projet'!$A$36,$K$205^A115,IF(A115='Données projet'!$A$36,'Données projet'!$B$36,N114+M115-V114)))</f>
        <v>302.82000000000033</v>
      </c>
      <c r="O115" s="13">
        <f>N115*VLOOKUP('Données projet'!$B$9,Paramètres!$A$1:$I$89,3,0)*VLOOKUP('Données projet'!$B$9,Paramètres!$A$1:$I$89,5,0)</f>
        <v>307.05948000000035</v>
      </c>
      <c r="P115" s="13">
        <f t="shared" si="87"/>
        <v>72.654392339061985</v>
      </c>
      <c r="Q115" s="20">
        <f t="shared" si="107"/>
        <v>661.33499432386691</v>
      </c>
      <c r="R115" s="59">
        <f t="shared" si="55"/>
        <v>954.66832765720028</v>
      </c>
      <c r="S115" s="59">
        <f ca="1">AVERAGE(OFFSET($R$3,0,0,'Données projet'!$E$9+1,1))-AVERAGE(OFFSET($H$3,0,0,'Données projet'!$E$9+1,1))</f>
        <v>543.67050511722618</v>
      </c>
      <c r="T115" s="59">
        <f t="shared" si="88"/>
        <v>249.0871389941106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11.887647999465493</v>
      </c>
      <c r="AA115" s="21">
        <f>EXP(-LN(2)/25)*AA114+(1-EXP(-LN(2)/25))/(LN(2)/25)*Calculateur!V115*Calculateur!X115*VLOOKUP('Données projet'!$B$9,Paramètres!$A$1:$I$89,3,0)*0.475*44/12</f>
        <v>27.646521529368282</v>
      </c>
      <c r="AB115" s="21">
        <f>EXP(-LN(2)/2)*AB114+(1-EXP(-LN(2)/2))/(LN(2)/2)*V115*Y115*VLOOKUP('Données projet'!$B$9,Paramètres!$A$1:$I$89,3,0)*0.475*44/12</f>
        <v>0.21144635734923675</v>
      </c>
      <c r="AC115" s="22">
        <f t="shared" si="57"/>
        <v>39.74561588618301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8.8449999999999989</v>
      </c>
      <c r="AI115" s="13">
        <f>IF('Données projet'!$A$62&gt;35,AI114+AH115-AQ114,IF(A115&lt;'Données projet'!$A$62,$AF$205^A115,IF(A115='Données projet'!$A$62,'Données projet'!$B$62,AI114+AH115-AQ114)))</f>
        <v>406.87000000000069</v>
      </c>
      <c r="AJ115" s="13">
        <f>AI115*VLOOKUP('Données projet'!$B$10,Paramètres!$A$1:$I$89,3,0)*VLOOKUP('Données projet'!$B$10,Paramètres!$A$1:$I$89,5,0)</f>
        <v>368.1359760000006</v>
      </c>
      <c r="AK115" s="13">
        <f t="shared" si="89"/>
        <v>85.285846455183602</v>
      </c>
      <c r="AL115" s="20">
        <f t="shared" si="58"/>
        <v>789.70967410944593</v>
      </c>
      <c r="AM115" s="59">
        <f t="shared" si="59"/>
        <v>1083.0430074427793</v>
      </c>
      <c r="AN115" s="59">
        <f ca="1">AVERAGE(OFFSET($AM$3,0,0,'Données projet'!$E$10+1,1))-AVERAGE(OFFSET($H$3,0,0,'Données projet'!$E$10+1,1))</f>
        <v>635.71275911100679</v>
      </c>
      <c r="AO115" s="59">
        <f t="shared" si="90"/>
        <v>281.7776857269169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28.246236560289695</v>
      </c>
      <c r="AV115" s="21">
        <f>EXP(-LN(2)/25)*AV114+(1-EXP(-LN(2)/25))/(LN(2)/25)*Calculateur!AQ115*Calculateur!AS115*VLOOKUP('Données projet'!$B$10,Paramètres!$A$1:$I$89,3,0)*0.475*44/12</f>
        <v>21.648412756312148</v>
      </c>
      <c r="AW115" s="21">
        <f>EXP(-LN(2)/2)*AW114+(1-EXP(-LN(2)/2))/(LN(2)/2)*AQ115*AT115*VLOOKUP('Données projet'!$B$10,Paramètres!$A$1:$I$89,3,0)*0.475*44/12</f>
        <v>0.3642190873920777</v>
      </c>
      <c r="AX115" s="21">
        <f t="shared" si="60"/>
        <v>50.258868403993922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204.11804238362862</v>
      </c>
      <c r="BJ115" s="59">
        <f t="shared" si="92"/>
        <v>185.53854651509408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5.846327403192789</v>
      </c>
      <c r="BQ115" s="21">
        <f>EXP(-LN(2)/25)*BQ114+(1-EXP(-LN(2)/25))/(LN(2)/25)*Calculateur!BL115*Calculateur!BN115*VLOOKUP('Données projet'!$B$11,Paramètres!$A$1:$I$89,3,0)*0.475*44/12</f>
        <v>29.003853375684006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34.850180778876798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7</v>
      </c>
      <c r="BY115" s="12">
        <f>IF('Données projet'!$A$114&gt;35,BY114+BX115-CG114,IF(A115&lt;'Données projet'!$A$114,$BV$205^A115,IF(A115='Données projet'!$A$114,'Données projet'!$B$114,BY114+BX115-CG114)))</f>
        <v>302.82000000000033</v>
      </c>
      <c r="BZ115" s="13">
        <f>BY115*VLOOKUP('Données projet'!$B$12,Paramètres!$A$1:$I$89,3,0)*VLOOKUP('Données projet'!$B$12,Paramètres!$A$1:$I$89,5,0)</f>
        <v>302.33548800000034</v>
      </c>
      <c r="CA115" s="13">
        <f t="shared" si="93"/>
        <v>71.665850273723549</v>
      </c>
      <c r="CB115" s="20">
        <f t="shared" si="64"/>
        <v>651.38566416006904</v>
      </c>
      <c r="CC115" s="59">
        <f t="shared" si="65"/>
        <v>944.71899749340241</v>
      </c>
      <c r="CD115" s="59">
        <f ca="1">AVERAGE(OFFSET($CC$3,0,0,'Données projet'!$E$12+1,1))-AVERAGE(OFFSET($H$3,0,0,'Données projet'!$E$12+1,1))</f>
        <v>535.99935263833549</v>
      </c>
      <c r="CE115" s="59">
        <f t="shared" si="94"/>
        <v>245.89966477332644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8.3605436479757316</v>
      </c>
      <c r="CL115" s="21">
        <f>EXP(-LN(2)/25)*CL114+(1-EXP(-LN(2)/25))/(LN(2)/25)*Calculateur!CG115*Calculateur!CI115*VLOOKUP('Données projet'!$B$12,Paramètres!$A$1:$I$89,3,0)*0.475*44/12</f>
        <v>14.135077379852738</v>
      </c>
      <c r="CM115" s="21">
        <f>EXP(-LN(2)/2)*CM114+(1-EXP(-LN(2)/2))/(LN(2)/2)*CG115*CJ115*VLOOKUP('Données projet'!$B$12,Paramètres!$A$1:$I$89,3,0)*0.475*44/12</f>
        <v>0.52006397879019839</v>
      </c>
      <c r="CN115" s="22">
        <f t="shared" si="66"/>
        <v>23.015685006618668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8.7540000000000013</v>
      </c>
      <c r="CT115" s="12">
        <f>IF('Données projet'!$A$140&gt;35,CT114+CS115-DB114,IF(A115&lt;'Données projet'!$A$140,$CQ$205^A115,IF(A115='Données projet'!$A$140,'Données projet'!$B$140,CT114+CS115-DB114)))</f>
        <v>382.42600000000027</v>
      </c>
      <c r="CU115" s="17">
        <f>CT115*VLOOKUP('Données projet'!$B$13,Paramètres!$A$1:$I$89,3,0)*VLOOKUP('Données projet'!$B$13,Paramètres!$A$1:$I$89,5,0)</f>
        <v>363.91658160000026</v>
      </c>
      <c r="CV115" s="13">
        <f t="shared" si="95"/>
        <v>84.421544732010858</v>
      </c>
      <c r="CW115" s="20">
        <f t="shared" si="67"/>
        <v>780.85557002825271</v>
      </c>
      <c r="CX115" s="59">
        <f t="shared" si="68"/>
        <v>1074.188903361586</v>
      </c>
      <c r="CY115" s="59">
        <f ca="1">AVERAGE(OFFSET($CX$3,0,0,'Données projet'!$E$13+1,1))-AVERAGE(OFFSET($H$3,0,0,'Données projet'!$E$13+1,1))</f>
        <v>449.28947235329758</v>
      </c>
      <c r="CZ115" s="59">
        <f t="shared" si="96"/>
        <v>289.36994109443964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22.355024486556282</v>
      </c>
      <c r="DG115" s="21">
        <f>EXP(-LN(2)/25)*DG114+(1-EXP(-LN(2)/25))/(LN(2)/25)*Calculateur!DB115*Calculateur!DD115*VLOOKUP('Données projet'!$B$13,Paramètres!$A$1:$I$89,3,0)*0.475*44/12</f>
        <v>19.887009489775728</v>
      </c>
      <c r="DH115" s="21">
        <f>EXP(-LN(2)/2)*DH114+(1-EXP(-LN(2)/2))/(LN(2)/2)*DB115*DE115*VLOOKUP('Données projet'!$B$13,Paramètres!$A$1:$I$89,3,0)*0.475*44/12</f>
        <v>0.69360737648957571</v>
      </c>
      <c r="DI115" s="22">
        <f t="shared" si="69"/>
        <v>42.935641352821584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5.6843418860808015E-14</v>
      </c>
      <c r="DP115" s="17">
        <f>DO115*VLOOKUP('Données projet'!$B$14,Paramètres!$A$1:$I$89,3,0)*VLOOKUP('Données projet'!$B$14,Paramètres!$A$1:$I$89,5,0)</f>
        <v>4.4337866711430253E-14</v>
      </c>
      <c r="DQ115" s="13">
        <f t="shared" si="97"/>
        <v>7.3222115536967035E-13</v>
      </c>
      <c r="DR115" s="20">
        <f t="shared" si="70"/>
        <v>1.3525069634579169E-12</v>
      </c>
      <c r="DS115" s="59">
        <f t="shared" si="71"/>
        <v>293.33333333333468</v>
      </c>
      <c r="DT115" s="59">
        <f ca="1">AVERAGE(OFFSET($DS$3,0,0,'Données projet'!$E$14+1,1))-AVERAGE(OFFSET($H$3,0,0,'Données projet'!$E$14+1,1))</f>
        <v>288.82868507674738</v>
      </c>
      <c r="DU115" s="59">
        <f t="shared" si="98"/>
        <v>283.48738729114024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18.34920542736835</v>
      </c>
      <c r="EB115" s="21">
        <f>EXP(-LN(2)/25)*EB114+(1-EXP(-LN(2)/25))/(LN(2)/25)*Calculateur!DW115*Calculateur!DY115*VLOOKUP('Données projet'!$B$14,Paramètres!$A$1:$I$89,3,0)*0.475*44/12</f>
        <v>12.850790329317505</v>
      </c>
      <c r="EC115" s="21">
        <f>EXP(-LN(2)/2)*EC114+(1-EXP(-LN(2)/2))/(LN(2)/2)*DW115*DZ115*VLOOKUP('Données projet'!$B$14,Paramètres!$A$1:$I$89,3,0)*0.475*44/12</f>
        <v>2.0485398725964292E-5</v>
      </c>
      <c r="ED115" s="22">
        <f t="shared" si="72"/>
        <v>31.20001624208458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6.8811111111111085</v>
      </c>
      <c r="EJ115" s="12">
        <f>IF('Données projet'!$A$192&gt;35,EJ114+EI115-ER114,IF(A115&lt;'Données projet'!$A$192,$EG$205^A115,IF(A115='Données projet'!$A$192,'Données projet'!$B$192,EJ114+EI115-ER114)))</f>
        <v>287.01888888888874</v>
      </c>
      <c r="EK115" s="17">
        <f>EJ115*VLOOKUP('Données projet'!$B$15,Paramètres!$A$1:$I$89,3,0)*VLOOKUP('Données projet'!$B$15,Paramètres!$A$1:$I$89,5,0)</f>
        <v>277.60466933333322</v>
      </c>
      <c r="EL115" s="13">
        <f t="shared" si="99"/>
        <v>66.460553816339257</v>
      </c>
      <c r="EM115" s="20">
        <f t="shared" si="73"/>
        <v>599.24693031901279</v>
      </c>
      <c r="EN115" s="59">
        <f t="shared" si="74"/>
        <v>892.58026365234605</v>
      </c>
      <c r="EO115" s="59">
        <f ca="1">AVERAGE(OFFSET($EN$3,0,0,'Données projet'!$E$15+1,1))-AVERAGE(OFFSET($H$3,0,0,'Données projet'!$E$15+1,1))</f>
        <v>510.71380643466227</v>
      </c>
      <c r="EP115" s="59">
        <f t="shared" si="100"/>
        <v>252.40654099948841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9.9074012137359002</v>
      </c>
      <c r="EW115" s="21">
        <f>EXP(-LN(2)/25)*EW114+(1-EXP(-LN(2)/25))/(LN(2)/25)*Calculateur!ER115*Calculateur!ET115*VLOOKUP('Données projet'!$B$15,Paramètres!$A$1:$I$89,3,0)*0.475*44/12</f>
        <v>13.632491008945946</v>
      </c>
      <c r="EX115" s="21">
        <f>EXP(-LN(2)/2)*EX114+(1-EXP(-LN(2)/2))/(LN(2)/2)*ER115*EU115*VLOOKUP('Données projet'!$B$15,Paramètres!$A$1:$I$89,3,0)*0.475*44/12</f>
        <v>0.58949039414716708</v>
      </c>
      <c r="EY115" s="22">
        <f t="shared" si="75"/>
        <v>24.129382616829012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>
        <f>VLOOKUP(A116,'Données projet'!$A$35:$I$55,2,0)</f>
        <v>309.82</v>
      </c>
      <c r="L116" s="12">
        <f>VLOOKUP(A116,'Données projet'!$A$35:$I$55,9,0)</f>
        <v>7</v>
      </c>
      <c r="M116" s="12">
        <f t="array" ref="M116">INDEX(L:L,MIN(IF(ISNUMBER(L116:L312),ROW(L116:L312),"")))</f>
        <v>7</v>
      </c>
      <c r="N116" s="13">
        <f>IF('Données projet'!$A$36&gt;35,N115+M116-V115,IF(A116&lt;'Données projet'!$A$36,$K$205^A116,IF(A116='Données projet'!$A$36,'Données projet'!$B$36,N115+M116-V115)))</f>
        <v>309.82000000000033</v>
      </c>
      <c r="O116" s="13">
        <f>N116*VLOOKUP('Données projet'!$B$9,Paramètres!$A$1:$I$89,3,0)*VLOOKUP('Données projet'!$B$9,Paramètres!$A$1:$I$89,5,0)</f>
        <v>314.15748000000036</v>
      </c>
      <c r="P116" s="13">
        <f t="shared" si="87"/>
        <v>74.136403130497712</v>
      </c>
      <c r="Q116" s="20">
        <f t="shared" si="107"/>
        <v>676.27851311895085</v>
      </c>
      <c r="R116" s="59">
        <f t="shared" si="55"/>
        <v>969.61184645228423</v>
      </c>
      <c r="S116" s="59">
        <f ca="1">AVERAGE(OFFSET($R$3,0,0,'Données projet'!$E$9+1,1))-AVERAGE(OFFSET($H$3,0,0,'Données projet'!$E$9+1,1))</f>
        <v>543.67050511722618</v>
      </c>
      <c r="T116" s="59">
        <f t="shared" si="88"/>
        <v>249.0871389941106</v>
      </c>
      <c r="U116" s="15">
        <f>IF(ISNA(VLOOKUP(A116,'Données projet'!$A$35:$I$55,3,0)),0,VLOOKUP(A116,'Données projet'!$A$35:$I$55,3,0))</f>
        <v>8</v>
      </c>
      <c r="V116" s="15">
        <f>IF(ISNA(VLOOKUP(A116,'Données projet'!$A$35:$I$55,4,0)),0,VLOOKUP(A116,'Données projet'!$A$35:$I$55,4,0))</f>
        <v>47.019999999999982</v>
      </c>
      <c r="W116" s="16">
        <f>IF(ISNA(VLOOKUP(A116,'Données projet'!$A$35:$I$55,5,0)),0%,VLOOKUP(A116,'Données projet'!$A$35:$I$55,5,0)*VLOOKUP('Données projet'!$B$9,Paramètres!$A$1:$I$89,7,0))</f>
        <v>0.15049999999999999</v>
      </c>
      <c r="X116" s="16">
        <f>IF(ISNA(VLOOKUP(A116,'Données projet'!$A$35:$I$55,6,0)),0%,VLOOKUP(A116,'Données projet'!$A$35:$I$55,6,0)*VLOOKUP('Données projet'!$B$9,Paramètres!$A$1:$I$89,7,0))</f>
        <v>8.6000000000000007E-2</v>
      </c>
      <c r="Y116" s="16">
        <f>IF(ISNA(VLOOKUP(A116,'Données projet'!$A$35:$I$55,7,0)),0%,VLOOKUP(A116,'Données projet'!$A$35:$I$55,7,0))</f>
        <v>0.1</v>
      </c>
      <c r="Z116" s="21">
        <f>EXP(-LN(2)/35)*Z115+(1-EXP(-LN(2)/35))/(LN(2)/35)*V116*W116*VLOOKUP('Données projet'!$B$9,Paramètres!$A$1:$I$89,3,0)*0.475*44/12</f>
        <v>19.586930879150579</v>
      </c>
      <c r="AA116" s="21">
        <f>EXP(-LN(2)/25)*AA115+(1-EXP(-LN(2)/25))/(LN(2)/25)*Calculateur!V116*Calculateur!X116*VLOOKUP('Données projet'!$B$9,Paramètres!$A$1:$I$89,3,0)*0.475*44/12</f>
        <v>31.405474261322375</v>
      </c>
      <c r="AB116" s="21">
        <f>EXP(-LN(2)/2)*AB115+(1-EXP(-LN(2)/2))/(LN(2)/2)*V116*Y116*VLOOKUP('Données projet'!$B$9,Paramètres!$A$1:$I$89,3,0)*0.475*44/12</f>
        <v>4.6480891953480175</v>
      </c>
      <c r="AC116" s="22">
        <f t="shared" si="57"/>
        <v>55.640494335820975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8.8449999999999989</v>
      </c>
      <c r="AI116" s="13">
        <f>IF('Données projet'!$A$62&gt;35,AI115+AH116-AQ115,IF(A116&lt;'Données projet'!$A$62,$AF$205^A116,IF(A116='Données projet'!$A$62,'Données projet'!$B$62,AI115+AH116-AQ115)))</f>
        <v>415.71500000000071</v>
      </c>
      <c r="AJ116" s="13">
        <f>AI116*VLOOKUP('Données projet'!$B$10,Paramètres!$A$1:$I$89,3,0)*VLOOKUP('Données projet'!$B$10,Paramètres!$A$1:$I$89,5,0)</f>
        <v>376.13893200000064</v>
      </c>
      <c r="AK116" s="13">
        <f t="shared" si="89"/>
        <v>86.922020183945492</v>
      </c>
      <c r="AL116" s="20">
        <f t="shared" si="58"/>
        <v>806.49782505370615</v>
      </c>
      <c r="AM116" s="59">
        <f t="shared" si="59"/>
        <v>1099.8311583870395</v>
      </c>
      <c r="AN116" s="59">
        <f ca="1">AVERAGE(OFFSET($AM$3,0,0,'Données projet'!$E$10+1,1))-AVERAGE(OFFSET($H$3,0,0,'Données projet'!$E$10+1,1))</f>
        <v>635.71275911100679</v>
      </c>
      <c r="AO116" s="59">
        <f t="shared" si="90"/>
        <v>281.7776857269169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27.692345089845542</v>
      </c>
      <c r="AV116" s="21">
        <f>EXP(-LN(2)/25)*AV115+(1-EXP(-LN(2)/25))/(LN(2)/25)*Calculateur!AQ116*Calculateur!AS116*VLOOKUP('Données projet'!$B$10,Paramètres!$A$1:$I$89,3,0)*0.475*44/12</f>
        <v>21.056435771050243</v>
      </c>
      <c r="AW116" s="21">
        <f>EXP(-LN(2)/2)*AW115+(1-EXP(-LN(2)/2))/(LN(2)/2)*AQ116*AT116*VLOOKUP('Données projet'!$B$10,Paramètres!$A$1:$I$89,3,0)*0.475*44/12</f>
        <v>0.25754178653251392</v>
      </c>
      <c r="AX116" s="21">
        <f t="shared" si="60"/>
        <v>49.006322647428298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204.11804238362862</v>
      </c>
      <c r="BJ116" s="59">
        <f t="shared" si="92"/>
        <v>185.53854651509408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5.7316844887237899</v>
      </c>
      <c r="BQ116" s="21">
        <f>EXP(-LN(2)/25)*BQ115+(1-EXP(-LN(2)/25))/(LN(2)/25)*Calculateur!BL116*Calculateur!BN116*VLOOKUP('Données projet'!$B$11,Paramètres!$A$1:$I$89,3,0)*0.475*44/12</f>
        <v>28.210741479879566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33.942425968603359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>
        <f>VLOOKUP(A116,'Données projet'!$A$113:$I$133,2,0)</f>
        <v>309.82</v>
      </c>
      <c r="BW116" s="12">
        <f>VLOOKUP(A116,'Données projet'!$A$113:$I$133,9,0)</f>
        <v>7</v>
      </c>
      <c r="BX116" s="12">
        <f t="array" ref="BX116">INDEX(BW:BW,MIN(IF(ISNUMBER(BW116:BW312),ROW(BW116:BW312),"")))</f>
        <v>7</v>
      </c>
      <c r="BY116" s="12">
        <f>IF('Données projet'!$A$114&gt;35,BY115+BX116-CG115,IF(A116&lt;'Données projet'!$A$114,$BV$205^A116,IF(A116='Données projet'!$A$114,'Données projet'!$B$114,BY115+BX116-CG115)))</f>
        <v>309.82000000000033</v>
      </c>
      <c r="BZ116" s="13">
        <f>BY116*VLOOKUP('Données projet'!$B$12,Paramètres!$A$1:$I$89,3,0)*VLOOKUP('Données projet'!$B$12,Paramètres!$A$1:$I$89,5,0)</f>
        <v>309.32428800000037</v>
      </c>
      <c r="CA116" s="13">
        <f t="shared" si="93"/>
        <v>73.127696695718498</v>
      </c>
      <c r="CB116" s="20">
        <f t="shared" si="64"/>
        <v>666.10387334504355</v>
      </c>
      <c r="CC116" s="59">
        <f t="shared" si="65"/>
        <v>959.43720667837692</v>
      </c>
      <c r="CD116" s="59">
        <f ca="1">AVERAGE(OFFSET($CC$3,0,0,'Données projet'!$E$12+1,1))-AVERAGE(OFFSET($H$3,0,0,'Données projet'!$E$12+1,1))</f>
        <v>535.99935263833549</v>
      </c>
      <c r="CE116" s="59">
        <f t="shared" si="94"/>
        <v>245.89966477332644</v>
      </c>
      <c r="CF116" s="15">
        <f>IF(ISNA(VLOOKUP(A116,'Données projet'!$A$113:$I$133,3,0)),0,VLOOKUP(A116,'Données projet'!$A$113:$I$133,3,0))</f>
        <v>8</v>
      </c>
      <c r="CG116" s="15">
        <f>IF(ISNA(VLOOKUP(A116,'Données projet'!$A$113:$I$133,4,0)),0,VLOOKUP(A116,'Données projet'!$A$113:$I$133,4,0))</f>
        <v>47.019999999999982</v>
      </c>
      <c r="CH116" s="16">
        <f>IF(ISNA(VLOOKUP(A116,'Données projet'!$A$113:$I$133,5,0)),0%,VLOOKUP(A116,'Données projet'!$A$113:$I$133,5,0)*VLOOKUP('Données projet'!$B$12,Paramètres!$A$1:$I$89,7,0))</f>
        <v>0.1075</v>
      </c>
      <c r="CI116" s="16">
        <f>IF(ISNA(VLOOKUP(A116,'Données projet'!$A$113:$I$133,6,0)),0%,VLOOKUP(A116,'Données projet'!$A$113:$I$133,6,0)*VLOOKUP('Données projet'!$B$12,Paramètres!$A$1:$I$89,7,0))</f>
        <v>0.1075</v>
      </c>
      <c r="CJ116" s="16">
        <f>IF(ISNA(VLOOKUP(A116,'Données projet'!$A$113:$I$133,7,0)),0%,VLOOKUP(A116,'Données projet'!$A$113:$I$133,7,0))</f>
        <v>0.25</v>
      </c>
      <c r="CK116" s="21">
        <f>EXP(-LN(2)/35)*CK115+(1-EXP(-LN(2)/35))/(LN(2)/35)*CG116*CH116*VLOOKUP('Données projet'!$B$12,Paramètres!$A$1:$I$89,3,0)*0.475*44/12</f>
        <v>13.775423915007</v>
      </c>
      <c r="CL116" s="21">
        <f>EXP(-LN(2)/25)*CL115+(1-EXP(-LN(2)/25))/(LN(2)/25)*Calculateur!CG116*Calculateur!CI116*VLOOKUP('Données projet'!$B$12,Paramètres!$A$1:$I$89,3,0)*0.475*44/12</f>
        <v>19.305412412697923</v>
      </c>
      <c r="CM116" s="21">
        <f>EXP(-LN(2)/2)*CM115+(1-EXP(-LN(2)/2))/(LN(2)/2)*CG116*CJ116*VLOOKUP('Données projet'!$B$12,Paramètres!$A$1:$I$89,3,0)*0.475*44/12</f>
        <v>11.441153793029844</v>
      </c>
      <c r="CN116" s="22">
        <f t="shared" si="66"/>
        <v>44.52199012073477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>
        <f>VLOOKUP(A116,'Données projet'!$A$139:$I$159,2,0)</f>
        <v>391.18</v>
      </c>
      <c r="CR116" s="12">
        <f>VLOOKUP(A116,'Données projet'!$A$139:$I$159,9,0)</f>
        <v>8.7540000000000013</v>
      </c>
      <c r="CS116" s="12">
        <f t="array" ref="CS116">INDEX(CR:CR,MIN(IF(ISNUMBER(CR116:CR312),ROW(CR116:CR312),"")))</f>
        <v>8.7540000000000013</v>
      </c>
      <c r="CT116" s="12">
        <f>IF('Données projet'!$A$140&gt;35,CT115+CS116-DB115,IF(A116&lt;'Données projet'!$A$140,$CQ$205^A116,IF(A116='Données projet'!$A$140,'Données projet'!$B$140,CT115+CS116-DB115)))</f>
        <v>391.18000000000029</v>
      </c>
      <c r="CU116" s="17">
        <f>CT116*VLOOKUP('Données projet'!$B$13,Paramètres!$A$1:$I$89,3,0)*VLOOKUP('Données projet'!$B$13,Paramètres!$A$1:$I$89,5,0)</f>
        <v>372.2468880000003</v>
      </c>
      <c r="CV116" s="13">
        <f t="shared" si="95"/>
        <v>86.126818217596863</v>
      </c>
      <c r="CW116" s="20">
        <f t="shared" si="67"/>
        <v>798.33420499564829</v>
      </c>
      <c r="CX116" s="59">
        <f t="shared" si="68"/>
        <v>1091.6675383289817</v>
      </c>
      <c r="CY116" s="59">
        <f ca="1">AVERAGE(OFFSET($CX$3,0,0,'Données projet'!$E$13+1,1))-AVERAGE(OFFSET($H$3,0,0,'Données projet'!$E$13+1,1))</f>
        <v>449.28947235329758</v>
      </c>
      <c r="CZ116" s="59">
        <f t="shared" si="96"/>
        <v>289.36994109443964</v>
      </c>
      <c r="DA116" s="15">
        <f>IF(ISNA(VLOOKUP(A116,'Données projet'!$A$139:$I$159,3,0)),0,VLOOKUP(A116,'Données projet'!$A$139:$I$159,3,0))</f>
        <v>10</v>
      </c>
      <c r="DB116" s="15">
        <f>IF(ISNA(VLOOKUP(A116,'Données projet'!$A$139:$I$159,4,0)),0,VLOOKUP(A116,'Données projet'!$A$139:$I$159,4,0))</f>
        <v>68.670000000000016</v>
      </c>
      <c r="DC116" s="16">
        <f>IF(ISNA(VLOOKUP(A116,'Données projet'!$A$139:$I$159,5,0)),0%,VLOOKUP(A116,'Données projet'!$A$139:$I$159,5,0)*VLOOKUP('Données projet'!$B$13,Paramètres!$A$1:$I$89,7,0))</f>
        <v>0.1075</v>
      </c>
      <c r="DD116" s="16">
        <f>IF(ISNA(VLOOKUP(A116,'Données projet'!$A$139:$I$159,6,0)),0%,VLOOKUP(A116,'Données projet'!$A$139:$I$159,6,0)*VLOOKUP('Données projet'!$B$13,Paramètres!$A$1:$I$89,7,0))</f>
        <v>0.1075</v>
      </c>
      <c r="DE116" s="16">
        <f>IF(ISNA(VLOOKUP(A116,'Données projet'!$A$139:$I$159,7,0)),0%,VLOOKUP(A116,'Données projet'!$A$139:$I$159,7,0))</f>
        <v>0.25</v>
      </c>
      <c r="DF116" s="21">
        <f>EXP(-LN(2)/35)*DF115+(1-EXP(-LN(2)/35))/(LN(2)/35)*DB116*DC116*VLOOKUP('Données projet'!$B$13,Paramètres!$A$1:$I$89,3,0)*0.475*44/12</f>
        <v>29.682292547107181</v>
      </c>
      <c r="DG116" s="21">
        <f>EXP(-LN(2)/25)*DG115+(1-EXP(-LN(2)/25))/(LN(2)/25)*Calculateur!DB116*Calculateur!DD116*VLOOKUP('Données projet'!$B$13,Paramètres!$A$1:$I$89,3,0)*0.475*44/12</f>
        <v>27.078258355314308</v>
      </c>
      <c r="DH116" s="21">
        <f>EXP(-LN(2)/2)*DH115+(1-EXP(-LN(2)/2))/(LN(2)/2)*DB116*DE116*VLOOKUP('Données projet'!$B$13,Paramètres!$A$1:$I$89,3,0)*0.475*44/12</f>
        <v>15.904469667850778</v>
      </c>
      <c r="DI116" s="22">
        <f t="shared" si="69"/>
        <v>72.665020570272262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5.6843418860808015E-14</v>
      </c>
      <c r="DP116" s="17">
        <f>DO116*VLOOKUP('Données projet'!$B$14,Paramètres!$A$1:$I$89,3,0)*VLOOKUP('Données projet'!$B$14,Paramètres!$A$1:$I$89,5,0)</f>
        <v>4.4337866711430253E-14</v>
      </c>
      <c r="DQ116" s="13">
        <f t="shared" si="97"/>
        <v>7.3222115536967035E-13</v>
      </c>
      <c r="DR116" s="20">
        <f t="shared" si="70"/>
        <v>1.3525069634579169E-12</v>
      </c>
      <c r="DS116" s="59">
        <f t="shared" si="71"/>
        <v>293.33333333333468</v>
      </c>
      <c r="DT116" s="59">
        <f ca="1">AVERAGE(OFFSET($DS$3,0,0,'Données projet'!$E$14+1,1))-AVERAGE(OFFSET($H$3,0,0,'Données projet'!$E$14+1,1))</f>
        <v>288.82868507674738</v>
      </c>
      <c r="DU116" s="59">
        <f t="shared" si="98"/>
        <v>283.48738729114024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17.989388700847858</v>
      </c>
      <c r="EB116" s="21">
        <f>EXP(-LN(2)/25)*EB115+(1-EXP(-LN(2)/25))/(LN(2)/25)*Calculateur!DW116*Calculateur!DY116*VLOOKUP('Données projet'!$B$14,Paramètres!$A$1:$I$89,3,0)*0.475*44/12</f>
        <v>12.499384791968625</v>
      </c>
      <c r="EC116" s="21">
        <f>EXP(-LN(2)/2)*EC115+(1-EXP(-LN(2)/2))/(LN(2)/2)*DW116*DZ116*VLOOKUP('Données projet'!$B$14,Paramètres!$A$1:$I$89,3,0)*0.475*44/12</f>
        <v>1.4485364354439612E-5</v>
      </c>
      <c r="ED116" s="22">
        <f t="shared" si="72"/>
        <v>30.488787978180838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>
        <f>VLOOKUP(A116,'Données projet'!$A$191:$I$211,2,0)</f>
        <v>293.89999999999998</v>
      </c>
      <c r="EH116" s="12">
        <f>VLOOKUP(A116,'Données projet'!$A$191:$I$211,9,0)</f>
        <v>6.8811111111111085</v>
      </c>
      <c r="EI116" s="12">
        <f t="array" ref="EI116">INDEX(EH:EH,MIN(IF(ISNUMBER(EH116:EH312),ROW(EH116:EH312),"")))</f>
        <v>6.8811111111111085</v>
      </c>
      <c r="EJ116" s="12">
        <f>IF('Données projet'!$A$192&gt;35,EJ115+EI116-ER115,IF(A116&lt;'Données projet'!$A$192,$EG$205^A116,IF(A116='Données projet'!$A$192,'Données projet'!$B$192,EJ115+EI116-ER115)))</f>
        <v>293.89999999999986</v>
      </c>
      <c r="EK116" s="17">
        <f>EJ116*VLOOKUP('Données projet'!$B$15,Paramètres!$A$1:$I$89,3,0)*VLOOKUP('Données projet'!$B$15,Paramètres!$A$1:$I$89,5,0)</f>
        <v>284.26007999999985</v>
      </c>
      <c r="EL116" s="13">
        <f t="shared" si="99"/>
        <v>67.866493540604594</v>
      </c>
      <c r="EM116" s="20">
        <f t="shared" si="73"/>
        <v>613.28711558321936</v>
      </c>
      <c r="EN116" s="59">
        <f t="shared" si="74"/>
        <v>906.62044891655273</v>
      </c>
      <c r="EO116" s="59">
        <f ca="1">AVERAGE(OFFSET($EN$3,0,0,'Données projet'!$E$15+1,1))-AVERAGE(OFFSET($H$3,0,0,'Données projet'!$E$15+1,1))</f>
        <v>510.71380643466227</v>
      </c>
      <c r="EP116" s="59">
        <f t="shared" si="100"/>
        <v>252.40654099948841</v>
      </c>
      <c r="EQ116" s="15">
        <f>IF(ISNA(VLOOKUP(A116,'Données projet'!$A$191:$I$211,3,0)),0,VLOOKUP(A116,'Données projet'!$A$191:$I$211,3,0))</f>
        <v>7</v>
      </c>
      <c r="ER116" s="15">
        <f>IF(ISNA(VLOOKUP(A116,'Données projet'!$A$191:$I$211,4,0)),0,VLOOKUP(A116,'Données projet'!$A$191:$I$211,4,0))</f>
        <v>41.639999999999986</v>
      </c>
      <c r="ES116" s="16">
        <f>IF(ISNA(VLOOKUP(A116,'Données projet'!$A$191:$I$211,5,0)),0%,VLOOKUP(A116,'Données projet'!$A$191:$I$211,5,0)*VLOOKUP('Données projet'!$B$15,Paramètres!$A$1:$I$89,7,0))</f>
        <v>0.1075</v>
      </c>
      <c r="ET116" s="16">
        <f>IF(ISNA(VLOOKUP(A116,'Données projet'!$A$191:$I$211,6,0)),0%,VLOOKUP(A116,'Données projet'!$A$191:$I$211,6,0)*VLOOKUP('Données projet'!$B$15,Paramètres!$A$1:$I$89,7,0))</f>
        <v>0.1075</v>
      </c>
      <c r="EU116" s="16">
        <f>IF(ISNA(VLOOKUP(A116,'Données projet'!$A$191:$I$211,7,0)),0%,VLOOKUP(A116,'Données projet'!$A$191:$I$211,7,0))</f>
        <v>0.25</v>
      </c>
      <c r="EV116" s="21">
        <f>EXP(-LN(2)/35)*EV115+(1-EXP(-LN(2)/35))/(LN(2)/35)*ER116*ES116*VLOOKUP('Données projet'!$B$15,Paramètres!$A$1:$I$89,3,0)*0.475*44/12</f>
        <v>14.499232099191104</v>
      </c>
      <c r="EW116" s="21">
        <f>EXP(-LN(2)/25)*EW115+(1-EXP(-LN(2)/25))/(LN(2)/25)*Calculateur!ER116*Calculateur!ET116*VLOOKUP('Données projet'!$B$15,Paramètres!$A$1:$I$89,3,0)*0.475*44/12</f>
        <v>18.026974071037202</v>
      </c>
      <c r="EX116" s="21">
        <f>EXP(-LN(2)/2)*EX115+(1-EXP(-LN(2)/2))/(LN(2)/2)*ER116*EU116*VLOOKUP('Données projet'!$B$15,Paramètres!$A$1:$I$89,3,0)*0.475*44/12</f>
        <v>9.9167824582497008</v>
      </c>
      <c r="EY116" s="22">
        <f t="shared" si="75"/>
        <v>42.442988628478005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7.2033333333333331</v>
      </c>
      <c r="N117" s="13">
        <f>IF('Données projet'!$A$36&gt;35,N116+M117-V116,IF(A117&lt;'Données projet'!$A$36,$K$205^A117,IF(A117='Données projet'!$A$36,'Données projet'!$B$36,N116+M117-V116)))</f>
        <v>270.00333333333367</v>
      </c>
      <c r="O117" s="13">
        <f>N117*VLOOKUP('Données projet'!$B$9,Paramètres!$A$1:$I$89,3,0)*VLOOKUP('Données projet'!$B$9,Paramètres!$A$1:$I$89,5,0)</f>
        <v>273.78338000000036</v>
      </c>
      <c r="P117" s="13">
        <f t="shared" si="87"/>
        <v>65.651546588057471</v>
      </c>
      <c r="Q117" s="20">
        <f t="shared" si="107"/>
        <v>591.18249714086733</v>
      </c>
      <c r="R117" s="59">
        <f t="shared" si="55"/>
        <v>884.51583047420058</v>
      </c>
      <c r="S117" s="59">
        <f ca="1">AVERAGE(OFFSET($R$3,0,0,'Données projet'!$E$9+1,1))-AVERAGE(OFFSET($H$3,0,0,'Données projet'!$E$9+1,1))</f>
        <v>543.67050511722618</v>
      </c>
      <c r="T117" s="59">
        <f t="shared" si="88"/>
        <v>249.0871389941106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19.20284311145862</v>
      </c>
      <c r="AA117" s="21">
        <f>EXP(-LN(2)/25)*AA116+(1-EXP(-LN(2)/25))/(LN(2)/25)*Calculateur!V117*Calculateur!X117*VLOOKUP('Données projet'!$B$9,Paramètres!$A$1:$I$89,3,0)*0.475*44/12</f>
        <v>30.546689916104402</v>
      </c>
      <c r="AB117" s="21">
        <f>EXP(-LN(2)/2)*AB116+(1-EXP(-LN(2)/2))/(LN(2)/2)*V117*Y117*VLOOKUP('Données projet'!$B$9,Paramètres!$A$1:$I$89,3,0)*0.475*44/12</f>
        <v>3.2866953895905064</v>
      </c>
      <c r="AC117" s="22">
        <f t="shared" si="57"/>
        <v>53.036228417153524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8.8449999999999989</v>
      </c>
      <c r="AH117" s="12">
        <f t="array" ref="AH117">INDEX(AG:AG,MIN(IF(ISNUMBER(AG117:AG313),ROW(AG117:AG313),"")))</f>
        <v>8.8449999999999989</v>
      </c>
      <c r="AI117" s="13">
        <f>IF('Données projet'!$A$62&gt;35,AI116+AH117-AQ116,IF(A117&lt;'Données projet'!$A$62,$AF$205^A117,IF(A117='Données projet'!$A$62,'Données projet'!$B$62,AI116+AH117-AQ116)))</f>
        <v>424.56000000000074</v>
      </c>
      <c r="AJ117" s="13">
        <f>AI117*VLOOKUP('Données projet'!$B$10,Paramètres!$A$1:$I$89,3,0)*VLOOKUP('Données projet'!$B$10,Paramètres!$A$1:$I$89,5,0)</f>
        <v>384.14188800000068</v>
      </c>
      <c r="AK117" s="13">
        <f t="shared" si="89"/>
        <v>88.554146462646884</v>
      </c>
      <c r="AL117" s="20">
        <f t="shared" si="58"/>
        <v>823.27892668911102</v>
      </c>
      <c r="AM117" s="59">
        <f t="shared" si="59"/>
        <v>1116.6122600224444</v>
      </c>
      <c r="AN117" s="59">
        <f ca="1">AVERAGE(OFFSET($AM$3,0,0,'Données projet'!$E$10+1,1))-AVERAGE(OFFSET($H$3,0,0,'Données projet'!$E$10+1,1))</f>
        <v>635.71275911100679</v>
      </c>
      <c r="AO117" s="59">
        <f t="shared" si="90"/>
        <v>281.7776857269169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61.860000000000014</v>
      </c>
      <c r="AR117" s="16">
        <f>IF(ISNA(VLOOKUP(A117,'Données projet'!$A$61:$I$81,5,0)),0%,VLOOKUP(A117,'Données projet'!$A$61:$I$81,5,0)*VLOOKUP('Données projet'!$B$10,Paramètres!$A$1:$I$89,7,0))</f>
        <v>0.15049999999999999</v>
      </c>
      <c r="AS117" s="16">
        <f>IF(ISNA(VLOOKUP(A117,'Données projet'!$A$61:$I$81,6,0)),0%,VLOOKUP(A117,'Données projet'!$A$61:$I$81,6,0)*VLOOKUP('Données projet'!$B$10,Paramètres!$A$1:$I$89,7,0))</f>
        <v>8.6000000000000007E-2</v>
      </c>
      <c r="AT117" s="16">
        <f>IF(ISNA(VLOOKUP(A117,'Données projet'!$A$61:$I$81,7,0)),0%,VLOOKUP(A117,'Données projet'!$A$61:$I$81,7,0))</f>
        <v>0.1</v>
      </c>
      <c r="AU117" s="21">
        <f>EXP(-LN(2)/35)*AU116+(1-EXP(-LN(2)/35))/(LN(2)/35)*AQ117*AR117*VLOOKUP('Données projet'!$B$10,Paramètres!$A$1:$I$89,3,0)*0.475*44/12</f>
        <v>36.461382647651561</v>
      </c>
      <c r="AV117" s="21">
        <f>EXP(-LN(2)/25)*AV116+(1-EXP(-LN(2)/25))/(LN(2)/25)*Calculateur!AQ117*Calculateur!AS117*VLOOKUP('Données projet'!$B$10,Paramètres!$A$1:$I$89,3,0)*0.475*44/12</f>
        <v>25.780876368276925</v>
      </c>
      <c r="AW117" s="21">
        <f>EXP(-LN(2)/2)*AW116+(1-EXP(-LN(2)/2))/(LN(2)/2)*AQ117*AT117*VLOOKUP('Données projet'!$B$10,Paramètres!$A$1:$I$89,3,0)*0.475*44/12</f>
        <v>5.4631172440400739</v>
      </c>
      <c r="AX117" s="21">
        <f t="shared" si="60"/>
        <v>67.70537625996856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204.11804238362862</v>
      </c>
      <c r="BJ117" s="59">
        <f t="shared" si="92"/>
        <v>185.53854651509408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5.619289651882255</v>
      </c>
      <c r="BQ117" s="21">
        <f>EXP(-LN(2)/25)*BQ116+(1-EXP(-LN(2)/25))/(LN(2)/25)*Calculateur!BL117*Calculateur!BN117*VLOOKUP('Données projet'!$B$11,Paramètres!$A$1:$I$89,3,0)*0.475*44/12</f>
        <v>27.439317270573842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33.058606922456093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7.2033333333333331</v>
      </c>
      <c r="BY117" s="12">
        <f>IF('Données projet'!$A$114&gt;35,BY116+BX117-CG116,IF(A117&lt;'Données projet'!$A$114,$BV$205^A117,IF(A117='Données projet'!$A$114,'Données projet'!$B$114,BY116+BX117-CG116)))</f>
        <v>270.00333333333367</v>
      </c>
      <c r="BZ117" s="13">
        <f>BY117*VLOOKUP('Données projet'!$B$12,Paramètres!$A$1:$I$89,3,0)*VLOOKUP('Données projet'!$B$12,Paramètres!$A$1:$I$89,5,0)</f>
        <v>269.57132800000034</v>
      </c>
      <c r="CA117" s="13">
        <f t="shared" si="93"/>
        <v>64.758285859181711</v>
      </c>
      <c r="CB117" s="20">
        <f t="shared" si="64"/>
        <v>582.2907441380753</v>
      </c>
      <c r="CC117" s="59">
        <f t="shared" si="65"/>
        <v>875.62407747140855</v>
      </c>
      <c r="CD117" s="59">
        <f ca="1">AVERAGE(OFFSET($CC$3,0,0,'Données projet'!$E$12+1,1))-AVERAGE(OFFSET($H$3,0,0,'Données projet'!$E$12+1,1))</f>
        <v>535.99935263833549</v>
      </c>
      <c r="CE117" s="59">
        <f t="shared" si="94"/>
        <v>245.89966477332644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13.505296254212654</v>
      </c>
      <c r="CL117" s="21">
        <f>EXP(-LN(2)/25)*CL116+(1-EXP(-LN(2)/25))/(LN(2)/25)*Calculateur!CG117*Calculateur!CI117*VLOOKUP('Données projet'!$B$12,Paramètres!$A$1:$I$89,3,0)*0.475*44/12</f>
        <v>18.777504895045183</v>
      </c>
      <c r="CM117" s="21">
        <f>EXP(-LN(2)/2)*CM116+(1-EXP(-LN(2)/2))/(LN(2)/2)*CG117*CJ117*VLOOKUP('Données projet'!$B$12,Paramètres!$A$1:$I$89,3,0)*0.475*44/12</f>
        <v>8.0901174316495936</v>
      </c>
      <c r="CN117" s="22">
        <f t="shared" si="66"/>
        <v>40.372918580907431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8.7019999999999982</v>
      </c>
      <c r="CT117" s="12">
        <f>IF('Données projet'!$A$140&gt;35,CT116+CS117-DB116,IF(A117&lt;'Données projet'!$A$140,$CQ$205^A117,IF(A117='Données projet'!$A$140,'Données projet'!$B$140,CT116+CS117-DB116)))</f>
        <v>331.21200000000027</v>
      </c>
      <c r="CU117" s="17">
        <f>CT117*VLOOKUP('Données projet'!$B$13,Paramètres!$A$1:$I$89,3,0)*VLOOKUP('Données projet'!$B$13,Paramètres!$A$1:$I$89,5,0)</f>
        <v>315.18133920000031</v>
      </c>
      <c r="CV117" s="13">
        <f t="shared" si="95"/>
        <v>74.349853920870757</v>
      </c>
      <c r="CW117" s="20">
        <f t="shared" si="67"/>
        <v>678.43349468551708</v>
      </c>
      <c r="CX117" s="59">
        <f t="shared" si="68"/>
        <v>971.76682801885045</v>
      </c>
      <c r="CY117" s="59">
        <f ca="1">AVERAGE(OFFSET($CX$3,0,0,'Données projet'!$E$13+1,1))-AVERAGE(OFFSET($H$3,0,0,'Données projet'!$E$13+1,1))</f>
        <v>449.28947235329758</v>
      </c>
      <c r="CZ117" s="59">
        <f t="shared" si="96"/>
        <v>289.36994109443964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29.100240894669202</v>
      </c>
      <c r="DG117" s="21">
        <f>EXP(-LN(2)/25)*DG116+(1-EXP(-LN(2)/25))/(LN(2)/25)*Calculateur!DB117*Calculateur!DD117*VLOOKUP('Données projet'!$B$13,Paramètres!$A$1:$I$89,3,0)*0.475*44/12</f>
        <v>26.337801956604519</v>
      </c>
      <c r="DH117" s="21">
        <f>EXP(-LN(2)/2)*DH116+(1-EXP(-LN(2)/2))/(LN(2)/2)*DB117*DE117*VLOOKUP('Données projet'!$B$13,Paramètres!$A$1:$I$89,3,0)*0.475*44/12</f>
        <v>11.246158353313042</v>
      </c>
      <c r="DI117" s="22">
        <f t="shared" si="69"/>
        <v>66.68420120458677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5.6843418860808015E-14</v>
      </c>
      <c r="DP117" s="17">
        <f>DO117*VLOOKUP('Données projet'!$B$14,Paramètres!$A$1:$I$89,3,0)*VLOOKUP('Données projet'!$B$14,Paramètres!$A$1:$I$89,5,0)</f>
        <v>4.4337866711430253E-14</v>
      </c>
      <c r="DQ117" s="13">
        <f t="shared" si="97"/>
        <v>7.3222115536967035E-13</v>
      </c>
      <c r="DR117" s="20">
        <f t="shared" si="70"/>
        <v>1.3525069634579169E-12</v>
      </c>
      <c r="DS117" s="59">
        <f t="shared" si="71"/>
        <v>293.33333333333468</v>
      </c>
      <c r="DT117" s="59">
        <f ca="1">AVERAGE(OFFSET($DS$3,0,0,'Données projet'!$E$14+1,1))-AVERAGE(OFFSET($H$3,0,0,'Données projet'!$E$14+1,1))</f>
        <v>288.82868507674738</v>
      </c>
      <c r="DU117" s="59">
        <f t="shared" si="98"/>
        <v>283.48738729114024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17.636627760867899</v>
      </c>
      <c r="EB117" s="21">
        <f>EXP(-LN(2)/25)*EB116+(1-EXP(-LN(2)/25))/(LN(2)/25)*Calculateur!DW117*Calculateur!DY117*VLOOKUP('Données projet'!$B$14,Paramètres!$A$1:$I$89,3,0)*0.475*44/12</f>
        <v>12.157588457518164</v>
      </c>
      <c r="EC117" s="21">
        <f>EXP(-LN(2)/2)*EC116+(1-EXP(-LN(2)/2))/(LN(2)/2)*DW117*DZ117*VLOOKUP('Données projet'!$B$14,Paramètres!$A$1:$I$89,3,0)*0.475*44/12</f>
        <v>1.0242699362982146E-5</v>
      </c>
      <c r="ED117" s="22">
        <f t="shared" si="72"/>
        <v>29.794226461085426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7.0011111111111104</v>
      </c>
      <c r="EJ117" s="12">
        <f>IF('Données projet'!$A$192&gt;35,EJ116+EI117-ER116,IF(A117&lt;'Données projet'!$A$192,$EG$205^A117,IF(A117='Données projet'!$A$192,'Données projet'!$B$192,EJ116+EI117-ER116)))</f>
        <v>259.26111111111101</v>
      </c>
      <c r="EK117" s="17">
        <f>EJ117*VLOOKUP('Données projet'!$B$15,Paramètres!$A$1:$I$89,3,0)*VLOOKUP('Données projet'!$B$15,Paramètres!$A$1:$I$89,5,0)</f>
        <v>250.75734666666656</v>
      </c>
      <c r="EL117" s="13">
        <f t="shared" si="99"/>
        <v>60.748086681617018</v>
      </c>
      <c r="EM117" s="20">
        <f t="shared" si="73"/>
        <v>542.53862974826052</v>
      </c>
      <c r="EN117" s="59">
        <f t="shared" si="74"/>
        <v>835.87196308159378</v>
      </c>
      <c r="EO117" s="59">
        <f ca="1">AVERAGE(OFFSET($EN$3,0,0,'Données projet'!$E$15+1,1))-AVERAGE(OFFSET($H$3,0,0,'Données projet'!$E$15+1,1))</f>
        <v>510.71380643466227</v>
      </c>
      <c r="EP117" s="59">
        <f t="shared" si="100"/>
        <v>252.40654099948841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14.214911001384309</v>
      </c>
      <c r="EW117" s="21">
        <f>EXP(-LN(2)/25)*EW116+(1-EXP(-LN(2)/25))/(LN(2)/25)*Calculateur!ER117*Calculateur!ET117*VLOOKUP('Données projet'!$B$15,Paramètres!$A$1:$I$89,3,0)*0.475*44/12</f>
        <v>17.534025517067324</v>
      </c>
      <c r="EX117" s="21">
        <f>EXP(-LN(2)/2)*EX116+(1-EXP(-LN(2)/2))/(LN(2)/2)*ER117*EU117*VLOOKUP('Données projet'!$B$15,Paramètres!$A$1:$I$89,3,0)*0.475*44/12</f>
        <v>7.0122241237801646</v>
      </c>
      <c r="EY117" s="22">
        <f t="shared" si="75"/>
        <v>38.7611606422318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7.2033333333333331</v>
      </c>
      <c r="N118" s="13">
        <f>IF('Données projet'!$A$36&gt;35,N117+M118-V117,IF(A118&lt;'Données projet'!$A$36,$K$205^A118,IF(A118='Données projet'!$A$36,'Données projet'!$B$36,N117+M118-V117)))</f>
        <v>277.20666666666699</v>
      </c>
      <c r="O118" s="13">
        <f>N118*VLOOKUP('Données projet'!$B$9,Paramètres!$A$1:$I$89,3,0)*VLOOKUP('Données projet'!$B$9,Paramètres!$A$1:$I$89,5,0)</f>
        <v>281.08756000000034</v>
      </c>
      <c r="P118" s="13">
        <f t="shared" si="87"/>
        <v>67.196789692386048</v>
      </c>
      <c r="Q118" s="20">
        <f t="shared" si="107"/>
        <v>606.59524238090637</v>
      </c>
      <c r="R118" s="59">
        <f t="shared" si="55"/>
        <v>899.92857571423974</v>
      </c>
      <c r="S118" s="59">
        <f ca="1">AVERAGE(OFFSET($R$3,0,0,'Données projet'!$E$9+1,1))-AVERAGE(OFFSET($H$3,0,0,'Données projet'!$E$9+1,1))</f>
        <v>543.67050511722618</v>
      </c>
      <c r="T118" s="59">
        <f t="shared" si="88"/>
        <v>249.0871389941106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18.826287070620694</v>
      </c>
      <c r="AA118" s="21">
        <f>EXP(-LN(2)/25)*AA117+(1-EXP(-LN(2)/25))/(LN(2)/25)*Calculateur!V118*Calculateur!X118*VLOOKUP('Données projet'!$B$9,Paramètres!$A$1:$I$89,3,0)*0.475*44/12</f>
        <v>29.711389073967919</v>
      </c>
      <c r="AB118" s="21">
        <f>EXP(-LN(2)/2)*AB117+(1-EXP(-LN(2)/2))/(LN(2)/2)*V118*Y118*VLOOKUP('Données projet'!$B$9,Paramètres!$A$1:$I$89,3,0)*0.475*44/12</f>
        <v>2.3240445976740092</v>
      </c>
      <c r="AC118" s="22">
        <f t="shared" si="57"/>
        <v>50.861720742262627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8.9160000000000021</v>
      </c>
      <c r="AI118" s="13">
        <f>IF('Données projet'!$A$62&gt;35,AI117+AH118-AQ117,IF(A118&lt;'Données projet'!$A$62,$AF$205^A118,IF(A118='Données projet'!$A$62,'Données projet'!$B$62,AI117+AH118-AQ117)))</f>
        <v>371.61600000000072</v>
      </c>
      <c r="AJ118" s="13">
        <f>AI118*VLOOKUP('Données projet'!$B$10,Paramètres!$A$1:$I$89,3,0)*VLOOKUP('Données projet'!$B$10,Paramètres!$A$1:$I$89,5,0)</f>
        <v>336.23815680000064</v>
      </c>
      <c r="AK118" s="13">
        <f t="shared" si="89"/>
        <v>78.722223243612518</v>
      </c>
      <c r="AL118" s="20">
        <f t="shared" si="58"/>
        <v>722.72266190929292</v>
      </c>
      <c r="AM118" s="59">
        <f t="shared" si="59"/>
        <v>1016.0559952426263</v>
      </c>
      <c r="AN118" s="59">
        <f ca="1">AVERAGE(OFFSET($AM$3,0,0,'Données projet'!$E$10+1,1))-AVERAGE(OFFSET($H$3,0,0,'Données projet'!$E$10+1,1))</f>
        <v>635.71275911100679</v>
      </c>
      <c r="AO118" s="59">
        <f t="shared" si="90"/>
        <v>281.7776857269169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35.746397173178586</v>
      </c>
      <c r="AV118" s="21">
        <f>EXP(-LN(2)/25)*AV117+(1-EXP(-LN(2)/25))/(LN(2)/25)*Calculateur!AQ118*Calculateur!AS118*VLOOKUP('Données projet'!$B$10,Paramètres!$A$1:$I$89,3,0)*0.475*44/12</f>
        <v>25.075896948229026</v>
      </c>
      <c r="AW118" s="21">
        <f>EXP(-LN(2)/2)*AW117+(1-EXP(-LN(2)/2))/(LN(2)/2)*AQ118*AT118*VLOOKUP('Données projet'!$B$10,Paramètres!$A$1:$I$89,3,0)*0.475*44/12</f>
        <v>3.8630072496778993</v>
      </c>
      <c r="AX118" s="21">
        <f t="shared" si="60"/>
        <v>64.685301371085501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204.11804238362862</v>
      </c>
      <c r="BJ118" s="59">
        <f t="shared" si="92"/>
        <v>185.53854651509408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5.5090988092371012</v>
      </c>
      <c r="BQ118" s="21">
        <f>EXP(-LN(2)/25)*BQ117+(1-EXP(-LN(2)/25))/(LN(2)/25)*Calculateur!BL118*Calculateur!BN118*VLOOKUP('Données projet'!$B$11,Paramètres!$A$1:$I$89,3,0)*0.475*44/12</f>
        <v>26.688987696839018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32.198086506076116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7.2033333333333331</v>
      </c>
      <c r="BY118" s="12">
        <f>IF('Données projet'!$A$114&gt;35,BY117+BX118-CG117,IF(A118&lt;'Données projet'!$A$114,$BV$205^A118,IF(A118='Données projet'!$A$114,'Données projet'!$B$114,BY117+BX118-CG117)))</f>
        <v>277.20666666666699</v>
      </c>
      <c r="BZ118" s="13">
        <f>BY118*VLOOKUP('Données projet'!$B$12,Paramètres!$A$1:$I$89,3,0)*VLOOKUP('Données projet'!$B$12,Paramètres!$A$1:$I$89,5,0)</f>
        <v>276.76313600000032</v>
      </c>
      <c r="CA118" s="13">
        <f t="shared" si="93"/>
        <v>66.282504249647445</v>
      </c>
      <c r="CB118" s="20">
        <f t="shared" si="64"/>
        <v>597.47115676813644</v>
      </c>
      <c r="CC118" s="59">
        <f t="shared" si="65"/>
        <v>890.80449010146981</v>
      </c>
      <c r="CD118" s="59">
        <f ca="1">AVERAGE(OFFSET($CC$3,0,0,'Données projet'!$E$12+1,1))-AVERAGE(OFFSET($H$3,0,0,'Données projet'!$E$12+1,1))</f>
        <v>535.99935263833549</v>
      </c>
      <c r="CE118" s="59">
        <f t="shared" si="94"/>
        <v>245.89966477332644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13.240465632084881</v>
      </c>
      <c r="CL118" s="21">
        <f>EXP(-LN(2)/25)*CL117+(1-EXP(-LN(2)/25))/(LN(2)/25)*Calculateur!CG118*Calculateur!CI118*VLOOKUP('Données projet'!$B$12,Paramètres!$A$1:$I$89,3,0)*0.475*44/12</f>
        <v>18.264033036224106</v>
      </c>
      <c r="CM118" s="21">
        <f>EXP(-LN(2)/2)*CM117+(1-EXP(-LN(2)/2))/(LN(2)/2)*CG118*CJ118*VLOOKUP('Données projet'!$B$12,Paramètres!$A$1:$I$89,3,0)*0.475*44/12</f>
        <v>5.7205768965149231</v>
      </c>
      <c r="CN118" s="22">
        <f t="shared" si="66"/>
        <v>37.225075564823911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8.7019999999999982</v>
      </c>
      <c r="CT118" s="12">
        <f>IF('Données projet'!$A$140&gt;35,CT117+CS118-DB117,IF(A118&lt;'Données projet'!$A$140,$CQ$205^A118,IF(A118='Données projet'!$A$140,'Données projet'!$B$140,CT117+CS118-DB117)))</f>
        <v>339.91400000000027</v>
      </c>
      <c r="CU118" s="17">
        <f>CT118*VLOOKUP('Données projet'!$B$13,Paramètres!$A$1:$I$89,3,0)*VLOOKUP('Données projet'!$B$13,Paramètres!$A$1:$I$89,5,0)</f>
        <v>323.46216240000024</v>
      </c>
      <c r="CV118" s="13">
        <f t="shared" si="95"/>
        <v>76.073272094226141</v>
      </c>
      <c r="CW118" s="20">
        <f t="shared" si="67"/>
        <v>695.85754841077744</v>
      </c>
      <c r="CX118" s="59">
        <f t="shared" si="68"/>
        <v>989.19088174411081</v>
      </c>
      <c r="CY118" s="59">
        <f ca="1">AVERAGE(OFFSET($CX$3,0,0,'Données projet'!$E$13+1,1))-AVERAGE(OFFSET($H$3,0,0,'Données projet'!$E$13+1,1))</f>
        <v>449.28947235329758</v>
      </c>
      <c r="CZ118" s="59">
        <f t="shared" si="96"/>
        <v>289.36994109443964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28.529602920119078</v>
      </c>
      <c r="DG118" s="21">
        <f>EXP(-LN(2)/25)*DG117+(1-EXP(-LN(2)/25))/(LN(2)/25)*Calculateur!DB118*Calculateur!DD118*VLOOKUP('Données projet'!$B$13,Paramètres!$A$1:$I$89,3,0)*0.475*44/12</f>
        <v>25.617593377056359</v>
      </c>
      <c r="DH118" s="21">
        <f>EXP(-LN(2)/2)*DH117+(1-EXP(-LN(2)/2))/(LN(2)/2)*DB118*DE118*VLOOKUP('Données projet'!$B$13,Paramètres!$A$1:$I$89,3,0)*0.475*44/12</f>
        <v>7.9522348339253899</v>
      </c>
      <c r="DI118" s="22">
        <f t="shared" si="69"/>
        <v>62.099431131100829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5.6843418860808015E-14</v>
      </c>
      <c r="DP118" s="17">
        <f>DO118*VLOOKUP('Données projet'!$B$14,Paramètres!$A$1:$I$89,3,0)*VLOOKUP('Données projet'!$B$14,Paramètres!$A$1:$I$89,5,0)</f>
        <v>4.4337866711430253E-14</v>
      </c>
      <c r="DQ118" s="13">
        <f t="shared" si="97"/>
        <v>7.3222115536967035E-13</v>
      </c>
      <c r="DR118" s="20">
        <f t="shared" si="70"/>
        <v>1.3525069634579169E-12</v>
      </c>
      <c r="DS118" s="59">
        <f t="shared" si="71"/>
        <v>293.33333333333468</v>
      </c>
      <c r="DT118" s="59">
        <f ca="1">AVERAGE(OFFSET($DS$3,0,0,'Données projet'!$E$14+1,1))-AVERAGE(OFFSET($H$3,0,0,'Données projet'!$E$14+1,1))</f>
        <v>288.82868507674738</v>
      </c>
      <c r="DU118" s="59">
        <f t="shared" si="98"/>
        <v>283.48738729114024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17.290784247758019</v>
      </c>
      <c r="EB118" s="21">
        <f>EXP(-LN(2)/25)*EB117+(1-EXP(-LN(2)/25))/(LN(2)/25)*Calculateur!DW118*Calculateur!DY118*VLOOKUP('Données projet'!$B$14,Paramètres!$A$1:$I$89,3,0)*0.475*44/12</f>
        <v>11.82513856180754</v>
      </c>
      <c r="EC118" s="21">
        <f>EXP(-LN(2)/2)*EC117+(1-EXP(-LN(2)/2))/(LN(2)/2)*DW118*DZ118*VLOOKUP('Données projet'!$B$14,Paramètres!$A$1:$I$89,3,0)*0.475*44/12</f>
        <v>7.2426821772198061E-6</v>
      </c>
      <c r="ED118" s="22">
        <f t="shared" si="72"/>
        <v>29.115930052247737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7.0011111111111104</v>
      </c>
      <c r="EJ118" s="12">
        <f>IF('Données projet'!$A$192&gt;35,EJ117+EI118-ER117,IF(A118&lt;'Données projet'!$A$192,$EG$205^A118,IF(A118='Données projet'!$A$192,'Données projet'!$B$192,EJ117+EI118-ER117)))</f>
        <v>266.26222222222214</v>
      </c>
      <c r="EK118" s="17">
        <f>EJ118*VLOOKUP('Données projet'!$B$15,Paramètres!$A$1:$I$89,3,0)*VLOOKUP('Données projet'!$B$15,Paramètres!$A$1:$I$89,5,0)</f>
        <v>257.52882133333327</v>
      </c>
      <c r="EL118" s="13">
        <f t="shared" si="99"/>
        <v>62.195330109146276</v>
      </c>
      <c r="EM118" s="20">
        <f t="shared" si="73"/>
        <v>556.85289709565188</v>
      </c>
      <c r="EN118" s="59">
        <f t="shared" si="74"/>
        <v>850.18623042898525</v>
      </c>
      <c r="EO118" s="59">
        <f ca="1">AVERAGE(OFFSET($EN$3,0,0,'Données projet'!$E$15+1,1))-AVERAGE(OFFSET($H$3,0,0,'Données projet'!$E$15+1,1))</f>
        <v>510.71380643466227</v>
      </c>
      <c r="EP118" s="59">
        <f t="shared" si="100"/>
        <v>252.40654099948841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13.936165266886759</v>
      </c>
      <c r="EW118" s="21">
        <f>EXP(-LN(2)/25)*EW117+(1-EXP(-LN(2)/25))/(LN(2)/25)*Calculateur!ER118*Calculateur!ET118*VLOOKUP('Données projet'!$B$15,Paramètres!$A$1:$I$89,3,0)*0.475*44/12</f>
        <v>17.054556667228791</v>
      </c>
      <c r="EX118" s="21">
        <f>EXP(-LN(2)/2)*EX117+(1-EXP(-LN(2)/2))/(LN(2)/2)*ER118*EU118*VLOOKUP('Données projet'!$B$15,Paramètres!$A$1:$I$89,3,0)*0.475*44/12</f>
        <v>4.9583912291248513</v>
      </c>
      <c r="EY118" s="22">
        <f t="shared" si="75"/>
        <v>35.949113163240398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7.2033333333333331</v>
      </c>
      <c r="N119" s="13">
        <f>IF('Données projet'!$A$36&gt;35,N118+M119-V118,IF(A119&lt;'Données projet'!$A$36,$K$205^A119,IF(A119='Données projet'!$A$36,'Données projet'!$B$36,N118+M119-V118)))</f>
        <v>284.41000000000031</v>
      </c>
      <c r="O119" s="13">
        <f>N119*VLOOKUP('Données projet'!$B$9,Paramètres!$A$1:$I$89,3,0)*VLOOKUP('Données projet'!$B$9,Paramètres!$A$1:$I$89,5,0)</f>
        <v>288.39174000000031</v>
      </c>
      <c r="P119" s="13">
        <f t="shared" si="87"/>
        <v>68.737365400719838</v>
      </c>
      <c r="Q119" s="20">
        <f t="shared" si="107"/>
        <v>621.99985857292097</v>
      </c>
      <c r="R119" s="59">
        <f t="shared" si="55"/>
        <v>915.33319190625434</v>
      </c>
      <c r="S119" s="59">
        <f ca="1">AVERAGE(OFFSET($R$3,0,0,'Données projet'!$E$9+1,1))-AVERAGE(OFFSET($H$3,0,0,'Données projet'!$E$9+1,1))</f>
        <v>543.67050511722618</v>
      </c>
      <c r="T119" s="59">
        <f t="shared" si="88"/>
        <v>249.0871389941106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18.457115064067093</v>
      </c>
      <c r="AA119" s="21">
        <f>EXP(-LN(2)/25)*AA118+(1-EXP(-LN(2)/25))/(LN(2)/25)*Calculateur!V119*Calculateur!X119*VLOOKUP('Données projet'!$B$9,Paramètres!$A$1:$I$89,3,0)*0.475*44/12</f>
        <v>28.898929577286221</v>
      </c>
      <c r="AB119" s="21">
        <f>EXP(-LN(2)/2)*AB118+(1-EXP(-LN(2)/2))/(LN(2)/2)*V119*Y119*VLOOKUP('Données projet'!$B$9,Paramètres!$A$1:$I$89,3,0)*0.475*44/12</f>
        <v>1.6433476947952537</v>
      </c>
      <c r="AC119" s="22">
        <f t="shared" si="57"/>
        <v>48.999392336148567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8.9160000000000021</v>
      </c>
      <c r="AI119" s="13">
        <f>IF('Données projet'!$A$62&gt;35,AI118+AH119-AQ118,IF(A119&lt;'Données projet'!$A$62,$AF$205^A119,IF(A119='Données projet'!$A$62,'Données projet'!$B$62,AI118+AH119-AQ118)))</f>
        <v>380.53200000000072</v>
      </c>
      <c r="AJ119" s="13">
        <f>AI119*VLOOKUP('Données projet'!$B$10,Paramètres!$A$1:$I$89,3,0)*VLOOKUP('Données projet'!$B$10,Paramètres!$A$1:$I$89,5,0)</f>
        <v>344.30535360000061</v>
      </c>
      <c r="AK119" s="13">
        <f t="shared" si="89"/>
        <v>80.388807253544201</v>
      </c>
      <c r="AL119" s="20">
        <f t="shared" si="58"/>
        <v>739.67566348659057</v>
      </c>
      <c r="AM119" s="59">
        <f t="shared" si="59"/>
        <v>1033.0089968199238</v>
      </c>
      <c r="AN119" s="59">
        <f ca="1">AVERAGE(OFFSET($AM$3,0,0,'Données projet'!$E$10+1,1))-AVERAGE(OFFSET($H$3,0,0,'Données projet'!$E$10+1,1))</f>
        <v>635.71275911100679</v>
      </c>
      <c r="AO119" s="59">
        <f t="shared" si="90"/>
        <v>281.7776857269169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35.045432127761948</v>
      </c>
      <c r="AV119" s="21">
        <f>EXP(-LN(2)/25)*AV118+(1-EXP(-LN(2)/25))/(LN(2)/25)*Calculateur!AQ119*Calculateur!AS119*VLOOKUP('Données projet'!$B$10,Paramètres!$A$1:$I$89,3,0)*0.475*44/12</f>
        <v>24.390195227495596</v>
      </c>
      <c r="AW119" s="21">
        <f>EXP(-LN(2)/2)*AW118+(1-EXP(-LN(2)/2))/(LN(2)/2)*AQ119*AT119*VLOOKUP('Données projet'!$B$10,Paramètres!$A$1:$I$89,3,0)*0.475*44/12</f>
        <v>2.7315586220200374</v>
      </c>
      <c r="AX119" s="21">
        <f t="shared" si="60"/>
        <v>62.167185977277583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204.11804238362862</v>
      </c>
      <c r="BJ119" s="59">
        <f t="shared" si="92"/>
        <v>185.53854651509408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5.4010687418064416</v>
      </c>
      <c r="BQ119" s="21">
        <f>EXP(-LN(2)/25)*BQ118+(1-EXP(-LN(2)/25))/(LN(2)/25)*Calculateur!BL119*Calculateur!BN119*VLOOKUP('Données projet'!$B$11,Paramètres!$A$1:$I$89,3,0)*0.475*44/12</f>
        <v>25.959175924756089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31.360244666562529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7.2033333333333331</v>
      </c>
      <c r="BY119" s="12">
        <f>IF('Données projet'!$A$114&gt;35,BY118+BX119-CG118,IF(A119&lt;'Données projet'!$A$114,$BV$205^A119,IF(A119='Données projet'!$A$114,'Données projet'!$B$114,BY118+BX119-CG118)))</f>
        <v>284.41000000000031</v>
      </c>
      <c r="BZ119" s="13">
        <f>BY119*VLOOKUP('Données projet'!$B$12,Paramètres!$A$1:$I$89,3,0)*VLOOKUP('Données projet'!$B$12,Paramètres!$A$1:$I$89,5,0)</f>
        <v>283.95494400000035</v>
      </c>
      <c r="CA119" s="13">
        <f t="shared" si="93"/>
        <v>67.802118749119757</v>
      </c>
      <c r="CB119" s="20">
        <f t="shared" si="64"/>
        <v>612.64355095471751</v>
      </c>
      <c r="CC119" s="59">
        <f t="shared" si="65"/>
        <v>905.97688428805077</v>
      </c>
      <c r="CD119" s="59">
        <f ca="1">AVERAGE(OFFSET($CC$3,0,0,'Données projet'!$E$12+1,1))-AVERAGE(OFFSET($H$3,0,0,'Données projet'!$E$12+1,1))</f>
        <v>535.99935263833549</v>
      </c>
      <c r="CE119" s="59">
        <f t="shared" si="94"/>
        <v>245.89966477332644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12.980828176926304</v>
      </c>
      <c r="CL119" s="21">
        <f>EXP(-LN(2)/25)*CL118+(1-EXP(-LN(2)/25))/(LN(2)/25)*Calculateur!CG119*Calculateur!CI119*VLOOKUP('Données projet'!$B$12,Paramètres!$A$1:$I$89,3,0)*0.475*44/12</f>
        <v>17.764602092384802</v>
      </c>
      <c r="CM119" s="21">
        <f>EXP(-LN(2)/2)*CM118+(1-EXP(-LN(2)/2))/(LN(2)/2)*CG119*CJ119*VLOOKUP('Données projet'!$B$12,Paramètres!$A$1:$I$89,3,0)*0.475*44/12</f>
        <v>4.0450587158247968</v>
      </c>
      <c r="CN119" s="22">
        <f t="shared" si="66"/>
        <v>34.790488985135902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8.7019999999999982</v>
      </c>
      <c r="CT119" s="12">
        <f>IF('Données projet'!$A$140&gt;35,CT118+CS119-DB118,IF(A119&lt;'Données projet'!$A$140,$CQ$205^A119,IF(A119='Données projet'!$A$140,'Données projet'!$B$140,CT118+CS119-DB118)))</f>
        <v>348.61600000000027</v>
      </c>
      <c r="CU119" s="17">
        <f>CT119*VLOOKUP('Données projet'!$B$13,Paramètres!$A$1:$I$89,3,0)*VLOOKUP('Données projet'!$B$13,Paramètres!$A$1:$I$89,5,0)</f>
        <v>331.74298560000028</v>
      </c>
      <c r="CV119" s="13">
        <f t="shared" si="95"/>
        <v>77.791561690435074</v>
      </c>
      <c r="CW119" s="20">
        <f t="shared" si="67"/>
        <v>713.27266986417487</v>
      </c>
      <c r="CX119" s="59">
        <f t="shared" si="68"/>
        <v>1006.6060031975082</v>
      </c>
      <c r="CY119" s="59">
        <f ca="1">AVERAGE(OFFSET($CX$3,0,0,'Données projet'!$E$13+1,1))-AVERAGE(OFFSET($H$3,0,0,'Données projet'!$E$13+1,1))</f>
        <v>449.28947235329758</v>
      </c>
      <c r="CZ119" s="59">
        <f t="shared" si="96"/>
        <v>289.36994109443964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27.970154808195083</v>
      </c>
      <c r="DG119" s="21">
        <f>EXP(-LN(2)/25)*DG118+(1-EXP(-LN(2)/25))/(LN(2)/25)*Calculateur!DB119*Calculateur!DD119*VLOOKUP('Données projet'!$B$13,Paramètres!$A$1:$I$89,3,0)*0.475*44/12</f>
        <v>24.917078938990066</v>
      </c>
      <c r="DH119" s="21">
        <f>EXP(-LN(2)/2)*DH118+(1-EXP(-LN(2)/2))/(LN(2)/2)*DB119*DE119*VLOOKUP('Données projet'!$B$13,Paramètres!$A$1:$I$89,3,0)*0.475*44/12</f>
        <v>5.623079176656522</v>
      </c>
      <c r="DI119" s="22">
        <f t="shared" si="69"/>
        <v>58.510312923841674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5.6843418860808015E-14</v>
      </c>
      <c r="DP119" s="17">
        <f>DO119*VLOOKUP('Données projet'!$B$14,Paramètres!$A$1:$I$89,3,0)*VLOOKUP('Données projet'!$B$14,Paramètres!$A$1:$I$89,5,0)</f>
        <v>4.4337866711430253E-14</v>
      </c>
      <c r="DQ119" s="13">
        <f t="shared" si="97"/>
        <v>7.3222115536967035E-13</v>
      </c>
      <c r="DR119" s="20">
        <f t="shared" si="70"/>
        <v>1.3525069634579169E-12</v>
      </c>
      <c r="DS119" s="59">
        <f t="shared" si="71"/>
        <v>293.33333333333468</v>
      </c>
      <c r="DT119" s="59">
        <f ca="1">AVERAGE(OFFSET($DS$3,0,0,'Données projet'!$E$14+1,1))-AVERAGE(OFFSET($H$3,0,0,'Données projet'!$E$14+1,1))</f>
        <v>288.82868507674738</v>
      </c>
      <c r="DU119" s="59">
        <f t="shared" si="98"/>
        <v>283.48738729114024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16.951722514996511</v>
      </c>
      <c r="EB119" s="21">
        <f>EXP(-LN(2)/25)*EB118+(1-EXP(-LN(2)/25))/(LN(2)/25)*Calculateur!DW119*Calculateur!DY119*VLOOKUP('Données projet'!$B$14,Paramètres!$A$1:$I$89,3,0)*0.475*44/12</f>
        <v>11.501779525977902</v>
      </c>
      <c r="EC119" s="21">
        <f>EXP(-LN(2)/2)*EC118+(1-EXP(-LN(2)/2))/(LN(2)/2)*DW119*DZ119*VLOOKUP('Données projet'!$B$14,Paramètres!$A$1:$I$89,3,0)*0.475*44/12</f>
        <v>5.121349681491073E-6</v>
      </c>
      <c r="ED119" s="22">
        <f t="shared" si="72"/>
        <v>28.453507162324094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7.0011111111111104</v>
      </c>
      <c r="EJ119" s="12">
        <f>IF('Données projet'!$A$192&gt;35,EJ118+EI119-ER118,IF(A119&lt;'Données projet'!$A$192,$EG$205^A119,IF(A119='Données projet'!$A$192,'Données projet'!$B$192,EJ118+EI119-ER118)))</f>
        <v>273.26333333333326</v>
      </c>
      <c r="EK119" s="17">
        <f>EJ119*VLOOKUP('Données projet'!$B$15,Paramètres!$A$1:$I$89,3,0)*VLOOKUP('Données projet'!$B$15,Paramètres!$A$1:$I$89,5,0)</f>
        <v>264.30029599999995</v>
      </c>
      <c r="EL119" s="13">
        <f t="shared" si="99"/>
        <v>63.638150297391014</v>
      </c>
      <c r="EM119" s="20">
        <f t="shared" si="73"/>
        <v>571.15946063462252</v>
      </c>
      <c r="EN119" s="59">
        <f t="shared" si="74"/>
        <v>864.49279396795578</v>
      </c>
      <c r="EO119" s="59">
        <f ca="1">AVERAGE(OFFSET($EN$3,0,0,'Données projet'!$E$15+1,1))-AVERAGE(OFFSET($H$3,0,0,'Données projet'!$E$15+1,1))</f>
        <v>510.71380643466227</v>
      </c>
      <c r="EP119" s="59">
        <f t="shared" si="100"/>
        <v>252.40654099948841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13.662885566224595</v>
      </c>
      <c r="EW119" s="21">
        <f>EXP(-LN(2)/25)*EW118+(1-EXP(-LN(2)/25))/(LN(2)/25)*Calculateur!ER119*Calculateur!ET119*VLOOKUP('Données projet'!$B$15,Paramètres!$A$1:$I$89,3,0)*0.475*44/12</f>
        <v>16.588198918303263</v>
      </c>
      <c r="EX119" s="21">
        <f>EXP(-LN(2)/2)*EX118+(1-EXP(-LN(2)/2))/(LN(2)/2)*ER119*EU119*VLOOKUP('Données projet'!$B$15,Paramètres!$A$1:$I$89,3,0)*0.475*44/12</f>
        <v>3.5061120618900827</v>
      </c>
      <c r="EY119" s="22">
        <f t="shared" si="75"/>
        <v>33.757196546417944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7.2033333333333331</v>
      </c>
      <c r="N120" s="13">
        <f>IF('Données projet'!$A$36&gt;35,N119+M120-V119,IF(A120&lt;'Données projet'!$A$36,$K$205^A120,IF(A120='Données projet'!$A$36,'Données projet'!$B$36,N119+M120-V119)))</f>
        <v>291.61333333333363</v>
      </c>
      <c r="O120" s="13">
        <f>N120*VLOOKUP('Données projet'!$B$9,Paramètres!$A$1:$I$89,3,0)*VLOOKUP('Données projet'!$B$9,Paramètres!$A$1:$I$89,5,0)</f>
        <v>295.69592000000029</v>
      </c>
      <c r="P120" s="13">
        <f t="shared" si="87"/>
        <v>70.273405519632149</v>
      </c>
      <c r="Q120" s="20">
        <f t="shared" si="107"/>
        <v>637.39657528002647</v>
      </c>
      <c r="R120" s="59">
        <f t="shared" si="55"/>
        <v>930.72990861335984</v>
      </c>
      <c r="S120" s="59">
        <f ca="1">AVERAGE(OFFSET($R$3,0,0,'Données projet'!$E$9+1,1))-AVERAGE(OFFSET($H$3,0,0,'Données projet'!$E$9+1,1))</f>
        <v>543.67050511722618</v>
      </c>
      <c r="T120" s="59">
        <f t="shared" si="88"/>
        <v>249.0871389941106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18.095182295389318</v>
      </c>
      <c r="AA120" s="21">
        <f>EXP(-LN(2)/25)*AA119+(1-EXP(-LN(2)/25))/(LN(2)/25)*Calculateur!V120*Calculateur!X120*VLOOKUP('Données projet'!$B$9,Paramètres!$A$1:$I$89,3,0)*0.475*44/12</f>
        <v>28.108686828266674</v>
      </c>
      <c r="AB120" s="21">
        <f>EXP(-LN(2)/2)*AB119+(1-EXP(-LN(2)/2))/(LN(2)/2)*V120*Y120*VLOOKUP('Données projet'!$B$9,Paramètres!$A$1:$I$89,3,0)*0.475*44/12</f>
        <v>1.1620222988370048</v>
      </c>
      <c r="AC120" s="22">
        <f t="shared" si="57"/>
        <v>47.365891422492993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8.9160000000000021</v>
      </c>
      <c r="AI120" s="13">
        <f>IF('Données projet'!$A$62&gt;35,AI119+AH120-AQ119,IF(A120&lt;'Données projet'!$A$62,$AF$205^A120,IF(A120='Données projet'!$A$62,'Données projet'!$B$62,AI119+AH120-AQ119)))</f>
        <v>389.44800000000072</v>
      </c>
      <c r="AJ120" s="13">
        <f>AI120*VLOOKUP('Données projet'!$B$10,Paramètres!$A$1:$I$89,3,0)*VLOOKUP('Données projet'!$B$10,Paramètres!$A$1:$I$89,5,0)</f>
        <v>352.37255040000065</v>
      </c>
      <c r="AK120" s="13">
        <f t="shared" si="89"/>
        <v>82.050851753476593</v>
      </c>
      <c r="AL120" s="20">
        <f t="shared" si="58"/>
        <v>756.62075875063954</v>
      </c>
      <c r="AM120" s="59">
        <f t="shared" si="59"/>
        <v>1049.9540920839729</v>
      </c>
      <c r="AN120" s="59">
        <f ca="1">AVERAGE(OFFSET($AM$3,0,0,'Données projet'!$E$10+1,1))-AVERAGE(OFFSET($H$3,0,0,'Données projet'!$E$10+1,1))</f>
        <v>635.71275911100679</v>
      </c>
      <c r="AO120" s="59">
        <f t="shared" si="90"/>
        <v>281.7776857269169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34.358212579339472</v>
      </c>
      <c r="AV120" s="21">
        <f>EXP(-LN(2)/25)*AV119+(1-EXP(-LN(2)/25))/(LN(2)/25)*Calculateur!AQ120*Calculateur!AS120*VLOOKUP('Données projet'!$B$10,Paramètres!$A$1:$I$89,3,0)*0.475*44/12</f>
        <v>23.723244056375105</v>
      </c>
      <c r="AW120" s="21">
        <f>EXP(-LN(2)/2)*AW119+(1-EXP(-LN(2)/2))/(LN(2)/2)*AQ120*AT120*VLOOKUP('Données projet'!$B$10,Paramètres!$A$1:$I$89,3,0)*0.475*44/12</f>
        <v>1.9315036248389501</v>
      </c>
      <c r="AX120" s="21">
        <f t="shared" si="60"/>
        <v>60.012960260553527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204.11804238362862</v>
      </c>
      <c r="BJ120" s="59">
        <f t="shared" si="92"/>
        <v>185.53854651509408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5.2951570781062625</v>
      </c>
      <c r="BQ120" s="21">
        <f>EXP(-LN(2)/25)*BQ119+(1-EXP(-LN(2)/25))/(LN(2)/25)*Calculateur!BL120*Calculateur!BN120*VLOOKUP('Données projet'!$B$11,Paramètres!$A$1:$I$89,3,0)*0.475*44/12</f>
        <v>25.249320893959901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30.544477972066161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7.2033333333333331</v>
      </c>
      <c r="BY120" s="12">
        <f>IF('Données projet'!$A$114&gt;35,BY119+BX120-CG119,IF(A120&lt;'Données projet'!$A$114,$BV$205^A120,IF(A120='Données projet'!$A$114,'Données projet'!$B$114,BY119+BX120-CG119)))</f>
        <v>291.61333333333363</v>
      </c>
      <c r="BZ120" s="13">
        <f>BY120*VLOOKUP('Données projet'!$B$12,Paramètres!$A$1:$I$89,3,0)*VLOOKUP('Données projet'!$B$12,Paramètres!$A$1:$I$89,5,0)</f>
        <v>291.14675200000033</v>
      </c>
      <c r="CA120" s="13">
        <f t="shared" si="93"/>
        <v>69.317259370799889</v>
      </c>
      <c r="CB120" s="20">
        <f t="shared" si="64"/>
        <v>627.80815313747701</v>
      </c>
      <c r="CC120" s="59">
        <f t="shared" si="65"/>
        <v>921.14148647081038</v>
      </c>
      <c r="CD120" s="59">
        <f ca="1">AVERAGE(OFFSET($CC$3,0,0,'Données projet'!$E$12+1,1))-AVERAGE(OFFSET($H$3,0,0,'Données projet'!$E$12+1,1))</f>
        <v>535.99935263833549</v>
      </c>
      <c r="CE120" s="59">
        <f t="shared" si="94"/>
        <v>245.89966477332644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12.726282053900176</v>
      </c>
      <c r="CL120" s="21">
        <f>EXP(-LN(2)/25)*CL119+(1-EXP(-LN(2)/25))/(LN(2)/25)*Calculateur!CG120*Calculateur!CI120*VLOOKUP('Données projet'!$B$12,Paramètres!$A$1:$I$89,3,0)*0.475*44/12</f>
        <v>17.278828113968718</v>
      </c>
      <c r="CM120" s="21">
        <f>EXP(-LN(2)/2)*CM119+(1-EXP(-LN(2)/2))/(LN(2)/2)*CG120*CJ120*VLOOKUP('Données projet'!$B$12,Paramètres!$A$1:$I$89,3,0)*0.475*44/12</f>
        <v>2.8602884482574615</v>
      </c>
      <c r="CN120" s="22">
        <f t="shared" si="66"/>
        <v>32.865398616126356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8.7019999999999982</v>
      </c>
      <c r="CT120" s="12">
        <f>IF('Données projet'!$A$140&gt;35,CT119+CS120-DB119,IF(A120&lt;'Données projet'!$A$140,$CQ$205^A120,IF(A120='Données projet'!$A$140,'Données projet'!$B$140,CT119+CS120-DB119)))</f>
        <v>357.31800000000027</v>
      </c>
      <c r="CU120" s="17">
        <f>CT120*VLOOKUP('Données projet'!$B$13,Paramètres!$A$1:$I$89,3,0)*VLOOKUP('Données projet'!$B$13,Paramètres!$A$1:$I$89,5,0)</f>
        <v>340.02380880000027</v>
      </c>
      <c r="CV120" s="13">
        <f t="shared" si="95"/>
        <v>79.504865450570179</v>
      </c>
      <c r="CW120" s="20">
        <f t="shared" si="67"/>
        <v>730.67910765307681</v>
      </c>
      <c r="CX120" s="59">
        <f t="shared" si="68"/>
        <v>1024.0124409864102</v>
      </c>
      <c r="CY120" s="59">
        <f ca="1">AVERAGE(OFFSET($CX$3,0,0,'Données projet'!$E$13+1,1))-AVERAGE(OFFSET($H$3,0,0,'Données projet'!$E$13+1,1))</f>
        <v>449.28947235329758</v>
      </c>
      <c r="CZ120" s="59">
        <f t="shared" si="96"/>
        <v>289.36994109443964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27.421677132516265</v>
      </c>
      <c r="DG120" s="21">
        <f>EXP(-LN(2)/25)*DG119+(1-EXP(-LN(2)/25))/(LN(2)/25)*Calculateur!DB120*Calculateur!DD120*VLOOKUP('Données projet'!$B$13,Paramètres!$A$1:$I$89,3,0)*0.475*44/12</f>
        <v>24.235720105071149</v>
      </c>
      <c r="DH120" s="21">
        <f>EXP(-LN(2)/2)*DH119+(1-EXP(-LN(2)/2))/(LN(2)/2)*DB120*DE120*VLOOKUP('Données projet'!$B$13,Paramètres!$A$1:$I$89,3,0)*0.475*44/12</f>
        <v>3.9761174169626954</v>
      </c>
      <c r="DI120" s="22">
        <f t="shared" si="69"/>
        <v>55.633514654550112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5.6843418860808015E-14</v>
      </c>
      <c r="DP120" s="17">
        <f>DO120*VLOOKUP('Données projet'!$B$14,Paramètres!$A$1:$I$89,3,0)*VLOOKUP('Données projet'!$B$14,Paramètres!$A$1:$I$89,5,0)</f>
        <v>4.4337866711430253E-14</v>
      </c>
      <c r="DQ120" s="13">
        <f t="shared" si="97"/>
        <v>7.3222115536967035E-13</v>
      </c>
      <c r="DR120" s="20">
        <f t="shared" si="70"/>
        <v>1.3525069634579169E-12</v>
      </c>
      <c r="DS120" s="59">
        <f t="shared" si="71"/>
        <v>293.33333333333468</v>
      </c>
      <c r="DT120" s="59">
        <f ca="1">AVERAGE(OFFSET($DS$3,0,0,'Données projet'!$E$14+1,1))-AVERAGE(OFFSET($H$3,0,0,'Données projet'!$E$14+1,1))</f>
        <v>288.82868507674738</v>
      </c>
      <c r="DU120" s="59">
        <f t="shared" si="98"/>
        <v>283.48738729114024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16.619309576007222</v>
      </c>
      <c r="EB120" s="21">
        <f>EXP(-LN(2)/25)*EB119+(1-EXP(-LN(2)/25))/(LN(2)/25)*Calculateur!DW120*Calculateur!DY120*VLOOKUP('Données projet'!$B$14,Paramètres!$A$1:$I$89,3,0)*0.475*44/12</f>
        <v>11.187262759987739</v>
      </c>
      <c r="EC120" s="21">
        <f>EXP(-LN(2)/2)*EC119+(1-EXP(-LN(2)/2))/(LN(2)/2)*DW120*DZ120*VLOOKUP('Données projet'!$B$14,Paramètres!$A$1:$I$89,3,0)*0.475*44/12</f>
        <v>3.621341088609903E-6</v>
      </c>
      <c r="ED120" s="22">
        <f t="shared" si="72"/>
        <v>27.806575957336051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7.0011111111111104</v>
      </c>
      <c r="EJ120" s="12">
        <f>IF('Données projet'!$A$192&gt;35,EJ119+EI120-ER119,IF(A120&lt;'Données projet'!$A$192,$EG$205^A120,IF(A120='Données projet'!$A$192,'Données projet'!$B$192,EJ119+EI120-ER119)))</f>
        <v>280.26444444444439</v>
      </c>
      <c r="EK120" s="17">
        <f>EJ120*VLOOKUP('Données projet'!$B$15,Paramètres!$A$1:$I$89,3,0)*VLOOKUP('Données projet'!$B$15,Paramètres!$A$1:$I$89,5,0)</f>
        <v>271.07177066666662</v>
      </c>
      <c r="EL120" s="13">
        <f t="shared" si="99"/>
        <v>65.076673601984467</v>
      </c>
      <c r="EM120" s="20">
        <f t="shared" si="73"/>
        <v>585.45854043456723</v>
      </c>
      <c r="EN120" s="59">
        <f t="shared" si="74"/>
        <v>878.7918737679006</v>
      </c>
      <c r="EO120" s="59">
        <f ca="1">AVERAGE(OFFSET($EN$3,0,0,'Données projet'!$E$15+1,1))-AVERAGE(OFFSET($H$3,0,0,'Données projet'!$E$15+1,1))</f>
        <v>510.71380643466227</v>
      </c>
      <c r="EP120" s="59">
        <f t="shared" si="100"/>
        <v>252.40654099948841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13.394964713808259</v>
      </c>
      <c r="EW120" s="21">
        <f>EXP(-LN(2)/25)*EW119+(1-EXP(-LN(2)/25))/(LN(2)/25)*Calculateur!ER120*Calculateur!ET120*VLOOKUP('Données projet'!$B$15,Paramètres!$A$1:$I$89,3,0)*0.475*44/12</f>
        <v>16.134593746546791</v>
      </c>
      <c r="EX120" s="21">
        <f>EXP(-LN(2)/2)*EX119+(1-EXP(-LN(2)/2))/(LN(2)/2)*ER120*EU120*VLOOKUP('Données projet'!$B$15,Paramètres!$A$1:$I$89,3,0)*0.475*44/12</f>
        <v>2.4791956145624257</v>
      </c>
      <c r="EY120" s="22">
        <f t="shared" si="75"/>
        <v>32.008754074917476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7.2033333333333331</v>
      </c>
      <c r="N121" s="13">
        <f>IF('Données projet'!$A$36&gt;35,N120+M121-V120,IF(A121&lt;'Données projet'!$A$36,$K$205^A121,IF(A121='Données projet'!$A$36,'Données projet'!$B$36,N120+M121-V120)))</f>
        <v>298.81666666666695</v>
      </c>
      <c r="O121" s="13">
        <f>N121*VLOOKUP('Données projet'!$B$9,Paramètres!$A$1:$I$89,3,0)*VLOOKUP('Données projet'!$B$9,Paramètres!$A$1:$I$89,5,0)</f>
        <v>303.00010000000032</v>
      </c>
      <c r="P121" s="13">
        <f t="shared" si="87"/>
        <v>71.805034972821289</v>
      </c>
      <c r="Q121" s="20">
        <f t="shared" si="107"/>
        <v>652.78561007766427</v>
      </c>
      <c r="R121" s="59">
        <f t="shared" si="55"/>
        <v>946.11894341099764</v>
      </c>
      <c r="S121" s="59">
        <f ca="1">AVERAGE(OFFSET($R$3,0,0,'Données projet'!$E$9+1,1))-AVERAGE(OFFSET($H$3,0,0,'Données projet'!$E$9+1,1))</f>
        <v>543.67050511722618</v>
      </c>
      <c r="T121" s="59">
        <f t="shared" si="88"/>
        <v>249.0871389941106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17.740346807548121</v>
      </c>
      <c r="AA121" s="21">
        <f>EXP(-LN(2)/25)*AA120+(1-EXP(-LN(2)/25))/(LN(2)/25)*Calculateur!V121*Calculateur!X121*VLOOKUP('Données projet'!$B$9,Paramètres!$A$1:$I$89,3,0)*0.475*44/12</f>
        <v>27.340053308776124</v>
      </c>
      <c r="AB121" s="21">
        <f>EXP(-LN(2)/2)*AB120+(1-EXP(-LN(2)/2))/(LN(2)/2)*V121*Y121*VLOOKUP('Données projet'!$B$9,Paramètres!$A$1:$I$89,3,0)*0.475*44/12</f>
        <v>0.82167384739762694</v>
      </c>
      <c r="AC121" s="22">
        <f t="shared" si="57"/>
        <v>45.902073963721868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8.9160000000000021</v>
      </c>
      <c r="AI121" s="13">
        <f>IF('Données projet'!$A$62&gt;35,AI120+AH121-AQ120,IF(A121&lt;'Données projet'!$A$62,$AF$205^A121,IF(A121='Données projet'!$A$62,'Données projet'!$B$62,AI120+AH121-AQ120)))</f>
        <v>398.36400000000071</v>
      </c>
      <c r="AJ121" s="13">
        <f>AI121*VLOOKUP('Données projet'!$B$10,Paramètres!$A$1:$I$89,3,0)*VLOOKUP('Données projet'!$B$10,Paramètres!$A$1:$I$89,5,0)</f>
        <v>360.43974720000062</v>
      </c>
      <c r="AK121" s="13">
        <f t="shared" si="89"/>
        <v>83.708472633827739</v>
      </c>
      <c r="AL121" s="20">
        <f t="shared" si="58"/>
        <v>773.55814954391769</v>
      </c>
      <c r="AM121" s="59">
        <f t="shared" si="59"/>
        <v>1066.8914828772511</v>
      </c>
      <c r="AN121" s="59">
        <f ca="1">AVERAGE(OFFSET($AM$3,0,0,'Données projet'!$E$10+1,1))-AVERAGE(OFFSET($H$3,0,0,'Données projet'!$E$10+1,1))</f>
        <v>635.71275911100679</v>
      </c>
      <c r="AO121" s="59">
        <f t="shared" si="90"/>
        <v>281.7776857269169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33.684468987099024</v>
      </c>
      <c r="AV121" s="21">
        <f>EXP(-LN(2)/25)*AV120+(1-EXP(-LN(2)/25))/(LN(2)/25)*Calculateur!AQ121*Calculateur!AS121*VLOOKUP('Données projet'!$B$10,Paramètres!$A$1:$I$89,3,0)*0.475*44/12</f>
        <v>23.074530700102343</v>
      </c>
      <c r="AW121" s="21">
        <f>EXP(-LN(2)/2)*AW120+(1-EXP(-LN(2)/2))/(LN(2)/2)*AQ121*AT121*VLOOKUP('Données projet'!$B$10,Paramètres!$A$1:$I$89,3,0)*0.475*44/12</f>
        <v>1.3657793110100189</v>
      </c>
      <c r="AX121" s="21">
        <f t="shared" si="60"/>
        <v>58.124778998211383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204.11804238362862</v>
      </c>
      <c r="BJ121" s="59">
        <f t="shared" si="92"/>
        <v>185.53854651509408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5.1913222775315075</v>
      </c>
      <c r="BQ121" s="21">
        <f>EXP(-LN(2)/25)*BQ120+(1-EXP(-LN(2)/25))/(LN(2)/25)*Calculateur!BL121*Calculateur!BN121*VLOOKUP('Données projet'!$B$11,Paramètres!$A$1:$I$89,3,0)*0.475*44/12</f>
        <v>24.55887688631049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29.750199163841998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7.2033333333333331</v>
      </c>
      <c r="BY121" s="12">
        <f>IF('Données projet'!$A$114&gt;35,BY120+BX121-CG120,IF(A121&lt;'Données projet'!$A$114,$BV$205^A121,IF(A121='Données projet'!$A$114,'Données projet'!$B$114,BY120+BX121-CG120)))</f>
        <v>298.81666666666695</v>
      </c>
      <c r="BZ121" s="13">
        <f>BY121*VLOOKUP('Données projet'!$B$12,Paramètres!$A$1:$I$89,3,0)*VLOOKUP('Données projet'!$B$12,Paramètres!$A$1:$I$89,5,0)</f>
        <v>298.33856000000031</v>
      </c>
      <c r="CA121" s="13">
        <f t="shared" si="93"/>
        <v>70.828049338663448</v>
      </c>
      <c r="CB121" s="20">
        <f t="shared" si="64"/>
        <v>642.96517793150599</v>
      </c>
      <c r="CC121" s="59">
        <f t="shared" si="65"/>
        <v>936.29851126483936</v>
      </c>
      <c r="CD121" s="59">
        <f ca="1">AVERAGE(OFFSET($CC$3,0,0,'Données projet'!$E$12+1,1))-AVERAGE(OFFSET($H$3,0,0,'Données projet'!$E$12+1,1))</f>
        <v>535.99935263833549</v>
      </c>
      <c r="CE121" s="59">
        <f t="shared" si="94"/>
        <v>245.89966477332644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12.476727425088786</v>
      </c>
      <c r="CL121" s="21">
        <f>EXP(-LN(2)/25)*CL120+(1-EXP(-LN(2)/25))/(LN(2)/25)*Calculateur!CG121*Calculateur!CI121*VLOOKUP('Données projet'!$B$12,Paramètres!$A$1:$I$89,3,0)*0.475*44/12</f>
        <v>16.806337650538165</v>
      </c>
      <c r="CM121" s="21">
        <f>EXP(-LN(2)/2)*CM120+(1-EXP(-LN(2)/2))/(LN(2)/2)*CG121*CJ121*VLOOKUP('Données projet'!$B$12,Paramètres!$A$1:$I$89,3,0)*0.475*44/12</f>
        <v>2.0225293579123984</v>
      </c>
      <c r="CN121" s="22">
        <f t="shared" si="66"/>
        <v>31.305594433539348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8.7019999999999982</v>
      </c>
      <c r="CT121" s="12">
        <f>IF('Données projet'!$A$140&gt;35,CT120+CS121-DB120,IF(A121&lt;'Données projet'!$A$140,$CQ$205^A121,IF(A121='Données projet'!$A$140,'Données projet'!$B$140,CT120+CS121-DB120)))</f>
        <v>366.02000000000027</v>
      </c>
      <c r="CU121" s="17">
        <f>CT121*VLOOKUP('Données projet'!$B$13,Paramètres!$A$1:$I$89,3,0)*VLOOKUP('Données projet'!$B$13,Paramètres!$A$1:$I$89,5,0)</f>
        <v>348.30463200000025</v>
      </c>
      <c r="CV121" s="13">
        <f t="shared" si="95"/>
        <v>81.213318766761901</v>
      </c>
      <c r="CW121" s="20">
        <f t="shared" si="67"/>
        <v>748.07709758544399</v>
      </c>
      <c r="CX121" s="59">
        <f t="shared" si="68"/>
        <v>1041.4104309187774</v>
      </c>
      <c r="CY121" s="59">
        <f ca="1">AVERAGE(OFFSET($CX$3,0,0,'Données projet'!$E$13+1,1))-AVERAGE(OFFSET($H$3,0,0,'Données projet'!$E$13+1,1))</f>
        <v>449.28947235329758</v>
      </c>
      <c r="CZ121" s="59">
        <f t="shared" si="96"/>
        <v>289.36994109443964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26.883954769519161</v>
      </c>
      <c r="DG121" s="21">
        <f>EXP(-LN(2)/25)*DG120+(1-EXP(-LN(2)/25))/(LN(2)/25)*Calculateur!DB121*Calculateur!DD121*VLOOKUP('Données projet'!$B$13,Paramètres!$A$1:$I$89,3,0)*0.475*44/12</f>
        <v>23.572993064296849</v>
      </c>
      <c r="DH121" s="21">
        <f>EXP(-LN(2)/2)*DH120+(1-EXP(-LN(2)/2))/(LN(2)/2)*DB121*DE121*VLOOKUP('Données projet'!$B$13,Paramètres!$A$1:$I$89,3,0)*0.475*44/12</f>
        <v>2.8115395883282615</v>
      </c>
      <c r="DI121" s="22">
        <f t="shared" si="69"/>
        <v>53.268487422144268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5.6843418860808015E-14</v>
      </c>
      <c r="DP121" s="17">
        <f>DO121*VLOOKUP('Données projet'!$B$14,Paramètres!$A$1:$I$89,3,0)*VLOOKUP('Données projet'!$B$14,Paramètres!$A$1:$I$89,5,0)</f>
        <v>4.4337866711430253E-14</v>
      </c>
      <c r="DQ121" s="13">
        <f t="shared" si="97"/>
        <v>7.3222115536967035E-13</v>
      </c>
      <c r="DR121" s="20">
        <f t="shared" si="70"/>
        <v>1.3525069634579169E-12</v>
      </c>
      <c r="DS121" s="59">
        <f t="shared" si="71"/>
        <v>293.33333333333468</v>
      </c>
      <c r="DT121" s="59">
        <f ca="1">AVERAGE(OFFSET($DS$3,0,0,'Données projet'!$E$14+1,1))-AVERAGE(OFFSET($H$3,0,0,'Données projet'!$E$14+1,1))</f>
        <v>288.82868507674738</v>
      </c>
      <c r="DU121" s="59">
        <f t="shared" si="98"/>
        <v>283.48738729114024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16.293415051999638</v>
      </c>
      <c r="EB121" s="21">
        <f>EXP(-LN(2)/25)*EB120+(1-EXP(-LN(2)/25))/(LN(2)/25)*Calculateur!DW121*Calculateur!DY121*VLOOKUP('Données projet'!$B$14,Paramètres!$A$1:$I$89,3,0)*0.475*44/12</f>
        <v>10.881346471503294</v>
      </c>
      <c r="EC121" s="21">
        <f>EXP(-LN(2)/2)*EC120+(1-EXP(-LN(2)/2))/(LN(2)/2)*DW121*DZ121*VLOOKUP('Données projet'!$B$14,Paramètres!$A$1:$I$89,3,0)*0.475*44/12</f>
        <v>2.5606748407455365E-6</v>
      </c>
      <c r="ED121" s="22">
        <f t="shared" si="72"/>
        <v>27.17476408417777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7.0011111111111104</v>
      </c>
      <c r="EJ121" s="12">
        <f>IF('Données projet'!$A$192&gt;35,EJ120+EI121-ER120,IF(A121&lt;'Données projet'!$A$192,$EG$205^A121,IF(A121='Données projet'!$A$192,'Données projet'!$B$192,EJ120+EI121-ER120)))</f>
        <v>287.26555555555552</v>
      </c>
      <c r="EK121" s="17">
        <f>EJ121*VLOOKUP('Données projet'!$B$15,Paramètres!$A$1:$I$89,3,0)*VLOOKUP('Données projet'!$B$15,Paramètres!$A$1:$I$89,5,0)</f>
        <v>277.8432453333333</v>
      </c>
      <c r="EL121" s="13">
        <f t="shared" si="99"/>
        <v>66.511019705942104</v>
      </c>
      <c r="EM121" s="20">
        <f t="shared" si="73"/>
        <v>599.75034494340457</v>
      </c>
      <c r="EN121" s="59">
        <f t="shared" si="74"/>
        <v>893.08367827673783</v>
      </c>
      <c r="EO121" s="59">
        <f ca="1">AVERAGE(OFFSET($EN$3,0,0,'Données projet'!$E$15+1,1))-AVERAGE(OFFSET($H$3,0,0,'Données projet'!$E$15+1,1))</f>
        <v>510.71380643466227</v>
      </c>
      <c r="EP121" s="59">
        <f t="shared" si="100"/>
        <v>252.40654099948841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13.132297625892221</v>
      </c>
      <c r="EW121" s="21">
        <f>EXP(-LN(2)/25)*EW120+(1-EXP(-LN(2)/25))/(LN(2)/25)*Calculateur!ER121*Calculateur!ET121*VLOOKUP('Données projet'!$B$15,Paramètres!$A$1:$I$89,3,0)*0.475*44/12</f>
        <v>15.69339243206606</v>
      </c>
      <c r="EX121" s="21">
        <f>EXP(-LN(2)/2)*EX120+(1-EXP(-LN(2)/2))/(LN(2)/2)*ER121*EU121*VLOOKUP('Données projet'!$B$15,Paramètres!$A$1:$I$89,3,0)*0.475*44/12</f>
        <v>1.7530560309450414</v>
      </c>
      <c r="EY121" s="22">
        <f t="shared" si="75"/>
        <v>30.578746088903326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7.2033333333333331</v>
      </c>
      <c r="N122" s="13">
        <f>IF('Données projet'!$A$36&gt;35,N121+M122-V121,IF(A122&lt;'Données projet'!$A$36,$K$205^A122,IF(A122='Données projet'!$A$36,'Données projet'!$B$36,N121+M122-V121)))</f>
        <v>306.02000000000027</v>
      </c>
      <c r="O122" s="13">
        <f>N122*VLOOKUP('Données projet'!$B$9,Paramètres!$A$1:$I$89,3,0)*VLOOKUP('Données projet'!$B$9,Paramètres!$A$1:$I$89,5,0)</f>
        <v>310.30428000000029</v>
      </c>
      <c r="P122" s="13">
        <f t="shared" si="87"/>
        <v>73.332372317660329</v>
      </c>
      <c r="Q122" s="20">
        <f t="shared" si="107"/>
        <v>668.16716945325891</v>
      </c>
      <c r="R122" s="59">
        <f t="shared" si="55"/>
        <v>961.50050278659228</v>
      </c>
      <c r="S122" s="59">
        <f ca="1">AVERAGE(OFFSET($R$3,0,0,'Données projet'!$E$9+1,1))-AVERAGE(OFFSET($H$3,0,0,'Données projet'!$E$9+1,1))</f>
        <v>543.67050511722618</v>
      </c>
      <c r="T122" s="59">
        <f t="shared" si="88"/>
        <v>249.0871389941106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17.392469427195216</v>
      </c>
      <c r="AA122" s="21">
        <f>EXP(-LN(2)/25)*AA121+(1-EXP(-LN(2)/25))/(LN(2)/25)*Calculateur!V122*Calculateur!X122*VLOOKUP('Données projet'!$B$9,Paramètres!$A$1:$I$89,3,0)*0.475*44/12</f>
        <v>26.592438113296723</v>
      </c>
      <c r="AB122" s="21">
        <f>EXP(-LN(2)/2)*AB121+(1-EXP(-LN(2)/2))/(LN(2)/2)*V122*Y122*VLOOKUP('Données projet'!$B$9,Paramètres!$A$1:$I$89,3,0)*0.475*44/12</f>
        <v>0.58101114941850251</v>
      </c>
      <c r="AC122" s="22">
        <f t="shared" si="57"/>
        <v>44.56591868991044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8.9160000000000021</v>
      </c>
      <c r="AI122" s="13">
        <f>IF('Données projet'!$A$62&gt;35,AI121+AH122-AQ121,IF(A122&lt;'Données projet'!$A$62,$AF$205^A122,IF(A122='Données projet'!$A$62,'Données projet'!$B$62,AI121+AH122-AQ121)))</f>
        <v>407.28000000000071</v>
      </c>
      <c r="AJ122" s="13">
        <f>AI122*VLOOKUP('Données projet'!$B$10,Paramètres!$A$1:$I$89,3,0)*VLOOKUP('Données projet'!$B$10,Paramètres!$A$1:$I$89,5,0)</f>
        <v>368.5069440000006</v>
      </c>
      <c r="AK122" s="13">
        <f t="shared" si="89"/>
        <v>85.361780301252097</v>
      </c>
      <c r="AL122" s="20">
        <f t="shared" si="58"/>
        <v>790.48802815801503</v>
      </c>
      <c r="AM122" s="59">
        <f t="shared" si="59"/>
        <v>1083.8213614913484</v>
      </c>
      <c r="AN122" s="59">
        <f ca="1">AVERAGE(OFFSET($AM$3,0,0,'Données projet'!$E$10+1,1))-AVERAGE(OFFSET($H$3,0,0,'Données projet'!$E$10+1,1))</f>
        <v>635.71275911100679</v>
      </c>
      <c r="AO122" s="59">
        <f t="shared" si="90"/>
        <v>281.7776857269169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33.023937095759393</v>
      </c>
      <c r="AV122" s="21">
        <f>EXP(-LN(2)/25)*AV121+(1-EXP(-LN(2)/25))/(LN(2)/25)*Calculateur!AQ122*Calculateur!AS122*VLOOKUP('Données projet'!$B$10,Paramètres!$A$1:$I$89,3,0)*0.475*44/12</f>
        <v>22.443556444671213</v>
      </c>
      <c r="AW122" s="21">
        <f>EXP(-LN(2)/2)*AW121+(1-EXP(-LN(2)/2))/(LN(2)/2)*AQ122*AT122*VLOOKUP('Données projet'!$B$10,Paramètres!$A$1:$I$89,3,0)*0.475*44/12</f>
        <v>0.96575181241947516</v>
      </c>
      <c r="AX122" s="21">
        <f t="shared" si="60"/>
        <v>56.433245352850086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204.11804238362862</v>
      </c>
      <c r="BJ122" s="59">
        <f t="shared" si="92"/>
        <v>185.53854651509408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5.0895236140630482</v>
      </c>
      <c r="BQ122" s="21">
        <f>EXP(-LN(2)/25)*BQ121+(1-EXP(-LN(2)/25))/(LN(2)/25)*Calculateur!BL122*Calculateur!BN122*VLOOKUP('Données projet'!$B$11,Paramètres!$A$1:$I$89,3,0)*0.475*44/12</f>
        <v>23.887313106359123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28.97683672042217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7.2033333333333331</v>
      </c>
      <c r="BY122" s="12">
        <f>IF('Données projet'!$A$114&gt;35,BY121+BX122-CG121,IF(A122&lt;'Données projet'!$A$114,$BV$205^A122,IF(A122='Données projet'!$A$114,'Données projet'!$B$114,BY121+BX122-CG121)))</f>
        <v>306.02000000000027</v>
      </c>
      <c r="BZ122" s="13">
        <f>BY122*VLOOKUP('Données projet'!$B$12,Paramètres!$A$1:$I$89,3,0)*VLOOKUP('Données projet'!$B$12,Paramètres!$A$1:$I$89,5,0)</f>
        <v>305.53036800000029</v>
      </c>
      <c r="CA122" s="13">
        <f t="shared" si="93"/>
        <v>72.334605596981461</v>
      </c>
      <c r="CB122" s="20">
        <f t="shared" si="64"/>
        <v>658.11482901474324</v>
      </c>
      <c r="CC122" s="59">
        <f t="shared" si="65"/>
        <v>951.44816234807649</v>
      </c>
      <c r="CD122" s="59">
        <f ca="1">AVERAGE(OFFSET($CC$3,0,0,'Données projet'!$E$12+1,1))-AVERAGE(OFFSET($H$3,0,0,'Données projet'!$E$12+1,1))</f>
        <v>535.99935263833549</v>
      </c>
      <c r="CE122" s="59">
        <f t="shared" si="94"/>
        <v>245.89966477332644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12.232066410335094</v>
      </c>
      <c r="CL122" s="21">
        <f>EXP(-LN(2)/25)*CL121+(1-EXP(-LN(2)/25))/(LN(2)/25)*Calculateur!CG122*Calculateur!CI122*VLOOKUP('Données projet'!$B$12,Paramètres!$A$1:$I$89,3,0)*0.475*44/12</f>
        <v>16.346767463677313</v>
      </c>
      <c r="CM122" s="21">
        <f>EXP(-LN(2)/2)*CM121+(1-EXP(-LN(2)/2))/(LN(2)/2)*CG122*CJ122*VLOOKUP('Données projet'!$B$12,Paramètres!$A$1:$I$89,3,0)*0.475*44/12</f>
        <v>1.4301442241287308</v>
      </c>
      <c r="CN122" s="22">
        <f t="shared" si="66"/>
        <v>30.008978098141139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8.7019999999999982</v>
      </c>
      <c r="CT122" s="12">
        <f>IF('Données projet'!$A$140&gt;35,CT121+CS122-DB121,IF(A122&lt;'Données projet'!$A$140,$CQ$205^A122,IF(A122='Données projet'!$A$140,'Données projet'!$B$140,CT121+CS122-DB121)))</f>
        <v>374.72200000000026</v>
      </c>
      <c r="CU122" s="17">
        <f>CT122*VLOOKUP('Données projet'!$B$13,Paramètres!$A$1:$I$89,3,0)*VLOOKUP('Données projet'!$B$13,Paramètres!$A$1:$I$89,5,0)</f>
        <v>356.58545520000024</v>
      </c>
      <c r="CV122" s="13">
        <f t="shared" si="95"/>
        <v>82.917050226144909</v>
      </c>
      <c r="CW122" s="20">
        <f t="shared" si="67"/>
        <v>765.46686361720276</v>
      </c>
      <c r="CX122" s="59">
        <f t="shared" si="68"/>
        <v>1058.800196950536</v>
      </c>
      <c r="CY122" s="59">
        <f ca="1">AVERAGE(OFFSET($CX$3,0,0,'Données projet'!$E$13+1,1))-AVERAGE(OFFSET($H$3,0,0,'Données projet'!$E$13+1,1))</f>
        <v>449.28947235329758</v>
      </c>
      <c r="CZ122" s="59">
        <f t="shared" si="96"/>
        <v>289.36994109443964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26.356776814082171</v>
      </c>
      <c r="DG122" s="21">
        <f>EXP(-LN(2)/25)*DG121+(1-EXP(-LN(2)/25))/(LN(2)/25)*Calculateur!DB122*Calculateur!DD122*VLOOKUP('Données projet'!$B$13,Paramètres!$A$1:$I$89,3,0)*0.475*44/12</f>
        <v>22.928388329303822</v>
      </c>
      <c r="DH122" s="21">
        <f>EXP(-LN(2)/2)*DH121+(1-EXP(-LN(2)/2))/(LN(2)/2)*DB122*DE122*VLOOKUP('Données projet'!$B$13,Paramètres!$A$1:$I$89,3,0)*0.475*44/12</f>
        <v>1.9880587084813479</v>
      </c>
      <c r="DI122" s="22">
        <f t="shared" si="69"/>
        <v>51.273223851867343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5.6843418860808015E-14</v>
      </c>
      <c r="DP122" s="17">
        <f>DO122*VLOOKUP('Données projet'!$B$14,Paramètres!$A$1:$I$89,3,0)*VLOOKUP('Données projet'!$B$14,Paramètres!$A$1:$I$89,5,0)</f>
        <v>4.4337866711430253E-14</v>
      </c>
      <c r="DQ122" s="13">
        <f t="shared" si="97"/>
        <v>7.3222115536967035E-13</v>
      </c>
      <c r="DR122" s="20">
        <f t="shared" si="70"/>
        <v>1.3525069634579169E-12</v>
      </c>
      <c r="DS122" s="59">
        <f t="shared" si="71"/>
        <v>293.33333333333468</v>
      </c>
      <c r="DT122" s="59">
        <f ca="1">AVERAGE(OFFSET($DS$3,0,0,'Données projet'!$E$14+1,1))-AVERAGE(OFFSET($H$3,0,0,'Données projet'!$E$14+1,1))</f>
        <v>288.82868507674738</v>
      </c>
      <c r="DU122" s="59">
        <f t="shared" si="98"/>
        <v>283.48738729114024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15.973911120831811</v>
      </c>
      <c r="EB122" s="21">
        <f>EXP(-LN(2)/25)*EB121+(1-EXP(-LN(2)/25))/(LN(2)/25)*Calculateur!DW122*Calculateur!DY122*VLOOKUP('Données projet'!$B$14,Paramètres!$A$1:$I$89,3,0)*0.475*44/12</f>
        <v>10.583795480014896</v>
      </c>
      <c r="EC122" s="21">
        <f>EXP(-LN(2)/2)*EC121+(1-EXP(-LN(2)/2))/(LN(2)/2)*DW122*DZ122*VLOOKUP('Données projet'!$B$14,Paramètres!$A$1:$I$89,3,0)*0.475*44/12</f>
        <v>1.8106705443049515E-6</v>
      </c>
      <c r="ED122" s="22">
        <f t="shared" si="72"/>
        <v>26.55770841151725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7.0011111111111104</v>
      </c>
      <c r="EJ122" s="12">
        <f>IF('Données projet'!$A$192&gt;35,EJ121+EI122-ER121,IF(A122&lt;'Données projet'!$A$192,$EG$205^A122,IF(A122='Données projet'!$A$192,'Données projet'!$B$192,EJ121+EI122-ER121)))</f>
        <v>294.26666666666665</v>
      </c>
      <c r="EK122" s="17">
        <f>EJ122*VLOOKUP('Données projet'!$B$15,Paramètres!$A$1:$I$89,3,0)*VLOOKUP('Données projet'!$B$15,Paramètres!$A$1:$I$89,5,0)</f>
        <v>284.61471999999998</v>
      </c>
      <c r="EL122" s="13">
        <f t="shared" si="99"/>
        <v>67.941302125940567</v>
      </c>
      <c r="EM122" s="20">
        <f t="shared" si="73"/>
        <v>614.03507186934644</v>
      </c>
      <c r="EN122" s="59">
        <f t="shared" si="74"/>
        <v>907.3684052026797</v>
      </c>
      <c r="EO122" s="59">
        <f ca="1">AVERAGE(OFFSET($EN$3,0,0,'Données projet'!$E$15+1,1))-AVERAGE(OFFSET($H$3,0,0,'Données projet'!$E$15+1,1))</f>
        <v>510.71380643466227</v>
      </c>
      <c r="EP122" s="59">
        <f t="shared" si="100"/>
        <v>252.40654099948841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12.874781279359114</v>
      </c>
      <c r="EW122" s="21">
        <f>EXP(-LN(2)/25)*EW121+(1-EXP(-LN(2)/25))/(LN(2)/25)*Calculateur!ER122*Calculateur!ET122*VLOOKUP('Données projet'!$B$15,Paramètres!$A$1:$I$89,3,0)*0.475*44/12</f>
        <v>15.264255790731573</v>
      </c>
      <c r="EX122" s="21">
        <f>EXP(-LN(2)/2)*EX121+(1-EXP(-LN(2)/2))/(LN(2)/2)*ER122*EU122*VLOOKUP('Données projet'!$B$15,Paramètres!$A$1:$I$89,3,0)*0.475*44/12</f>
        <v>1.2395978072812128</v>
      </c>
      <c r="EY122" s="22">
        <f t="shared" si="75"/>
        <v>29.378634877371901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7.2033333333333331</v>
      </c>
      <c r="N123" s="13">
        <f>IF('Données projet'!$A$36&gt;35,N122+M123-V122,IF(A123&lt;'Données projet'!$A$36,$K$205^A123,IF(A123='Données projet'!$A$36,'Données projet'!$B$36,N122+M123-V122)))</f>
        <v>313.22333333333358</v>
      </c>
      <c r="O123" s="13">
        <f>N123*VLOOKUP('Données projet'!$B$9,Paramètres!$A$1:$I$89,3,0)*VLOOKUP('Données projet'!$B$9,Paramètres!$A$1:$I$89,5,0)</f>
        <v>317.60846000000026</v>
      </c>
      <c r="P123" s="13">
        <f t="shared" si="87"/>
        <v>74.855530211740756</v>
      </c>
      <c r="Q123" s="20">
        <f t="shared" si="107"/>
        <v>683.54144961878228</v>
      </c>
      <c r="R123" s="59">
        <f t="shared" si="55"/>
        <v>976.87478295211554</v>
      </c>
      <c r="S123" s="59">
        <f ca="1">AVERAGE(OFFSET($R$3,0,0,'Données projet'!$E$9+1,1))-AVERAGE(OFFSET($H$3,0,0,'Données projet'!$E$9+1,1))</f>
        <v>543.67050511722618</v>
      </c>
      <c r="T123" s="59">
        <f t="shared" si="88"/>
        <v>249.0871389941106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17.051413710086781</v>
      </c>
      <c r="AA123" s="21">
        <f>EXP(-LN(2)/25)*AA122+(1-EXP(-LN(2)/25))/(LN(2)/25)*Calculateur!V123*Calculateur!X123*VLOOKUP('Données projet'!$B$9,Paramètres!$A$1:$I$89,3,0)*0.475*44/12</f>
        <v>25.865266494653081</v>
      </c>
      <c r="AB123" s="21">
        <f>EXP(-LN(2)/2)*AB122+(1-EXP(-LN(2)/2))/(LN(2)/2)*V123*Y123*VLOOKUP('Données projet'!$B$9,Paramètres!$A$1:$I$89,3,0)*0.475*44/12</f>
        <v>0.41083692369881353</v>
      </c>
      <c r="AC123" s="22">
        <f t="shared" si="57"/>
        <v>43.327517128438679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8.9160000000000021</v>
      </c>
      <c r="AI123" s="13">
        <f>IF('Données projet'!$A$62&gt;35,AI122+AH123-AQ122,IF(A123&lt;'Données projet'!$A$62,$AF$205^A123,IF(A123='Données projet'!$A$62,'Données projet'!$B$62,AI122+AH123-AQ122)))</f>
        <v>416.19600000000071</v>
      </c>
      <c r="AJ123" s="13">
        <f>AI123*VLOOKUP('Données projet'!$B$10,Paramètres!$A$1:$I$89,3,0)*VLOOKUP('Données projet'!$B$10,Paramètres!$A$1:$I$89,5,0)</f>
        <v>376.57414080000063</v>
      </c>
      <c r="AK123" s="13">
        <f t="shared" si="89"/>
        <v>87.010880052402811</v>
      </c>
      <c r="AL123" s="20">
        <f t="shared" si="58"/>
        <v>807.41057798460258</v>
      </c>
      <c r="AM123" s="59">
        <f t="shared" si="59"/>
        <v>1100.743911317936</v>
      </c>
      <c r="AN123" s="59">
        <f ca="1">AVERAGE(OFFSET($AM$3,0,0,'Données projet'!$E$10+1,1))-AVERAGE(OFFSET($H$3,0,0,'Données projet'!$E$10+1,1))</f>
        <v>635.71275911100679</v>
      </c>
      <c r="AO123" s="59">
        <f t="shared" si="90"/>
        <v>281.7776857269169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32.37635783192426</v>
      </c>
      <c r="AV123" s="21">
        <f>EXP(-LN(2)/25)*AV122+(1-EXP(-LN(2)/25))/(LN(2)/25)*Calculateur!AQ123*Calculateur!AS123*VLOOKUP('Données projet'!$B$10,Paramètres!$A$1:$I$89,3,0)*0.475*44/12</f>
        <v>21.829836213436341</v>
      </c>
      <c r="AW123" s="21">
        <f>EXP(-LN(2)/2)*AW122+(1-EXP(-LN(2)/2))/(LN(2)/2)*AQ123*AT123*VLOOKUP('Données projet'!$B$10,Paramètres!$A$1:$I$89,3,0)*0.475*44/12</f>
        <v>0.68288965550500957</v>
      </c>
      <c r="AX123" s="21">
        <f t="shared" si="60"/>
        <v>54.889083700865612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204.11804238362862</v>
      </c>
      <c r="BJ123" s="59">
        <f t="shared" si="92"/>
        <v>185.53854651509408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4.9897211602941516</v>
      </c>
      <c r="BQ123" s="21">
        <f>EXP(-LN(2)/25)*BQ122+(1-EXP(-LN(2)/25))/(LN(2)/25)*Calculateur!BL123*Calculateur!BN123*VLOOKUP('Données projet'!$B$11,Paramètres!$A$1:$I$89,3,0)*0.475*44/12</f>
        <v>23.234113273286532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28.223834433580684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7.2033333333333331</v>
      </c>
      <c r="BY123" s="12">
        <f>IF('Données projet'!$A$114&gt;35,BY122+BX123-CG122,IF(A123&lt;'Données projet'!$A$114,$BV$205^A123,IF(A123='Données projet'!$A$114,'Données projet'!$B$114,BY122+BX123-CG122)))</f>
        <v>313.22333333333358</v>
      </c>
      <c r="BZ123" s="13">
        <f>BY123*VLOOKUP('Données projet'!$B$12,Paramètres!$A$1:$I$89,3,0)*VLOOKUP('Données projet'!$B$12,Paramètres!$A$1:$I$89,5,0)</f>
        <v>312.72217600000027</v>
      </c>
      <c r="CA123" s="13">
        <f t="shared" si="93"/>
        <v>73.837039270516087</v>
      </c>
      <c r="CB123" s="20">
        <f t="shared" si="64"/>
        <v>673.25729992948266</v>
      </c>
      <c r="CC123" s="59">
        <f t="shared" si="65"/>
        <v>966.59063326281603</v>
      </c>
      <c r="CD123" s="59">
        <f ca="1">AVERAGE(OFFSET($CC$3,0,0,'Données projet'!$E$12+1,1))-AVERAGE(OFFSET($H$3,0,0,'Données projet'!$E$12+1,1))</f>
        <v>535.99935263833549</v>
      </c>
      <c r="CE123" s="59">
        <f t="shared" si="94"/>
        <v>245.89966477332644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11.992203048852238</v>
      </c>
      <c r="CL123" s="21">
        <f>EXP(-LN(2)/25)*CL122+(1-EXP(-LN(2)/25))/(LN(2)/25)*Calculateur!CG123*Calculateur!CI123*VLOOKUP('Données projet'!$B$12,Paramètres!$A$1:$I$89,3,0)*0.475*44/12</f>
        <v>15.899764247743917</v>
      </c>
      <c r="CM123" s="21">
        <f>EXP(-LN(2)/2)*CM122+(1-EXP(-LN(2)/2))/(LN(2)/2)*CG123*CJ123*VLOOKUP('Données projet'!$B$12,Paramètres!$A$1:$I$89,3,0)*0.475*44/12</f>
        <v>1.0112646789561992</v>
      </c>
      <c r="CN123" s="22">
        <f t="shared" si="66"/>
        <v>28.903231975552355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8.7019999999999982</v>
      </c>
      <c r="CT123" s="12">
        <f>IF('Données projet'!$A$140&gt;35,CT122+CS123-DB122,IF(A123&lt;'Données projet'!$A$140,$CQ$205^A123,IF(A123='Données projet'!$A$140,'Données projet'!$B$140,CT122+CS123-DB122)))</f>
        <v>383.42400000000026</v>
      </c>
      <c r="CU123" s="17">
        <f>CT123*VLOOKUP('Données projet'!$B$13,Paramètres!$A$1:$I$89,3,0)*VLOOKUP('Données projet'!$B$13,Paramètres!$A$1:$I$89,5,0)</f>
        <v>364.86627840000023</v>
      </c>
      <c r="CV123" s="13">
        <f t="shared" si="95"/>
        <v>84.61618210285377</v>
      </c>
      <c r="CW123" s="20">
        <f t="shared" si="67"/>
        <v>782.84861870913744</v>
      </c>
      <c r="CX123" s="59">
        <f t="shared" si="68"/>
        <v>1076.1819520424708</v>
      </c>
      <c r="CY123" s="59">
        <f ca="1">AVERAGE(OFFSET($CX$3,0,0,'Données projet'!$E$13+1,1))-AVERAGE(OFFSET($H$3,0,0,'Données projet'!$E$13+1,1))</f>
        <v>449.28947235329758</v>
      </c>
      <c r="CZ123" s="59">
        <f t="shared" si="96"/>
        <v>289.36994109443964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25.839936496804498</v>
      </c>
      <c r="DG123" s="21">
        <f>EXP(-LN(2)/25)*DG122+(1-EXP(-LN(2)/25))/(LN(2)/25)*Calculateur!DB123*Calculateur!DD123*VLOOKUP('Données projet'!$B$13,Paramètres!$A$1:$I$89,3,0)*0.475*44/12</f>
        <v>22.301410344687469</v>
      </c>
      <c r="DH123" s="21">
        <f>EXP(-LN(2)/2)*DH122+(1-EXP(-LN(2)/2))/(LN(2)/2)*DB123*DE123*VLOOKUP('Données projet'!$B$13,Paramètres!$A$1:$I$89,3,0)*0.475*44/12</f>
        <v>1.4057697941641309</v>
      </c>
      <c r="DI123" s="22">
        <f t="shared" si="69"/>
        <v>49.547116635656096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5.6843418860808015E-14</v>
      </c>
      <c r="DP123" s="17">
        <f>DO123*VLOOKUP('Données projet'!$B$14,Paramètres!$A$1:$I$89,3,0)*VLOOKUP('Données projet'!$B$14,Paramètres!$A$1:$I$89,5,0)</f>
        <v>4.4337866711430253E-14</v>
      </c>
      <c r="DQ123" s="13">
        <f t="shared" si="97"/>
        <v>7.3222115536967035E-13</v>
      </c>
      <c r="DR123" s="20">
        <f t="shared" si="70"/>
        <v>1.3525069634579169E-12</v>
      </c>
      <c r="DS123" s="59">
        <f t="shared" si="71"/>
        <v>293.33333333333468</v>
      </c>
      <c r="DT123" s="59">
        <f ca="1">AVERAGE(OFFSET($DS$3,0,0,'Données projet'!$E$14+1,1))-AVERAGE(OFFSET($H$3,0,0,'Données projet'!$E$14+1,1))</f>
        <v>288.82868507674738</v>
      </c>
      <c r="DU123" s="59">
        <f t="shared" si="98"/>
        <v>283.48738729114024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15.660672466876029</v>
      </c>
      <c r="EB123" s="21">
        <f>EXP(-LN(2)/25)*EB122+(1-EXP(-LN(2)/25))/(LN(2)/25)*Calculateur!DW123*Calculateur!DY123*VLOOKUP('Données projet'!$B$14,Paramètres!$A$1:$I$89,3,0)*0.475*44/12</f>
        <v>10.294381036036274</v>
      </c>
      <c r="EC123" s="21">
        <f>EXP(-LN(2)/2)*EC122+(1-EXP(-LN(2)/2))/(LN(2)/2)*DW123*DZ123*VLOOKUP('Données projet'!$B$14,Paramètres!$A$1:$I$89,3,0)*0.475*44/12</f>
        <v>1.2803374203727682E-6</v>
      </c>
      <c r="ED123" s="22">
        <f t="shared" si="72"/>
        <v>25.955054783249725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7.0011111111111104</v>
      </c>
      <c r="EJ123" s="12">
        <f>IF('Données projet'!$A$192&gt;35,EJ122+EI123-ER122,IF(A123&lt;'Données projet'!$A$192,$EG$205^A123,IF(A123='Données projet'!$A$192,'Données projet'!$B$192,EJ122+EI123-ER122)))</f>
        <v>301.26777777777778</v>
      </c>
      <c r="EK123" s="17">
        <f>EJ123*VLOOKUP('Données projet'!$B$15,Paramètres!$A$1:$I$89,3,0)*VLOOKUP('Données projet'!$B$15,Paramètres!$A$1:$I$89,5,0)</f>
        <v>291.38619466666665</v>
      </c>
      <c r="EL123" s="13">
        <f t="shared" si="99"/>
        <v>69.367628669059272</v>
      </c>
      <c r="EM123" s="20">
        <f t="shared" si="73"/>
        <v>628.31290897638928</v>
      </c>
      <c r="EN123" s="59">
        <f t="shared" si="74"/>
        <v>921.64624230972254</v>
      </c>
      <c r="EO123" s="59">
        <f ca="1">AVERAGE(OFFSET($EN$3,0,0,'Données projet'!$E$15+1,1))-AVERAGE(OFFSET($H$3,0,0,'Données projet'!$E$15+1,1))</f>
        <v>510.71380643466227</v>
      </c>
      <c r="EP123" s="59">
        <f t="shared" si="100"/>
        <v>252.40654099948841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12.622314671312058</v>
      </c>
      <c r="EW123" s="21">
        <f>EXP(-LN(2)/25)*EW122+(1-EXP(-LN(2)/25))/(LN(2)/25)*Calculateur!ER123*Calculateur!ET123*VLOOKUP('Données projet'!$B$15,Paramètres!$A$1:$I$89,3,0)*0.475*44/12</f>
        <v>14.846853913421693</v>
      </c>
      <c r="EX123" s="21">
        <f>EXP(-LN(2)/2)*EX122+(1-EXP(-LN(2)/2))/(LN(2)/2)*ER123*EU123*VLOOKUP('Données projet'!$B$15,Paramètres!$A$1:$I$89,3,0)*0.475*44/12</f>
        <v>0.87652801547252068</v>
      </c>
      <c r="EY123" s="22">
        <f t="shared" si="75"/>
        <v>28.345696600206271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7.2033333333333331</v>
      </c>
      <c r="N124" s="13">
        <f>IF('Données projet'!$A$36&gt;35,N123+M124-V123,IF(A124&lt;'Données projet'!$A$36,$K$205^A124,IF(A124='Données projet'!$A$36,'Données projet'!$B$36,N123+M124-V123)))</f>
        <v>320.4266666666669</v>
      </c>
      <c r="O124" s="13">
        <f>N124*VLOOKUP('Données projet'!$B$9,Paramètres!$A$1:$I$89,3,0)*VLOOKUP('Données projet'!$B$9,Paramètres!$A$1:$I$89,5,0)</f>
        <v>324.91264000000029</v>
      </c>
      <c r="P124" s="13">
        <f t="shared" si="87"/>
        <v>76.374615835289475</v>
      </c>
      <c r="Q124" s="20">
        <f t="shared" si="107"/>
        <v>698.90863724646306</v>
      </c>
      <c r="R124" s="59">
        <f t="shared" si="55"/>
        <v>992.24197057979632</v>
      </c>
      <c r="S124" s="59">
        <f ca="1">AVERAGE(OFFSET($R$3,0,0,'Données projet'!$E$9+1,1))-AVERAGE(OFFSET($H$3,0,0,'Données projet'!$E$9+1,1))</f>
        <v>543.67050511722618</v>
      </c>
      <c r="T124" s="59">
        <f t="shared" si="88"/>
        <v>249.0871389941106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16.717045887567394</v>
      </c>
      <c r="AA124" s="21">
        <f>EXP(-LN(2)/25)*AA123+(1-EXP(-LN(2)/25))/(LN(2)/25)*Calculateur!V124*Calculateur!X124*VLOOKUP('Données projet'!$B$9,Paramètres!$A$1:$I$89,3,0)*0.475*44/12</f>
        <v>25.157979422161542</v>
      </c>
      <c r="AB124" s="21">
        <f>EXP(-LN(2)/2)*AB123+(1-EXP(-LN(2)/2))/(LN(2)/2)*V124*Y124*VLOOKUP('Données projet'!$B$9,Paramètres!$A$1:$I$89,3,0)*0.475*44/12</f>
        <v>0.29050557470925126</v>
      </c>
      <c r="AC124" s="22">
        <f t="shared" si="57"/>
        <v>42.165530884438191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8.9160000000000021</v>
      </c>
      <c r="AI124" s="13">
        <f>IF('Données projet'!$A$62&gt;35,AI123+AH124-AQ123,IF(A124&lt;'Données projet'!$A$62,$AF$205^A124,IF(A124='Données projet'!$A$62,'Données projet'!$B$62,AI123+AH124-AQ123)))</f>
        <v>425.11200000000071</v>
      </c>
      <c r="AJ124" s="13">
        <f>AI124*VLOOKUP('Données projet'!$B$10,Paramètres!$A$1:$I$89,3,0)*VLOOKUP('Données projet'!$B$10,Paramètres!$A$1:$I$89,5,0)</f>
        <v>384.64133760000061</v>
      </c>
      <c r="AK124" s="13">
        <f t="shared" si="89"/>
        <v>88.65587241476193</v>
      </c>
      <c r="AL124" s="20">
        <f t="shared" si="58"/>
        <v>824.32597410904464</v>
      </c>
      <c r="AM124" s="59">
        <f t="shared" si="59"/>
        <v>1117.6593074423779</v>
      </c>
      <c r="AN124" s="59">
        <f ca="1">AVERAGE(OFFSET($AM$3,0,0,'Données projet'!$E$10+1,1))-AVERAGE(OFFSET($H$3,0,0,'Données projet'!$E$10+1,1))</f>
        <v>635.71275911100679</v>
      </c>
      <c r="AO124" s="59">
        <f t="shared" si="90"/>
        <v>281.7776857269169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31.741477202468587</v>
      </c>
      <c r="AV124" s="21">
        <f>EXP(-LN(2)/25)*AV123+(1-EXP(-LN(2)/25))/(LN(2)/25)*Calculateur!AQ124*Calculateur!AS124*VLOOKUP('Données projet'!$B$10,Paramètres!$A$1:$I$89,3,0)*0.475*44/12</f>
        <v>21.232898194198729</v>
      </c>
      <c r="AW124" s="21">
        <f>EXP(-LN(2)/2)*AW123+(1-EXP(-LN(2)/2))/(LN(2)/2)*AQ124*AT124*VLOOKUP('Données projet'!$B$10,Paramètres!$A$1:$I$89,3,0)*0.475*44/12</f>
        <v>0.48287590620973764</v>
      </c>
      <c r="AX124" s="21">
        <f t="shared" si="60"/>
        <v>53.457251302877047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204.11804238362862</v>
      </c>
      <c r="BJ124" s="59">
        <f t="shared" si="92"/>
        <v>185.53854651509408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4.8918757717701773</v>
      </c>
      <c r="BQ124" s="21">
        <f>EXP(-LN(2)/25)*BQ123+(1-EXP(-LN(2)/25))/(LN(2)/25)*Calculateur!BL124*Calculateur!BN124*VLOOKUP('Données projet'!$B$11,Paramètres!$A$1:$I$89,3,0)*0.475*44/12</f>
        <v>22.598775223999596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27.490650995769773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7.2033333333333331</v>
      </c>
      <c r="BY124" s="12">
        <f>IF('Données projet'!$A$114&gt;35,BY123+BX124-CG123,IF(A124&lt;'Données projet'!$A$114,$BV$205^A124,IF(A124='Données projet'!$A$114,'Données projet'!$B$114,BY123+BX124-CG123)))</f>
        <v>320.4266666666669</v>
      </c>
      <c r="BZ124" s="13">
        <f>BY124*VLOOKUP('Données projet'!$B$12,Paramètres!$A$1:$I$89,3,0)*VLOOKUP('Données projet'!$B$12,Paramètres!$A$1:$I$89,5,0)</f>
        <v>319.91398400000026</v>
      </c>
      <c r="CA124" s="13">
        <f t="shared" si="93"/>
        <v>75.335456081190827</v>
      </c>
      <c r="CB124" s="20">
        <f t="shared" si="64"/>
        <v>688.39277480807448</v>
      </c>
      <c r="CC124" s="59">
        <f t="shared" si="65"/>
        <v>981.72610814140785</v>
      </c>
      <c r="CD124" s="59">
        <f ca="1">AVERAGE(OFFSET($CC$3,0,0,'Données projet'!$E$12+1,1))-AVERAGE(OFFSET($H$3,0,0,'Données projet'!$E$12+1,1))</f>
        <v>535.99935263833549</v>
      </c>
      <c r="CE124" s="59">
        <f t="shared" si="94"/>
        <v>245.89966477332644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11.757043261585856</v>
      </c>
      <c r="CL124" s="21">
        <f>EXP(-LN(2)/25)*CL123+(1-EXP(-LN(2)/25))/(LN(2)/25)*Calculateur!CG124*Calculateur!CI124*VLOOKUP('Données projet'!$B$12,Paramètres!$A$1:$I$89,3,0)*0.475*44/12</f>
        <v>15.464984358257098</v>
      </c>
      <c r="CM124" s="21">
        <f>EXP(-LN(2)/2)*CM123+(1-EXP(-LN(2)/2))/(LN(2)/2)*CG124*CJ124*VLOOKUP('Données projet'!$B$12,Paramètres!$A$1:$I$89,3,0)*0.475*44/12</f>
        <v>0.71507211206436538</v>
      </c>
      <c r="CN124" s="22">
        <f t="shared" si="66"/>
        <v>27.93709973190732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8.7019999999999982</v>
      </c>
      <c r="CT124" s="12">
        <f>IF('Données projet'!$A$140&gt;35,CT123+CS124-DB123,IF(A124&lt;'Données projet'!$A$140,$CQ$205^A124,IF(A124='Données projet'!$A$140,'Données projet'!$B$140,CT123+CS124-DB123)))</f>
        <v>392.12600000000026</v>
      </c>
      <c r="CU124" s="17">
        <f>CT124*VLOOKUP('Données projet'!$B$13,Paramètres!$A$1:$I$89,3,0)*VLOOKUP('Données projet'!$B$13,Paramètres!$A$1:$I$89,5,0)</f>
        <v>373.14710160000027</v>
      </c>
      <c r="CV124" s="13">
        <f t="shared" si="95"/>
        <v>86.310830804095133</v>
      </c>
      <c r="CW124" s="20">
        <f t="shared" si="67"/>
        <v>800.22256560379947</v>
      </c>
      <c r="CX124" s="59">
        <f t="shared" si="68"/>
        <v>1093.5558989371327</v>
      </c>
      <c r="CY124" s="59">
        <f ca="1">AVERAGE(OFFSET($CX$3,0,0,'Données projet'!$E$13+1,1))-AVERAGE(OFFSET($H$3,0,0,'Données projet'!$E$13+1,1))</f>
        <v>449.28947235329758</v>
      </c>
      <c r="CZ124" s="59">
        <f t="shared" si="96"/>
        <v>289.36994109443964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25.333231102907174</v>
      </c>
      <c r="DG124" s="21">
        <f>EXP(-LN(2)/25)*DG123+(1-EXP(-LN(2)/25))/(LN(2)/25)*Calculateur!DB124*Calculateur!DD124*VLOOKUP('Données projet'!$B$13,Paramètres!$A$1:$I$89,3,0)*0.475*44/12</f>
        <v>21.69157710603179</v>
      </c>
      <c r="DH124" s="21">
        <f>EXP(-LN(2)/2)*DH123+(1-EXP(-LN(2)/2))/(LN(2)/2)*DB124*DE124*VLOOKUP('Données projet'!$B$13,Paramètres!$A$1:$I$89,3,0)*0.475*44/12</f>
        <v>0.99402935424067418</v>
      </c>
      <c r="DI124" s="22">
        <f t="shared" si="69"/>
        <v>48.018837563179638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5.6843418860808015E-14</v>
      </c>
      <c r="DP124" s="17">
        <f>DO124*VLOOKUP('Données projet'!$B$14,Paramètres!$A$1:$I$89,3,0)*VLOOKUP('Données projet'!$B$14,Paramètres!$A$1:$I$89,5,0)</f>
        <v>4.4337866711430253E-14</v>
      </c>
      <c r="DQ124" s="13">
        <f t="shared" si="97"/>
        <v>7.3222115536967035E-13</v>
      </c>
      <c r="DR124" s="20">
        <f t="shared" si="70"/>
        <v>1.3525069634579169E-12</v>
      </c>
      <c r="DS124" s="59">
        <f t="shared" si="71"/>
        <v>293.33333333333468</v>
      </c>
      <c r="DT124" s="59">
        <f ca="1">AVERAGE(OFFSET($DS$3,0,0,'Données projet'!$E$14+1,1))-AVERAGE(OFFSET($H$3,0,0,'Données projet'!$E$14+1,1))</f>
        <v>288.82868507674738</v>
      </c>
      <c r="DU124" s="59">
        <f t="shared" si="98"/>
        <v>283.48738729114024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15.353576231867606</v>
      </c>
      <c r="EB124" s="21">
        <f>EXP(-LN(2)/25)*EB123+(1-EXP(-LN(2)/25))/(LN(2)/25)*Calculateur!DW124*Calculateur!DY124*VLOOKUP('Données projet'!$B$14,Paramètres!$A$1:$I$89,3,0)*0.475*44/12</f>
        <v>10.012880645247892</v>
      </c>
      <c r="EC124" s="21">
        <f>EXP(-LN(2)/2)*EC123+(1-EXP(-LN(2)/2))/(LN(2)/2)*DW124*DZ124*VLOOKUP('Données projet'!$B$14,Paramètres!$A$1:$I$89,3,0)*0.475*44/12</f>
        <v>9.0533527215247576E-7</v>
      </c>
      <c r="ED124" s="22">
        <f t="shared" si="72"/>
        <v>25.36645778245077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7.0011111111111104</v>
      </c>
      <c r="EJ124" s="12">
        <f>IF('Données projet'!$A$192&gt;35,EJ123+EI124-ER123,IF(A124&lt;'Données projet'!$A$192,$EG$205^A124,IF(A124='Données projet'!$A$192,'Données projet'!$B$192,EJ123+EI124-ER123)))</f>
        <v>308.26888888888891</v>
      </c>
      <c r="EK124" s="17">
        <f>EJ124*VLOOKUP('Données projet'!$B$15,Paramètres!$A$1:$I$89,3,0)*VLOOKUP('Données projet'!$B$15,Paramètres!$A$1:$I$89,5,0)</f>
        <v>298.15766933333333</v>
      </c>
      <c r="EL124" s="13">
        <f t="shared" si="99"/>
        <v>70.790101845868477</v>
      </c>
      <c r="EM124" s="20">
        <f t="shared" si="73"/>
        <v>642.58403480377649</v>
      </c>
      <c r="EN124" s="59">
        <f t="shared" si="74"/>
        <v>935.91736813710986</v>
      </c>
      <c r="EO124" s="59">
        <f ca="1">AVERAGE(OFFSET($EN$3,0,0,'Données projet'!$E$15+1,1))-AVERAGE(OFFSET($H$3,0,0,'Données projet'!$E$15+1,1))</f>
        <v>510.71380643466227</v>
      </c>
      <c r="EP124" s="59">
        <f t="shared" si="100"/>
        <v>252.40654099948841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12.374798779459379</v>
      </c>
      <c r="EW124" s="21">
        <f>EXP(-LN(2)/25)*EW123+(1-EXP(-LN(2)/25))/(LN(2)/25)*Calculateur!ER124*Calculateur!ET124*VLOOKUP('Données projet'!$B$15,Paramètres!$A$1:$I$89,3,0)*0.475*44/12</f>
        <v>14.440865912397063</v>
      </c>
      <c r="EX124" s="21">
        <f>EXP(-LN(2)/2)*EX123+(1-EXP(-LN(2)/2))/(LN(2)/2)*ER124*EU124*VLOOKUP('Données projet'!$B$15,Paramètres!$A$1:$I$89,3,0)*0.475*44/12</f>
        <v>0.61979890364060641</v>
      </c>
      <c r="EY124" s="22">
        <f t="shared" si="75"/>
        <v>27.435463595497048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7.2033333333333331</v>
      </c>
      <c r="N125" s="13">
        <f>IF('Données projet'!$A$36&gt;35,N124+M125-V124,IF(A125&lt;'Données projet'!$A$36,$K$205^A125,IF(A125='Données projet'!$A$36,'Données projet'!$B$36,N124+M125-V124)))</f>
        <v>327.63000000000022</v>
      </c>
      <c r="O125" s="13">
        <f>N125*VLOOKUP('Données projet'!$B$9,Paramètres!$A$1:$I$89,3,0)*VLOOKUP('Données projet'!$B$9,Paramètres!$A$1:$I$89,5,0)</f>
        <v>332.21682000000027</v>
      </c>
      <c r="P125" s="13">
        <f t="shared" si="87"/>
        <v>77.889731274530106</v>
      </c>
      <c r="Q125" s="20">
        <f t="shared" si="107"/>
        <v>714.26891013647366</v>
      </c>
      <c r="R125" s="59">
        <f t="shared" si="55"/>
        <v>1007.602243469807</v>
      </c>
      <c r="S125" s="59">
        <f ca="1">AVERAGE(OFFSET($R$3,0,0,'Données projet'!$E$9+1,1))-AVERAGE(OFFSET($H$3,0,0,'Données projet'!$E$9+1,1))</f>
        <v>543.67050511722618</v>
      </c>
      <c r="T125" s="59">
        <f t="shared" si="88"/>
        <v>249.0871389941106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16.389234814103379</v>
      </c>
      <c r="AA125" s="21">
        <f>EXP(-LN(2)/25)*AA124+(1-EXP(-LN(2)/25))/(LN(2)/25)*Calculateur!V125*Calculateur!X125*VLOOKUP('Données projet'!$B$9,Paramètres!$A$1:$I$89,3,0)*0.475*44/12</f>
        <v>24.470033151861898</v>
      </c>
      <c r="AB125" s="21">
        <f>EXP(-LN(2)/2)*AB124+(1-EXP(-LN(2)/2))/(LN(2)/2)*V125*Y125*VLOOKUP('Données projet'!$B$9,Paramètres!$A$1:$I$89,3,0)*0.475*44/12</f>
        <v>0.20541846184940676</v>
      </c>
      <c r="AC125" s="22">
        <f t="shared" si="57"/>
        <v>41.064686427814678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8.9160000000000021</v>
      </c>
      <c r="AI125" s="13">
        <f>IF('Données projet'!$A$62&gt;35,AI124+AH125-AQ124,IF(A125&lt;'Données projet'!$A$62,$AF$205^A125,IF(A125='Données projet'!$A$62,'Données projet'!$B$62,AI124+AH125-AQ124)))</f>
        <v>434.0280000000007</v>
      </c>
      <c r="AJ125" s="13">
        <f>AI125*VLOOKUP('Données projet'!$B$10,Paramètres!$A$1:$I$89,3,0)*VLOOKUP('Données projet'!$B$10,Paramètres!$A$1:$I$89,5,0)</f>
        <v>392.70853440000059</v>
      </c>
      <c r="AK125" s="13">
        <f t="shared" si="89"/>
        <v>90.296853458070288</v>
      </c>
      <c r="AL125" s="20">
        <f t="shared" si="58"/>
        <v>841.23438385280679</v>
      </c>
      <c r="AM125" s="59">
        <f t="shared" si="59"/>
        <v>1134.56771718614</v>
      </c>
      <c r="AN125" s="59">
        <f ca="1">AVERAGE(OFFSET($AM$3,0,0,'Données projet'!$E$10+1,1))-AVERAGE(OFFSET($H$3,0,0,'Données projet'!$E$10+1,1))</f>
        <v>635.71275911100679</v>
      </c>
      <c r="AO125" s="59">
        <f t="shared" si="90"/>
        <v>281.7776857269169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31.11904619491759</v>
      </c>
      <c r="AV125" s="21">
        <f>EXP(-LN(2)/25)*AV124+(1-EXP(-LN(2)/25))/(LN(2)/25)*Calculateur!AQ125*Calculateur!AS125*VLOOKUP('Données projet'!$B$10,Paramètres!$A$1:$I$89,3,0)*0.475*44/12</f>
        <v>20.652283476488776</v>
      </c>
      <c r="AW125" s="21">
        <f>EXP(-LN(2)/2)*AW124+(1-EXP(-LN(2)/2))/(LN(2)/2)*AQ125*AT125*VLOOKUP('Données projet'!$B$10,Paramètres!$A$1:$I$89,3,0)*0.475*44/12</f>
        <v>0.34144482775250484</v>
      </c>
      <c r="AX125" s="21">
        <f t="shared" si="60"/>
        <v>52.112774499158867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204.11804238362862</v>
      </c>
      <c r="BJ125" s="59">
        <f t="shared" si="92"/>
        <v>185.53854651509408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4.7959490716353637</v>
      </c>
      <c r="BQ125" s="21">
        <f>EXP(-LN(2)/25)*BQ124+(1-EXP(-LN(2)/25))/(LN(2)/25)*Calculateur!BL125*Calculateur!BN125*VLOOKUP('Données projet'!$B$11,Paramètres!$A$1:$I$89,3,0)*0.475*44/12</f>
        <v>21.980810527081388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26.776759598716751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7.2033333333333331</v>
      </c>
      <c r="BY125" s="12">
        <f>IF('Données projet'!$A$114&gt;35,BY124+BX125-CG124,IF(A125&lt;'Données projet'!$A$114,$BV$205^A125,IF(A125='Données projet'!$A$114,'Données projet'!$B$114,BY124+BX125-CG124)))</f>
        <v>327.63000000000022</v>
      </c>
      <c r="BZ125" s="13">
        <f>BY125*VLOOKUP('Données projet'!$B$12,Paramètres!$A$1:$I$89,3,0)*VLOOKUP('Données projet'!$B$12,Paramètres!$A$1:$I$89,5,0)</f>
        <v>327.10579200000024</v>
      </c>
      <c r="CA125" s="13">
        <f t="shared" si="93"/>
        <v>76.829956726235082</v>
      </c>
      <c r="CB125" s="20">
        <f t="shared" si="64"/>
        <v>703.52142903152651</v>
      </c>
      <c r="CC125" s="59">
        <f t="shared" si="65"/>
        <v>996.85476236485988</v>
      </c>
      <c r="CD125" s="59">
        <f ca="1">AVERAGE(OFFSET($CC$3,0,0,'Données projet'!$E$12+1,1))-AVERAGE(OFFSET($H$3,0,0,'Données projet'!$E$12+1,1))</f>
        <v>535.99935263833549</v>
      </c>
      <c r="CE125" s="59">
        <f t="shared" si="94"/>
        <v>245.89966477332644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11.526494814314461</v>
      </c>
      <c r="CL125" s="21">
        <f>EXP(-LN(2)/25)*CL124+(1-EXP(-LN(2)/25))/(LN(2)/25)*Calculateur!CG125*Calculateur!CI125*VLOOKUP('Données projet'!$B$12,Paramètres!$A$1:$I$89,3,0)*0.475*44/12</f>
        <v>15.042093547712376</v>
      </c>
      <c r="CM125" s="21">
        <f>EXP(-LN(2)/2)*CM124+(1-EXP(-LN(2)/2))/(LN(2)/2)*CG125*CJ125*VLOOKUP('Données projet'!$B$12,Paramètres!$A$1:$I$89,3,0)*0.475*44/12</f>
        <v>0.5056323394780996</v>
      </c>
      <c r="CN125" s="22">
        <f t="shared" si="66"/>
        <v>27.074220701504938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8.7019999999999982</v>
      </c>
      <c r="CT125" s="12">
        <f>IF('Données projet'!$A$140&gt;35,CT124+CS125-DB124,IF(A125&lt;'Données projet'!$A$140,$CQ$205^A125,IF(A125='Données projet'!$A$140,'Données projet'!$B$140,CT124+CS125-DB124)))</f>
        <v>400.82800000000026</v>
      </c>
      <c r="CU125" s="17">
        <f>CT125*VLOOKUP('Données projet'!$B$13,Paramètres!$A$1:$I$89,3,0)*VLOOKUP('Données projet'!$B$13,Paramètres!$A$1:$I$89,5,0)</f>
        <v>381.42792480000026</v>
      </c>
      <c r="CV125" s="13">
        <f t="shared" si="95"/>
        <v>88.001107275506357</v>
      </c>
      <c r="CW125" s="20">
        <f t="shared" si="67"/>
        <v>817.58889753150731</v>
      </c>
      <c r="CX125" s="59">
        <f t="shared" si="68"/>
        <v>1110.9222308648407</v>
      </c>
      <c r="CY125" s="59">
        <f ca="1">AVERAGE(OFFSET($CX$3,0,0,'Données projet'!$E$13+1,1))-AVERAGE(OFFSET($H$3,0,0,'Données projet'!$E$13+1,1))</f>
        <v>449.28947235329758</v>
      </c>
      <c r="CZ125" s="59">
        <f t="shared" si="96"/>
        <v>289.36994109443964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24.836461892724405</v>
      </c>
      <c r="DG125" s="21">
        <f>EXP(-LN(2)/25)*DG124+(1-EXP(-LN(2)/25))/(LN(2)/25)*Calculateur!DB125*Calculateur!DD125*VLOOKUP('Données projet'!$B$13,Paramètres!$A$1:$I$89,3,0)*0.475*44/12</f>
        <v>21.098419789356889</v>
      </c>
      <c r="DH125" s="21">
        <f>EXP(-LN(2)/2)*DH124+(1-EXP(-LN(2)/2))/(LN(2)/2)*DB125*DE125*VLOOKUP('Données projet'!$B$13,Paramètres!$A$1:$I$89,3,0)*0.475*44/12</f>
        <v>0.70288489708206559</v>
      </c>
      <c r="DI125" s="22">
        <f t="shared" si="69"/>
        <v>46.637766579163362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5.6843418860808015E-14</v>
      </c>
      <c r="DP125" s="17">
        <f>DO125*VLOOKUP('Données projet'!$B$14,Paramètres!$A$1:$I$89,3,0)*VLOOKUP('Données projet'!$B$14,Paramètres!$A$1:$I$89,5,0)</f>
        <v>4.4337866711430253E-14</v>
      </c>
      <c r="DQ125" s="13">
        <f t="shared" si="97"/>
        <v>7.3222115536967035E-13</v>
      </c>
      <c r="DR125" s="20">
        <f t="shared" si="70"/>
        <v>1.3525069634579169E-12</v>
      </c>
      <c r="DS125" s="59">
        <f t="shared" si="71"/>
        <v>293.33333333333468</v>
      </c>
      <c r="DT125" s="59">
        <f ca="1">AVERAGE(OFFSET($DS$3,0,0,'Données projet'!$E$14+1,1))-AVERAGE(OFFSET($H$3,0,0,'Données projet'!$E$14+1,1))</f>
        <v>288.82868507674738</v>
      </c>
      <c r="DU125" s="59">
        <f t="shared" si="98"/>
        <v>283.48738729114024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15.052501966717491</v>
      </c>
      <c r="EB125" s="21">
        <f>EXP(-LN(2)/25)*EB124+(1-EXP(-LN(2)/25))/(LN(2)/25)*Calculateur!DW125*Calculateur!DY125*VLOOKUP('Données projet'!$B$14,Paramètres!$A$1:$I$89,3,0)*0.475*44/12</f>
        <v>9.7390778974490804</v>
      </c>
      <c r="EC125" s="21">
        <f>EXP(-LN(2)/2)*EC124+(1-EXP(-LN(2)/2))/(LN(2)/2)*DW125*DZ125*VLOOKUP('Données projet'!$B$14,Paramètres!$A$1:$I$89,3,0)*0.475*44/12</f>
        <v>6.4016871018638412E-7</v>
      </c>
      <c r="ED125" s="22">
        <f t="shared" si="72"/>
        <v>24.791580504335283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>
        <f>VLOOKUP(A125,'Données projet'!$A$191:$I$211,2,0)</f>
        <v>315.27</v>
      </c>
      <c r="EH125" s="12">
        <f>VLOOKUP(A125,'Données projet'!$A$191:$I$211,9,0)</f>
        <v>7.0011111111111104</v>
      </c>
      <c r="EI125" s="12">
        <f t="array" ref="EI125">INDEX(EH:EH,MIN(IF(ISNUMBER(EH125:EH321),ROW(EH125:EH321),"")))</f>
        <v>7.0011111111111104</v>
      </c>
      <c r="EJ125" s="12">
        <f>IF('Données projet'!$A$192&gt;35,EJ124+EI125-ER124,IF(A125&lt;'Données projet'!$A$192,$EG$205^A125,IF(A125='Données projet'!$A$192,'Données projet'!$B$192,EJ124+EI125-ER124)))</f>
        <v>315.27000000000004</v>
      </c>
      <c r="EK125" s="17">
        <f>EJ125*VLOOKUP('Données projet'!$B$15,Paramètres!$A$1:$I$89,3,0)*VLOOKUP('Données projet'!$B$15,Paramètres!$A$1:$I$89,5,0)</f>
        <v>304.92914400000006</v>
      </c>
      <c r="EL125" s="13">
        <f t="shared" si="99"/>
        <v>72.20881924493338</v>
      </c>
      <c r="EM125" s="20">
        <f t="shared" si="73"/>
        <v>656.84861931825901</v>
      </c>
      <c r="EN125" s="59">
        <f t="shared" si="74"/>
        <v>950.18195265159238</v>
      </c>
      <c r="EO125" s="59">
        <f ca="1">AVERAGE(OFFSET($EN$3,0,0,'Données projet'!$E$15+1,1))-AVERAGE(OFFSET($H$3,0,0,'Données projet'!$E$15+1,1))</f>
        <v>510.71380643466227</v>
      </c>
      <c r="EP125" s="59">
        <f t="shared" si="100"/>
        <v>252.40654099948841</v>
      </c>
      <c r="EQ125" s="15">
        <f>IF(ISNA(VLOOKUP(A125,'Données projet'!$A$191:$I$211,3,0)),0,VLOOKUP(A125,'Données projet'!$A$191:$I$211,3,0))</f>
        <v>8</v>
      </c>
      <c r="ER125" s="15">
        <f>IF(ISNA(VLOOKUP(A125,'Données projet'!$A$191:$I$211,4,0)),0,VLOOKUP(A125,'Données projet'!$A$191:$I$211,4,0))</f>
        <v>45.829999999999984</v>
      </c>
      <c r="ES125" s="16">
        <f>IF(ISNA(VLOOKUP(A125,'Données projet'!$A$191:$I$211,5,0)),0%,VLOOKUP(A125,'Données projet'!$A$191:$I$211,5,0)*VLOOKUP('Données projet'!$B$15,Paramètres!$A$1:$I$89,7,0))</f>
        <v>0.1075</v>
      </c>
      <c r="ET125" s="16">
        <f>IF(ISNA(VLOOKUP(A125,'Données projet'!$A$191:$I$211,6,0)),0%,VLOOKUP(A125,'Données projet'!$A$191:$I$211,6,0)*VLOOKUP('Données projet'!$B$15,Paramètres!$A$1:$I$89,7,0))</f>
        <v>0.1075</v>
      </c>
      <c r="EU125" s="16">
        <f>IF(ISNA(VLOOKUP(A125,'Données projet'!$A$191:$I$211,7,0)),0%,VLOOKUP(A125,'Données projet'!$A$191:$I$211,7,0))</f>
        <v>0.25</v>
      </c>
      <c r="EV125" s="21">
        <f>EXP(-LN(2)/35)*EV124+(1-EXP(-LN(2)/35))/(LN(2)/35)*ER125*ES125*VLOOKUP('Données projet'!$B$15,Paramètres!$A$1:$I$89,3,0)*0.475*44/12</f>
        <v>17.399844846256791</v>
      </c>
      <c r="EW125" s="21">
        <f>EXP(-LN(2)/25)*EW124+(1-EXP(-LN(2)/25))/(LN(2)/25)*Calculateur!ER125*Calculateur!ET125*VLOOKUP('Données projet'!$B$15,Paramètres!$A$1:$I$89,3,0)*0.475*44/12</f>
        <v>19.292947022769273</v>
      </c>
      <c r="EX125" s="21">
        <f>EXP(-LN(2)/2)*EX124+(1-EXP(-LN(2)/2))/(LN(2)/2)*ER125*EU125*VLOOKUP('Données projet'!$B$15,Paramètres!$A$1:$I$89,3,0)*0.475*44/12</f>
        <v>10.894140556157298</v>
      </c>
      <c r="EY125" s="22">
        <f t="shared" si="75"/>
        <v>47.586932425183363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7.2033333333333331</v>
      </c>
      <c r="N126" s="13">
        <f>IF('Données projet'!$A$36&gt;35,N125+M126-V125,IF(A126&lt;'Données projet'!$A$36,$K$205^A126,IF(A126='Données projet'!$A$36,'Données projet'!$B$36,N125+M126-V125)))</f>
        <v>334.83333333333354</v>
      </c>
      <c r="O126" s="13">
        <f>N126*VLOOKUP('Données projet'!$B$9,Paramètres!$A$1:$I$89,3,0)*VLOOKUP('Données projet'!$B$9,Paramètres!$A$1:$I$89,5,0)</f>
        <v>339.52100000000024</v>
      </c>
      <c r="P126" s="13">
        <f t="shared" si="87"/>
        <v>79.400973870379332</v>
      </c>
      <c r="Q126" s="20">
        <f t="shared" si="107"/>
        <v>729.62243782424446</v>
      </c>
      <c r="R126" s="59">
        <f t="shared" si="55"/>
        <v>1022.9557711575778</v>
      </c>
      <c r="S126" s="59">
        <f ca="1">AVERAGE(OFFSET($R$3,0,0,'Données projet'!$E$9+1,1))-AVERAGE(OFFSET($H$3,0,0,'Données projet'!$E$9+1,1))</f>
        <v>543.67050511722618</v>
      </c>
      <c r="T126" s="59">
        <f t="shared" si="88"/>
        <v>249.0871389941106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16.06785191584498</v>
      </c>
      <c r="AA126" s="21">
        <f>EXP(-LN(2)/25)*AA125+(1-EXP(-LN(2)/25))/(LN(2)/25)*Calculateur!V126*Calculateur!X126*VLOOKUP('Données projet'!$B$9,Paramètres!$A$1:$I$89,3,0)*0.475*44/12</f>
        <v>23.800898808501117</v>
      </c>
      <c r="AB126" s="21">
        <f>EXP(-LN(2)/2)*AB125+(1-EXP(-LN(2)/2))/(LN(2)/2)*V126*Y126*VLOOKUP('Données projet'!$B$9,Paramètres!$A$1:$I$89,3,0)*0.475*44/12</f>
        <v>0.14525278735462563</v>
      </c>
      <c r="AC126" s="22">
        <f t="shared" si="57"/>
        <v>40.014003511700729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8.9160000000000021</v>
      </c>
      <c r="AI126" s="13">
        <f>IF('Données projet'!$A$62&gt;35,AI125+AH126-AQ125,IF(A126&lt;'Données projet'!$A$62,$AF$205^A126,IF(A126='Données projet'!$A$62,'Données projet'!$B$62,AI125+AH126-AQ125)))</f>
        <v>442.9440000000007</v>
      </c>
      <c r="AJ126" s="13">
        <f>AI126*VLOOKUP('Données projet'!$B$10,Paramètres!$A$1:$I$89,3,0)*VLOOKUP('Données projet'!$B$10,Paramètres!$A$1:$I$89,5,0)</f>
        <v>400.77573120000062</v>
      </c>
      <c r="AK126" s="13">
        <f t="shared" si="89"/>
        <v>91.933915079444887</v>
      </c>
      <c r="AL126" s="20">
        <f t="shared" si="58"/>
        <v>858.13596727003414</v>
      </c>
      <c r="AM126" s="59">
        <f t="shared" si="59"/>
        <v>1151.4693006033674</v>
      </c>
      <c r="AN126" s="59">
        <f ca="1">AVERAGE(OFFSET($AM$3,0,0,'Données projet'!$E$10+1,1))-AVERAGE(OFFSET($H$3,0,0,'Données projet'!$E$10+1,1))</f>
        <v>635.71275911100679</v>
      </c>
      <c r="AO126" s="59">
        <f t="shared" si="90"/>
        <v>281.7776857269169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30.508820679779241</v>
      </c>
      <c r="AV126" s="21">
        <f>EXP(-LN(2)/25)*AV125+(1-EXP(-LN(2)/25))/(LN(2)/25)*Calculateur!AQ126*Calculateur!AS126*VLOOKUP('Données projet'!$B$10,Paramètres!$A$1:$I$89,3,0)*0.475*44/12</f>
        <v>20.087545698767805</v>
      </c>
      <c r="AW126" s="21">
        <f>EXP(-LN(2)/2)*AW125+(1-EXP(-LN(2)/2))/(LN(2)/2)*AQ126*AT126*VLOOKUP('Données projet'!$B$10,Paramètres!$A$1:$I$89,3,0)*0.475*44/12</f>
        <v>0.24143795310486887</v>
      </c>
      <c r="AX126" s="21">
        <f t="shared" si="60"/>
        <v>50.837804331651917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204.11804238362862</v>
      </c>
      <c r="BJ126" s="59">
        <f t="shared" si="92"/>
        <v>185.53854651509408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4.7019034355806841</v>
      </c>
      <c r="BQ126" s="21">
        <f>EXP(-LN(2)/25)*BQ125+(1-EXP(-LN(2)/25))/(LN(2)/25)*Calculateur!BL126*Calculateur!BN126*VLOOKUP('Données projet'!$B$11,Paramètres!$A$1:$I$89,3,0)*0.475*44/12</f>
        <v>21.379744107297761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26.081647542878443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7.2033333333333331</v>
      </c>
      <c r="BY126" s="12">
        <f>IF('Données projet'!$A$114&gt;35,BY125+BX126-CG125,IF(A126&lt;'Données projet'!$A$114,$BV$205^A126,IF(A126='Données projet'!$A$114,'Données projet'!$B$114,BY125+BX126-CG125)))</f>
        <v>334.83333333333354</v>
      </c>
      <c r="BZ126" s="13">
        <f>BY126*VLOOKUP('Données projet'!$B$12,Paramètres!$A$1:$I$89,3,0)*VLOOKUP('Données projet'!$B$12,Paramètres!$A$1:$I$89,5,0)</f>
        <v>334.29760000000022</v>
      </c>
      <c r="CA126" s="13">
        <f t="shared" si="93"/>
        <v>78.320637222136497</v>
      </c>
      <c r="CB126" s="20">
        <f t="shared" si="64"/>
        <v>718.64342982855476</v>
      </c>
      <c r="CC126" s="59">
        <f t="shared" si="65"/>
        <v>1011.9767631618881</v>
      </c>
      <c r="CD126" s="59">
        <f ca="1">AVERAGE(OFFSET($CC$3,0,0,'Données projet'!$E$12+1,1))-AVERAGE(OFFSET($H$3,0,0,'Données projet'!$E$12+1,1))</f>
        <v>535.99935263833549</v>
      </c>
      <c r="CE126" s="59">
        <f t="shared" si="94"/>
        <v>245.89966477332644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11.30046728147339</v>
      </c>
      <c r="CL126" s="21">
        <f>EXP(-LN(2)/25)*CL125+(1-EXP(-LN(2)/25))/(LN(2)/25)*Calculateur!CG126*Calculateur!CI126*VLOOKUP('Données projet'!$B$12,Paramètres!$A$1:$I$89,3,0)*0.475*44/12</f>
        <v>14.630766708620861</v>
      </c>
      <c r="CM126" s="21">
        <f>EXP(-LN(2)/2)*CM125+(1-EXP(-LN(2)/2))/(LN(2)/2)*CG126*CJ126*VLOOKUP('Données projet'!$B$12,Paramètres!$A$1:$I$89,3,0)*0.475*44/12</f>
        <v>0.35753605603218269</v>
      </c>
      <c r="CN126" s="22">
        <f t="shared" si="66"/>
        <v>26.28877004612643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>
        <f>VLOOKUP(A126,'Données projet'!$A$139:$I$159,2,0)</f>
        <v>409.53</v>
      </c>
      <c r="CR126" s="12">
        <f>VLOOKUP(A126,'Données projet'!$A$139:$I$159,9,0)</f>
        <v>8.7019999999999982</v>
      </c>
      <c r="CS126" s="12">
        <f t="array" ref="CS126">INDEX(CR:CR,MIN(IF(ISNUMBER(CR126:CR322),ROW(CR126:CR322),"")))</f>
        <v>8.7019999999999982</v>
      </c>
      <c r="CT126" s="12">
        <f>IF('Données projet'!$A$140&gt;35,CT125+CS126-DB125,IF(A126&lt;'Données projet'!$A$140,$CQ$205^A126,IF(A126='Données projet'!$A$140,'Données projet'!$B$140,CT125+CS126-DB125)))</f>
        <v>409.53000000000026</v>
      </c>
      <c r="CU126" s="17">
        <f>CT126*VLOOKUP('Données projet'!$B$13,Paramètres!$A$1:$I$89,3,0)*VLOOKUP('Données projet'!$B$13,Paramètres!$A$1:$I$89,5,0)</f>
        <v>389.70874800000024</v>
      </c>
      <c r="CV126" s="13">
        <f t="shared" si="95"/>
        <v>89.687117370320195</v>
      </c>
      <c r="CW126" s="20">
        <f t="shared" si="67"/>
        <v>834.94779885330809</v>
      </c>
      <c r="CX126" s="59">
        <f t="shared" si="68"/>
        <v>1128.2811321866413</v>
      </c>
      <c r="CY126" s="59">
        <f ca="1">AVERAGE(OFFSET($CX$3,0,0,'Données projet'!$E$13+1,1))-AVERAGE(OFFSET($H$3,0,0,'Données projet'!$E$13+1,1))</f>
        <v>449.28947235329758</v>
      </c>
      <c r="CZ126" s="59">
        <f t="shared" si="96"/>
        <v>289.36994109443964</v>
      </c>
      <c r="DA126" s="15">
        <f>IF(ISNA(VLOOKUP(A126,'Données projet'!$A$139:$I$159,3,0)),0,VLOOKUP(A126,'Données projet'!$A$139:$I$159,3,0))</f>
        <v>11</v>
      </c>
      <c r="DB126" s="15">
        <f>IF(ISNA(VLOOKUP(A126,'Données projet'!$A$139:$I$159,4,0)),0,VLOOKUP(A126,'Données projet'!$A$139:$I$159,4,0))</f>
        <v>203.78999999999996</v>
      </c>
      <c r="DC126" s="16">
        <f>IF(ISNA(VLOOKUP(A126,'Données projet'!$A$139:$I$159,5,0)),0%,VLOOKUP(A126,'Données projet'!$A$139:$I$159,5,0)*VLOOKUP('Données projet'!$B$13,Paramètres!$A$1:$I$89,7,0))</f>
        <v>0.1075</v>
      </c>
      <c r="DD126" s="16">
        <f>IF(ISNA(VLOOKUP(A126,'Données projet'!$A$139:$I$159,6,0)),0%,VLOOKUP(A126,'Données projet'!$A$139:$I$159,6,0)*VLOOKUP('Données projet'!$B$13,Paramètres!$A$1:$I$89,7,0))</f>
        <v>0.1075</v>
      </c>
      <c r="DE126" s="16">
        <f>IF(ISNA(VLOOKUP(A126,'Données projet'!$A$139:$I$159,7,0)),0%,VLOOKUP(A126,'Données projet'!$A$139:$I$159,7,0))</f>
        <v>0.25</v>
      </c>
      <c r="DF126" s="21">
        <f>EXP(-LN(2)/35)*DF125+(1-EXP(-LN(2)/35))/(LN(2)/35)*DB126*DC126*VLOOKUP('Données projet'!$B$13,Paramètres!$A$1:$I$89,3,0)*0.475*44/12</f>
        <v>47.395291796713614</v>
      </c>
      <c r="DG126" s="21">
        <f>EXP(-LN(2)/25)*DG125+(1-EXP(-LN(2)/25))/(LN(2)/25)*Calculateur!DB126*Calculateur!DD126*VLOOKUP('Données projet'!$B$13,Paramètres!$A$1:$I$89,3,0)*0.475*44/12</f>
        <v>43.476599840446454</v>
      </c>
      <c r="DH126" s="21">
        <f>EXP(-LN(2)/2)*DH125+(1-EXP(-LN(2)/2))/(LN(2)/2)*DB126*DE126*VLOOKUP('Données projet'!$B$13,Paramètres!$A$1:$I$89,3,0)*0.475*44/12</f>
        <v>46.240747824856413</v>
      </c>
      <c r="DI126" s="22">
        <f t="shared" si="69"/>
        <v>137.11263946201649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5.6843418860808015E-14</v>
      </c>
      <c r="DP126" s="17">
        <f>DO126*VLOOKUP('Données projet'!$B$14,Paramètres!$A$1:$I$89,3,0)*VLOOKUP('Données projet'!$B$14,Paramètres!$A$1:$I$89,5,0)</f>
        <v>4.4337866711430253E-14</v>
      </c>
      <c r="DQ126" s="13">
        <f t="shared" si="97"/>
        <v>7.3222115536967035E-13</v>
      </c>
      <c r="DR126" s="20">
        <f t="shared" si="70"/>
        <v>1.3525069634579169E-12</v>
      </c>
      <c r="DS126" s="59">
        <f t="shared" si="71"/>
        <v>293.33333333333468</v>
      </c>
      <c r="DT126" s="59">
        <f ca="1">AVERAGE(OFFSET($DS$3,0,0,'Données projet'!$E$14+1,1))-AVERAGE(OFFSET($H$3,0,0,'Données projet'!$E$14+1,1))</f>
        <v>288.82868507674738</v>
      </c>
      <c r="DU126" s="59">
        <f t="shared" si="98"/>
        <v>283.48738729114024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14.757331584269801</v>
      </c>
      <c r="EB126" s="21">
        <f>EXP(-LN(2)/25)*EB125+(1-EXP(-LN(2)/25))/(LN(2)/25)*Calculateur!DW126*Calculateur!DY126*VLOOKUP('Données projet'!$B$14,Paramètres!$A$1:$I$89,3,0)*0.475*44/12</f>
        <v>9.4727623001874868</v>
      </c>
      <c r="EC126" s="21">
        <f>EXP(-LN(2)/2)*EC125+(1-EXP(-LN(2)/2))/(LN(2)/2)*DW126*DZ126*VLOOKUP('Données projet'!$B$14,Paramètres!$A$1:$I$89,3,0)*0.475*44/12</f>
        <v>4.5266763607623788E-7</v>
      </c>
      <c r="ED126" s="22">
        <f t="shared" si="72"/>
        <v>24.230094337124925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7.1129999999999995</v>
      </c>
      <c r="EJ126" s="12">
        <f>IF('Données projet'!$A$192&gt;35,EJ125+EI126-ER125,IF(A126&lt;'Données projet'!$A$192,$EG$205^A126,IF(A126='Données projet'!$A$192,'Données projet'!$B$192,EJ125+EI126-ER125)))</f>
        <v>276.55300000000005</v>
      </c>
      <c r="EK126" s="17">
        <f>EJ126*VLOOKUP('Données projet'!$B$15,Paramètres!$A$1:$I$89,3,0)*VLOOKUP('Données projet'!$B$15,Paramètres!$A$1:$I$89,5,0)</f>
        <v>267.48206160000007</v>
      </c>
      <c r="EL126" s="13">
        <f t="shared" si="99"/>
        <v>64.314608166975702</v>
      </c>
      <c r="EM126" s="20">
        <f t="shared" si="73"/>
        <v>577.87919984414941</v>
      </c>
      <c r="EN126" s="59">
        <f t="shared" si="74"/>
        <v>871.21253317748278</v>
      </c>
      <c r="EO126" s="59">
        <f ca="1">AVERAGE(OFFSET($EN$3,0,0,'Données projet'!$E$15+1,1))-AVERAGE(OFFSET($H$3,0,0,'Données projet'!$E$15+1,1))</f>
        <v>510.71380643466227</v>
      </c>
      <c r="EP126" s="59">
        <f t="shared" si="100"/>
        <v>252.40654099948841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17.058644501679119</v>
      </c>
      <c r="EW126" s="21">
        <f>EXP(-LN(2)/25)*EW125+(1-EXP(-LN(2)/25))/(LN(2)/25)*Calculateur!ER126*Calculateur!ET126*VLOOKUP('Données projet'!$B$15,Paramètres!$A$1:$I$89,3,0)*0.475*44/12</f>
        <v>18.765380371859656</v>
      </c>
      <c r="EX126" s="21">
        <f>EXP(-LN(2)/2)*EX125+(1-EXP(-LN(2)/2))/(LN(2)/2)*ER126*EU126*VLOOKUP('Données projet'!$B$15,Paramètres!$A$1:$I$89,3,0)*0.475*44/12</f>
        <v>7.7033206624582125</v>
      </c>
      <c r="EY126" s="22">
        <f t="shared" si="75"/>
        <v>43.527345535996986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7.2033333333333331</v>
      </c>
      <c r="N127" s="13">
        <f>IF('Données projet'!$A$36&gt;35,N126+M127-V126,IF(A127&lt;'Données projet'!$A$36,$K$205^A127,IF(A127='Données projet'!$A$36,'Données projet'!$B$36,N126+M127-V126)))</f>
        <v>342.03666666666686</v>
      </c>
      <c r="O127" s="13">
        <f>N127*VLOOKUP('Données projet'!$B$9,Paramètres!$A$1:$I$89,3,0)*VLOOKUP('Données projet'!$B$9,Paramètres!$A$1:$I$89,5,0)</f>
        <v>346.82518000000022</v>
      </c>
      <c r="P127" s="13">
        <f t="shared" si="87"/>
        <v>80.908436536290395</v>
      </c>
      <c r="Q127" s="20">
        <f t="shared" si="107"/>
        <v>744.96938213403939</v>
      </c>
      <c r="R127" s="59">
        <f t="shared" si="55"/>
        <v>1038.3027154673728</v>
      </c>
      <c r="S127" s="59">
        <f ca="1">AVERAGE(OFFSET($R$3,0,0,'Données projet'!$E$9+1,1))-AVERAGE(OFFSET($H$3,0,0,'Données projet'!$E$9+1,1))</f>
        <v>543.67050511722618</v>
      </c>
      <c r="T127" s="59">
        <f t="shared" si="88"/>
        <v>249.0871389941106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15.752771140197217</v>
      </c>
      <c r="AA127" s="21">
        <f>EXP(-LN(2)/25)*AA126+(1-EXP(-LN(2)/25))/(LN(2)/25)*Calculateur!V127*Calculateur!X127*VLOOKUP('Données projet'!$B$9,Paramètres!$A$1:$I$89,3,0)*0.475*44/12</f>
        <v>23.150061978947782</v>
      </c>
      <c r="AB127" s="21">
        <f>EXP(-LN(2)/2)*AB126+(1-EXP(-LN(2)/2))/(LN(2)/2)*V127*Y127*VLOOKUP('Données projet'!$B$9,Paramètres!$A$1:$I$89,3,0)*0.475*44/12</f>
        <v>0.10270923092470338</v>
      </c>
      <c r="AC127" s="22">
        <f t="shared" si="57"/>
        <v>39.005542350069703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8.9160000000000021</v>
      </c>
      <c r="AH127" s="12">
        <f t="array" ref="AH127">INDEX(AG:AG,MIN(IF(ISNUMBER(AG127:AG323),ROW(AG127:AG323),"")))</f>
        <v>8.9160000000000021</v>
      </c>
      <c r="AI127" s="13">
        <f>IF('Données projet'!$A$62&gt;35,AI126+AH127-AQ126,IF(A127&lt;'Données projet'!$A$62,$AF$205^A127,IF(A127='Données projet'!$A$62,'Données projet'!$B$62,AI126+AH127-AQ126)))</f>
        <v>451.8600000000007</v>
      </c>
      <c r="AJ127" s="13">
        <f>AI127*VLOOKUP('Données projet'!$B$10,Paramètres!$A$1:$I$89,3,0)*VLOOKUP('Données projet'!$B$10,Paramètres!$A$1:$I$89,5,0)</f>
        <v>408.84292800000065</v>
      </c>
      <c r="AK127" s="13">
        <f t="shared" si="89"/>
        <v>93.567145264891295</v>
      </c>
      <c r="AL127" s="20">
        <f t="shared" si="58"/>
        <v>875.03087760302014</v>
      </c>
      <c r="AM127" s="59">
        <f t="shared" si="59"/>
        <v>1168.3642109363534</v>
      </c>
      <c r="AN127" s="59">
        <f ca="1">AVERAGE(OFFSET($AM$3,0,0,'Données projet'!$E$10+1,1))-AVERAGE(OFFSET($H$3,0,0,'Données projet'!$E$10+1,1))</f>
        <v>635.71275911100679</v>
      </c>
      <c r="AO127" s="59">
        <f t="shared" si="90"/>
        <v>281.7776857269169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57.81</v>
      </c>
      <c r="AR127" s="16">
        <f>IF(ISNA(VLOOKUP(A127,'Données projet'!$A$61:$I$81,5,0)),0%,VLOOKUP(A127,'Données projet'!$A$61:$I$81,5,0)*VLOOKUP('Données projet'!$B$10,Paramètres!$A$1:$I$89,7,0))</f>
        <v>0.15049999999999999</v>
      </c>
      <c r="AS127" s="16">
        <f>IF(ISNA(VLOOKUP(A127,'Données projet'!$A$61:$I$81,6,0)),0%,VLOOKUP(A127,'Données projet'!$A$61:$I$81,6,0)*VLOOKUP('Données projet'!$B$10,Paramètres!$A$1:$I$89,7,0))</f>
        <v>8.6000000000000007E-2</v>
      </c>
      <c r="AT127" s="16">
        <f>IF(ISNA(VLOOKUP(A127,'Données projet'!$A$61:$I$81,7,0)),0%,VLOOKUP(A127,'Données projet'!$A$61:$I$81,7,0))</f>
        <v>0.1</v>
      </c>
      <c r="AU127" s="21">
        <f>EXP(-LN(2)/35)*AU126+(1-EXP(-LN(2)/35))/(LN(2)/35)*AQ127*AR127*VLOOKUP('Données projet'!$B$10,Paramètres!$A$1:$I$89,3,0)*0.475*44/12</f>
        <v>38.612963922572</v>
      </c>
      <c r="AV127" s="21">
        <f>EXP(-LN(2)/25)*AV126+(1-EXP(-LN(2)/25))/(LN(2)/25)*Calculateur!AQ127*Calculateur!AS127*VLOOKUP('Données projet'!$B$10,Paramètres!$A$1:$I$89,3,0)*0.475*44/12</f>
        <v>24.491472381184234</v>
      </c>
      <c r="AW127" s="21">
        <f>EXP(-LN(2)/2)*AW126+(1-EXP(-LN(2)/2))/(LN(2)/2)*AQ127*AT127*VLOOKUP('Données projet'!$B$10,Paramètres!$A$1:$I$89,3,0)*0.475*44/12</f>
        <v>5.1059803375246293</v>
      </c>
      <c r="AX127" s="21">
        <f t="shared" si="60"/>
        <v>68.210416641280858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204.11804238362862</v>
      </c>
      <c r="BJ127" s="59">
        <f t="shared" si="92"/>
        <v>185.53854651509408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4.6097019770868632</v>
      </c>
      <c r="BQ127" s="21">
        <f>EXP(-LN(2)/25)*BQ126+(1-EXP(-LN(2)/25))/(LN(2)/25)*Calculateur!BL127*Calculateur!BN127*VLOOKUP('Données projet'!$B$11,Paramètres!$A$1:$I$89,3,0)*0.475*44/12</f>
        <v>20.795113880371826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25.40481585745869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7.2033333333333331</v>
      </c>
      <c r="BY127" s="12">
        <f>IF('Données projet'!$A$114&gt;35,BY126+BX127-CG126,IF(A127&lt;'Données projet'!$A$114,$BV$205^A127,IF(A127='Données projet'!$A$114,'Données projet'!$B$114,BY126+BX127-CG126)))</f>
        <v>342.03666666666686</v>
      </c>
      <c r="BZ127" s="13">
        <f>BY127*VLOOKUP('Données projet'!$B$12,Paramètres!$A$1:$I$89,3,0)*VLOOKUP('Données projet'!$B$12,Paramètres!$A$1:$I$89,5,0)</f>
        <v>341.4894080000002</v>
      </c>
      <c r="CA127" s="13">
        <f t="shared" si="93"/>
        <v>79.807589218159549</v>
      </c>
      <c r="CB127" s="20">
        <f t="shared" si="64"/>
        <v>733.75893682162814</v>
      </c>
      <c r="CC127" s="59">
        <f t="shared" si="65"/>
        <v>1027.0922701549614</v>
      </c>
      <c r="CD127" s="59">
        <f ca="1">AVERAGE(OFFSET($CC$3,0,0,'Données projet'!$E$12+1,1))-AVERAGE(OFFSET($H$3,0,0,'Données projet'!$E$12+1,1))</f>
        <v>535.99935263833549</v>
      </c>
      <c r="CE127" s="59">
        <f t="shared" si="94"/>
        <v>245.89966477332644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11.07887201068815</v>
      </c>
      <c r="CL127" s="21">
        <f>EXP(-LN(2)/25)*CL126+(1-EXP(-LN(2)/25))/(LN(2)/25)*Calculateur!CG127*Calculateur!CI127*VLOOKUP('Données projet'!$B$12,Paramètres!$A$1:$I$89,3,0)*0.475*44/12</f>
        <v>14.230687623575042</v>
      </c>
      <c r="CM127" s="21">
        <f>EXP(-LN(2)/2)*CM126+(1-EXP(-LN(2)/2))/(LN(2)/2)*CG127*CJ127*VLOOKUP('Données projet'!$B$12,Paramètres!$A$1:$I$89,3,0)*0.475*44/12</f>
        <v>0.2528161697390498</v>
      </c>
      <c r="CN127" s="22">
        <f t="shared" si="66"/>
        <v>25.56237580400224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4.8499999999999943</v>
      </c>
      <c r="CT127" s="12">
        <f>IF('Données projet'!$A$140&gt;35,CT126+CS127-DB126,IF(A127&lt;'Données projet'!$A$140,$CQ$205^A127,IF(A127='Données projet'!$A$140,'Données projet'!$B$140,CT126+CS127-DB126)))</f>
        <v>210.59000000000026</v>
      </c>
      <c r="CU127" s="17">
        <f>CT127*VLOOKUP('Données projet'!$B$13,Paramètres!$A$1:$I$89,3,0)*VLOOKUP('Données projet'!$B$13,Paramètres!$A$1:$I$89,5,0)</f>
        <v>200.39744400000023</v>
      </c>
      <c r="CV127" s="13">
        <f t="shared" si="95"/>
        <v>49.831503792487226</v>
      </c>
      <c r="CW127" s="20">
        <f t="shared" si="67"/>
        <v>435.81541740524904</v>
      </c>
      <c r="CX127" s="59">
        <f t="shared" si="68"/>
        <v>729.14875073858229</v>
      </c>
      <c r="CY127" s="59">
        <f ca="1">AVERAGE(OFFSET($CX$3,0,0,'Données projet'!$E$13+1,1))-AVERAGE(OFFSET($H$3,0,0,'Données projet'!$E$13+1,1))</f>
        <v>449.28947235329758</v>
      </c>
      <c r="CZ127" s="59">
        <f t="shared" si="96"/>
        <v>289.36994109443964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46.465899032853599</v>
      </c>
      <c r="DG127" s="21">
        <f>EXP(-LN(2)/25)*DG126+(1-EXP(-LN(2)/25))/(LN(2)/25)*Calculateur!DB127*Calculateur!DD127*VLOOKUP('Données projet'!$B$13,Paramètres!$A$1:$I$89,3,0)*0.475*44/12</f>
        <v>42.287729931474431</v>
      </c>
      <c r="DH127" s="21">
        <f>EXP(-LN(2)/2)*DH126+(1-EXP(-LN(2)/2))/(LN(2)/2)*DB127*DE127*VLOOKUP('Données projet'!$B$13,Paramètres!$A$1:$I$89,3,0)*0.475*44/12</f>
        <v>32.697146354093071</v>
      </c>
      <c r="DI127" s="22">
        <f t="shared" si="69"/>
        <v>121.45077531842111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5.6843418860808015E-14</v>
      </c>
      <c r="DP127" s="17">
        <f>DO127*VLOOKUP('Données projet'!$B$14,Paramètres!$A$1:$I$89,3,0)*VLOOKUP('Données projet'!$B$14,Paramètres!$A$1:$I$89,5,0)</f>
        <v>4.4337866711430253E-14</v>
      </c>
      <c r="DQ127" s="13">
        <f t="shared" si="97"/>
        <v>7.3222115536967035E-13</v>
      </c>
      <c r="DR127" s="20">
        <f t="shared" si="70"/>
        <v>1.3525069634579169E-12</v>
      </c>
      <c r="DS127" s="59">
        <f t="shared" si="71"/>
        <v>293.33333333333468</v>
      </c>
      <c r="DT127" s="59">
        <f ca="1">AVERAGE(OFFSET($DS$3,0,0,'Données projet'!$E$14+1,1))-AVERAGE(OFFSET($H$3,0,0,'Données projet'!$E$14+1,1))</f>
        <v>288.82868507674738</v>
      </c>
      <c r="DU127" s="59">
        <f t="shared" si="98"/>
        <v>283.48738729114024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14.467949312985754</v>
      </c>
      <c r="EB127" s="21">
        <f>EXP(-LN(2)/25)*EB126+(1-EXP(-LN(2)/25))/(LN(2)/25)*Calculateur!DW127*Calculateur!DY127*VLOOKUP('Données projet'!$B$14,Paramètres!$A$1:$I$89,3,0)*0.475*44/12</f>
        <v>9.2137291169379409</v>
      </c>
      <c r="EC127" s="21">
        <f>EXP(-LN(2)/2)*EC126+(1-EXP(-LN(2)/2))/(LN(2)/2)*DW127*DZ127*VLOOKUP('Données projet'!$B$14,Paramètres!$A$1:$I$89,3,0)*0.475*44/12</f>
        <v>3.2008435509319206E-7</v>
      </c>
      <c r="ED127" s="22">
        <f t="shared" si="72"/>
        <v>23.681678750008047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7.1129999999999995</v>
      </c>
      <c r="EJ127" s="12">
        <f>IF('Données projet'!$A$192&gt;35,EJ126+EI127-ER126,IF(A127&lt;'Données projet'!$A$192,$EG$205^A127,IF(A127='Données projet'!$A$192,'Données projet'!$B$192,EJ126+EI127-ER126)))</f>
        <v>283.66600000000005</v>
      </c>
      <c r="EK127" s="17">
        <f>EJ127*VLOOKUP('Données projet'!$B$15,Paramètres!$A$1:$I$89,3,0)*VLOOKUP('Données projet'!$B$15,Paramètres!$A$1:$I$89,5,0)</f>
        <v>274.36175520000006</v>
      </c>
      <c r="EL127" s="13">
        <f t="shared" si="99"/>
        <v>65.7740786926813</v>
      </c>
      <c r="EM127" s="20">
        <f t="shared" si="73"/>
        <v>592.4032440297533</v>
      </c>
      <c r="EN127" s="59">
        <f t="shared" si="74"/>
        <v>885.73657736308655</v>
      </c>
      <c r="EO127" s="59">
        <f ca="1">AVERAGE(OFFSET($EN$3,0,0,'Données projet'!$E$15+1,1))-AVERAGE(OFFSET($H$3,0,0,'Données projet'!$E$15+1,1))</f>
        <v>510.71380643466227</v>
      </c>
      <c r="EP127" s="59">
        <f t="shared" si="100"/>
        <v>252.40654099948841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16.724134887746953</v>
      </c>
      <c r="EW127" s="21">
        <f>EXP(-LN(2)/25)*EW126+(1-EXP(-LN(2)/25))/(LN(2)/25)*Calculateur!ER127*Calculateur!ET127*VLOOKUP('Données projet'!$B$15,Paramètres!$A$1:$I$89,3,0)*0.475*44/12</f>
        <v>18.252240058762688</v>
      </c>
      <c r="EX127" s="21">
        <f>EXP(-LN(2)/2)*EX126+(1-EXP(-LN(2)/2))/(LN(2)/2)*ER127*EU127*VLOOKUP('Données projet'!$B$15,Paramètres!$A$1:$I$89,3,0)*0.475*44/12</f>
        <v>5.44707027807865</v>
      </c>
      <c r="EY127" s="22">
        <f t="shared" si="75"/>
        <v>40.423445224588285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>
        <f>VLOOKUP(A128,'Données projet'!$A$35:$I$55,2,0)</f>
        <v>349.24</v>
      </c>
      <c r="L128" s="12">
        <f>VLOOKUP(A128,'Données projet'!$A$35:$I$55,9,0)</f>
        <v>7.2033333333333331</v>
      </c>
      <c r="M128" s="12">
        <f t="array" ref="M128">INDEX(L:L,MIN(IF(ISNUMBER(L128:L324),ROW(L128:L324),"")))</f>
        <v>7.2033333333333331</v>
      </c>
      <c r="N128" s="13">
        <f>IF('Données projet'!$A$36&gt;35,N127+M128-V127,IF(A128&lt;'Données projet'!$A$36,$K$205^A128,IF(A128='Données projet'!$A$36,'Données projet'!$B$36,N127+M128-V127)))</f>
        <v>349.24000000000018</v>
      </c>
      <c r="O128" s="13">
        <f>N128*VLOOKUP('Données projet'!$B$9,Paramètres!$A$1:$I$89,3,0)*VLOOKUP('Données projet'!$B$9,Paramètres!$A$1:$I$89,5,0)</f>
        <v>354.12936000000019</v>
      </c>
      <c r="P128" s="13">
        <f t="shared" si="87"/>
        <v>82.412208048565105</v>
      </c>
      <c r="Q128" s="20">
        <f t="shared" si="107"/>
        <v>760.30989768458448</v>
      </c>
      <c r="R128" s="59">
        <f t="shared" si="55"/>
        <v>1053.6432310179177</v>
      </c>
      <c r="S128" s="59">
        <f ca="1">AVERAGE(OFFSET($R$3,0,0,'Données projet'!$E$9+1,1))-AVERAGE(OFFSET($H$3,0,0,'Données projet'!$E$9+1,1))</f>
        <v>543.67050511722618</v>
      </c>
      <c r="T128" s="59">
        <f t="shared" si="88"/>
        <v>249.0871389941106</v>
      </c>
      <c r="U128" s="15">
        <f>IF(ISNA(VLOOKUP(A128,'Données projet'!$A$35:$I$55,3,0)),0,VLOOKUP(A128,'Données projet'!$A$35:$I$55,3,0))</f>
        <v>9</v>
      </c>
      <c r="V128" s="15">
        <f>IF(ISNA(VLOOKUP(A128,'Données projet'!$A$35:$I$55,4,0)),0,VLOOKUP(A128,'Données projet'!$A$35:$I$55,4,0))</f>
        <v>60.19</v>
      </c>
      <c r="W128" s="16">
        <f>IF(ISNA(VLOOKUP(A128,'Données projet'!$A$35:$I$55,5,0)),0%,VLOOKUP(A128,'Données projet'!$A$35:$I$55,5,0)*VLOOKUP('Données projet'!$B$9,Paramètres!$A$1:$I$89,7,0))</f>
        <v>0.15049999999999999</v>
      </c>
      <c r="X128" s="16">
        <f>IF(ISNA(VLOOKUP(A128,'Données projet'!$A$35:$I$55,6,0)),0%,VLOOKUP(A128,'Données projet'!$A$35:$I$55,6,0)*VLOOKUP('Données projet'!$B$9,Paramètres!$A$1:$I$89,7,0))</f>
        <v>8.6000000000000007E-2</v>
      </c>
      <c r="Y128" s="16">
        <f>IF(ISNA(VLOOKUP(A128,'Données projet'!$A$35:$I$55,7,0)),0%,VLOOKUP(A128,'Données projet'!$A$35:$I$55,7,0))</f>
        <v>0.1</v>
      </c>
      <c r="Z128" s="21">
        <f>EXP(-LN(2)/35)*Z127+(1-EXP(-LN(2)/35))/(LN(2)/35)*V128*W128*VLOOKUP('Données projet'!$B$9,Paramètres!$A$1:$I$89,3,0)*0.475*44/12</f>
        <v>25.598073477402487</v>
      </c>
      <c r="AA128" s="21">
        <f>EXP(-LN(2)/25)*AA127+(1-EXP(-LN(2)/25))/(LN(2)/25)*Calculateur!V128*Calculateur!X128*VLOOKUP('Données projet'!$B$9,Paramètres!$A$1:$I$89,3,0)*0.475*44/12</f>
        <v>28.296578658765458</v>
      </c>
      <c r="AB128" s="21">
        <f>EXP(-LN(2)/2)*AB127+(1-EXP(-LN(2)/2))/(LN(2)/2)*V128*Y128*VLOOKUP('Données projet'!$B$9,Paramètres!$A$1:$I$89,3,0)*0.475*44/12</f>
        <v>5.8312221316732815</v>
      </c>
      <c r="AC128" s="22">
        <f t="shared" si="57"/>
        <v>59.725874267841228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9.0229999999999961</v>
      </c>
      <c r="AI128" s="13">
        <f>IF('Données projet'!$A$62&gt;35,AI127+AH128-AQ127,IF(A128&lt;'Données projet'!$A$62,$AF$205^A128,IF(A128='Données projet'!$A$62,'Données projet'!$B$62,AI127+AH128-AQ127)))</f>
        <v>403.07300000000072</v>
      </c>
      <c r="AJ128" s="13">
        <f>AI128*VLOOKUP('Données projet'!$B$10,Paramètres!$A$1:$I$89,3,0)*VLOOKUP('Données projet'!$B$10,Paramètres!$A$1:$I$89,5,0)</f>
        <v>364.70045040000065</v>
      </c>
      <c r="AK128" s="13">
        <f t="shared" si="89"/>
        <v>84.582200429685614</v>
      </c>
      <c r="AL128" s="20">
        <f t="shared" si="58"/>
        <v>782.50061686170341</v>
      </c>
      <c r="AM128" s="59">
        <f t="shared" si="59"/>
        <v>1075.8339501950368</v>
      </c>
      <c r="AN128" s="59">
        <f ca="1">AVERAGE(OFFSET($AM$3,0,0,'Données projet'!$E$10+1,1))-AVERAGE(OFFSET($H$3,0,0,'Données projet'!$E$10+1,1))</f>
        <v>635.71275911100679</v>
      </c>
      <c r="AO128" s="59">
        <f t="shared" si="90"/>
        <v>281.7776857269169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37.855787251632833</v>
      </c>
      <c r="AV128" s="21">
        <f>EXP(-LN(2)/25)*AV127+(1-EXP(-LN(2)/25))/(LN(2)/25)*Calculateur!AQ128*Calculateur!AS128*VLOOKUP('Données projet'!$B$10,Paramètres!$A$1:$I$89,3,0)*0.475*44/12</f>
        <v>23.821751780970196</v>
      </c>
      <c r="AW128" s="21">
        <f>EXP(-LN(2)/2)*AW127+(1-EXP(-LN(2)/2))/(LN(2)/2)*AQ128*AT128*VLOOKUP('Données projet'!$B$10,Paramètres!$A$1:$I$89,3,0)*0.475*44/12</f>
        <v>3.6104733212688425</v>
      </c>
      <c r="AX128" s="21">
        <f t="shared" si="60"/>
        <v>65.288012353871878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204.11804238362862</v>
      </c>
      <c r="BJ128" s="59">
        <f t="shared" si="92"/>
        <v>185.53854651509408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4.519308532956769</v>
      </c>
      <c r="BQ128" s="21">
        <f>EXP(-LN(2)/25)*BQ127+(1-EXP(-LN(2)/25))/(LN(2)/25)*Calculateur!BL128*Calculateur!BN128*VLOOKUP('Données projet'!$B$11,Paramètres!$A$1:$I$89,3,0)*0.475*44/12</f>
        <v>20.226470397745548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24.745778930702315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>
        <f>VLOOKUP(A128,'Données projet'!$A$113:$I$133,2,0)</f>
        <v>349.24</v>
      </c>
      <c r="BW128" s="12">
        <f>VLOOKUP(A128,'Données projet'!$A$113:$I$133,9,0)</f>
        <v>7.2033333333333331</v>
      </c>
      <c r="BX128" s="12">
        <f t="array" ref="BX128">INDEX(BW:BW,MIN(IF(ISNUMBER(BW128:BW324),ROW(BW128:BW324),"")))</f>
        <v>7.2033333333333331</v>
      </c>
      <c r="BY128" s="12">
        <f>IF('Données projet'!$A$114&gt;35,BY127+BX128-CG127,IF(A128&lt;'Données projet'!$A$114,$BV$205^A128,IF(A128='Données projet'!$A$114,'Données projet'!$B$114,BY127+BX128-CG127)))</f>
        <v>349.24000000000018</v>
      </c>
      <c r="BZ128" s="13">
        <f>BY128*VLOOKUP('Données projet'!$B$12,Paramètres!$A$1:$I$89,3,0)*VLOOKUP('Données projet'!$B$12,Paramètres!$A$1:$I$89,5,0)</f>
        <v>348.68121600000018</v>
      </c>
      <c r="CA128" s="13">
        <f t="shared" si="93"/>
        <v>81.290900282707938</v>
      </c>
      <c r="CB128" s="20">
        <f t="shared" si="64"/>
        <v>748.86810252571649</v>
      </c>
      <c r="CC128" s="59">
        <f t="shared" si="65"/>
        <v>1042.2014358590498</v>
      </c>
      <c r="CD128" s="59">
        <f ca="1">AVERAGE(OFFSET($CC$3,0,0,'Données projet'!$E$12+1,1))-AVERAGE(OFFSET($H$3,0,0,'Données projet'!$E$12+1,1))</f>
        <v>535.99935263833549</v>
      </c>
      <c r="CE128" s="59">
        <f t="shared" si="94"/>
        <v>245.89966477332644</v>
      </c>
      <c r="CF128" s="15">
        <f>IF(ISNA(VLOOKUP(A128,'Données projet'!$A$113:$I$133,3,0)),0,VLOOKUP(A128,'Données projet'!$A$113:$I$133,3,0))</f>
        <v>9</v>
      </c>
      <c r="CG128" s="15">
        <f>IF(ISNA(VLOOKUP(A128,'Données projet'!$A$113:$I$133,4,0)),0,VLOOKUP(A128,'Données projet'!$A$113:$I$133,4,0))</f>
        <v>60.19</v>
      </c>
      <c r="CH128" s="16">
        <f>IF(ISNA(VLOOKUP(A128,'Données projet'!$A$113:$I$133,5,0)),0%,VLOOKUP(A128,'Données projet'!$A$113:$I$133,5,0)*VLOOKUP('Données projet'!$B$12,Paramètres!$A$1:$I$89,7,0))</f>
        <v>0.1075</v>
      </c>
      <c r="CI128" s="16">
        <f>IF(ISNA(VLOOKUP(A128,'Données projet'!$A$113:$I$133,6,0)),0%,VLOOKUP(A128,'Données projet'!$A$113:$I$133,6,0)*VLOOKUP('Données projet'!$B$12,Paramètres!$A$1:$I$89,7,0))</f>
        <v>0.1075</v>
      </c>
      <c r="CJ128" s="16">
        <f>IF(ISNA(VLOOKUP(A128,'Données projet'!$A$113:$I$133,7,0)),0%,VLOOKUP(A128,'Données projet'!$A$113:$I$133,7,0))</f>
        <v>0.25</v>
      </c>
      <c r="CK128" s="21">
        <f>EXP(-LN(2)/35)*CK127+(1-EXP(-LN(2)/35))/(LN(2)/35)*CG128*CH128*VLOOKUP('Données projet'!$B$12,Paramètres!$A$1:$I$89,3,0)*0.475*44/12</f>
        <v>18.003040687403946</v>
      </c>
      <c r="CL128" s="21">
        <f>EXP(-LN(2)/25)*CL127+(1-EXP(-LN(2)/25))/(LN(2)/25)*Calculateur!CG128*Calculateur!CI128*VLOOKUP('Données projet'!$B$12,Paramètres!$A$1:$I$89,3,0)*0.475*44/12</f>
        <v>20.954848835430091</v>
      </c>
      <c r="CM128" s="21">
        <f>EXP(-LN(2)/2)*CM127+(1-EXP(-LN(2)/2))/(LN(2)/2)*CG128*CJ128*VLOOKUP('Données projet'!$B$12,Paramètres!$A$1:$I$89,3,0)*0.475*44/12</f>
        <v>14.35377292154463</v>
      </c>
      <c r="CN128" s="22">
        <f t="shared" si="66"/>
        <v>53.311662444378669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>
        <f>VLOOKUP(A128,'Données projet'!$A$139:$I$159,2,0)</f>
        <v>215.44</v>
      </c>
      <c r="CR128" s="12">
        <f>VLOOKUP(A128,'Données projet'!$A$139:$I$159,9,0)</f>
        <v>4.8499999999999943</v>
      </c>
      <c r="CS128" s="12">
        <f t="array" ref="CS128">INDEX(CR:CR,MIN(IF(ISNUMBER(CR128:CR324),ROW(CR128:CR324),"")))</f>
        <v>4.8499999999999943</v>
      </c>
      <c r="CT128" s="12">
        <f>IF('Données projet'!$A$140&gt;35,CT127+CS128-DB127,IF(A128&lt;'Données projet'!$A$140,$CQ$205^A128,IF(A128='Données projet'!$A$140,'Données projet'!$B$140,CT127+CS128-DB127)))</f>
        <v>215.44000000000025</v>
      </c>
      <c r="CU128" s="17">
        <f>CT128*VLOOKUP('Données projet'!$B$13,Paramètres!$A$1:$I$89,3,0)*VLOOKUP('Données projet'!$B$13,Paramètres!$A$1:$I$89,5,0)</f>
        <v>205.01270400000027</v>
      </c>
      <c r="CV128" s="13">
        <f t="shared" si="95"/>
        <v>50.844216177769056</v>
      </c>
      <c r="CW128" s="20">
        <f t="shared" si="67"/>
        <v>445.61746930961482</v>
      </c>
      <c r="CX128" s="59">
        <f t="shared" si="68"/>
        <v>738.95080264294813</v>
      </c>
      <c r="CY128" s="59">
        <f ca="1">AVERAGE(OFFSET($CX$3,0,0,'Données projet'!$E$13+1,1))-AVERAGE(OFFSET($H$3,0,0,'Données projet'!$E$13+1,1))</f>
        <v>449.28947235329758</v>
      </c>
      <c r="CZ128" s="59">
        <f t="shared" si="96"/>
        <v>289.36994109443964</v>
      </c>
      <c r="DA128" s="15">
        <f>IF(ISNA(VLOOKUP(A128,'Données projet'!$A$139:$I$159,3,0)),0,VLOOKUP(A128,'Données projet'!$A$139:$I$159,3,0))</f>
        <v>12</v>
      </c>
      <c r="DB128" s="15">
        <f>IF(ISNA(VLOOKUP(A128,'Données projet'!$A$139:$I$159,4,0)),0,VLOOKUP(A128,'Données projet'!$A$139:$I$159,4,0))</f>
        <v>70.609999999999985</v>
      </c>
      <c r="DC128" s="16">
        <f>IF(ISNA(VLOOKUP(A128,'Données projet'!$A$139:$I$159,5,0)),0%,VLOOKUP(A128,'Données projet'!$A$139:$I$159,5,0)*VLOOKUP('Données projet'!$B$13,Paramètres!$A$1:$I$89,7,0))</f>
        <v>0.1075</v>
      </c>
      <c r="DD128" s="16">
        <f>IF(ISNA(VLOOKUP(A128,'Données projet'!$A$139:$I$159,6,0)),0%,VLOOKUP(A128,'Données projet'!$A$139:$I$159,6,0)*VLOOKUP('Données projet'!$B$13,Paramètres!$A$1:$I$89,7,0))</f>
        <v>0.1075</v>
      </c>
      <c r="DE128" s="16">
        <f>IF(ISNA(VLOOKUP(A128,'Données projet'!$A$139:$I$159,7,0)),0%,VLOOKUP(A128,'Données projet'!$A$139:$I$159,7,0))</f>
        <v>0.25</v>
      </c>
      <c r="DF128" s="21">
        <f>EXP(-LN(2)/35)*DF127+(1-EXP(-LN(2)/35))/(LN(2)/35)*DB128*DC128*VLOOKUP('Données projet'!$B$13,Paramètres!$A$1:$I$89,3,0)*0.475*44/12</f>
        <v>53.539754978358225</v>
      </c>
      <c r="DG128" s="21">
        <f>EXP(-LN(2)/25)*DG127+(1-EXP(-LN(2)/25))/(LN(2)/25)*Calculateur!DB128*Calculateur!DD128*VLOOKUP('Données projet'!$B$13,Paramètres!$A$1:$I$89,3,0)*0.475*44/12</f>
        <v>49.084953535257661</v>
      </c>
      <c r="DH128" s="21">
        <f>EXP(-LN(2)/2)*DH127+(1-EXP(-LN(2)/2))/(LN(2)/2)*DB128*DE128*VLOOKUP('Données projet'!$B$13,Paramètres!$A$1:$I$89,3,0)*0.475*44/12</f>
        <v>38.969851303672357</v>
      </c>
      <c r="DI128" s="22">
        <f t="shared" si="69"/>
        <v>141.59455981728826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5.6843418860808015E-14</v>
      </c>
      <c r="DP128" s="17">
        <f>DO128*VLOOKUP('Données projet'!$B$14,Paramètres!$A$1:$I$89,3,0)*VLOOKUP('Données projet'!$B$14,Paramètres!$A$1:$I$89,5,0)</f>
        <v>4.4337866711430253E-14</v>
      </c>
      <c r="DQ128" s="13">
        <f t="shared" si="97"/>
        <v>7.3222115536967035E-13</v>
      </c>
      <c r="DR128" s="20">
        <f t="shared" si="70"/>
        <v>1.3525069634579169E-12</v>
      </c>
      <c r="DS128" s="59">
        <f t="shared" si="71"/>
        <v>293.33333333333468</v>
      </c>
      <c r="DT128" s="59">
        <f ca="1">AVERAGE(OFFSET($DS$3,0,0,'Données projet'!$E$14+1,1))-AVERAGE(OFFSET($H$3,0,0,'Données projet'!$E$14+1,1))</f>
        <v>288.82868507674738</v>
      </c>
      <c r="DU128" s="59">
        <f t="shared" si="98"/>
        <v>283.48738729114024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14.18424165153583</v>
      </c>
      <c r="EB128" s="21">
        <f>EXP(-LN(2)/25)*EB127+(1-EXP(-LN(2)/25))/(LN(2)/25)*Calculateur!DW128*Calculateur!DY128*VLOOKUP('Données projet'!$B$14,Paramètres!$A$1:$I$89,3,0)*0.475*44/12</f>
        <v>8.9617792097063163</v>
      </c>
      <c r="EC128" s="21">
        <f>EXP(-LN(2)/2)*EC127+(1-EXP(-LN(2)/2))/(LN(2)/2)*DW128*DZ128*VLOOKUP('Données projet'!$B$14,Paramètres!$A$1:$I$89,3,0)*0.475*44/12</f>
        <v>2.2633381803811894E-7</v>
      </c>
      <c r="ED128" s="22">
        <f t="shared" si="72"/>
        <v>23.146021087575964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7.1129999999999995</v>
      </c>
      <c r="EJ128" s="12">
        <f>IF('Données projet'!$A$192&gt;35,EJ127+EI128-ER127,IF(A128&lt;'Données projet'!$A$192,$EG$205^A128,IF(A128='Données projet'!$A$192,'Données projet'!$B$192,EJ127+EI128-ER127)))</f>
        <v>290.77900000000005</v>
      </c>
      <c r="EK128" s="17">
        <f>EJ128*VLOOKUP('Données projet'!$B$15,Paramètres!$A$1:$I$89,3,0)*VLOOKUP('Données projet'!$B$15,Paramètres!$A$1:$I$89,5,0)</f>
        <v>281.24144880000006</v>
      </c>
      <c r="EL128" s="13">
        <f t="shared" si="99"/>
        <v>67.2292951125862</v>
      </c>
      <c r="EM128" s="20">
        <f t="shared" si="73"/>
        <v>606.91987898108778</v>
      </c>
      <c r="EN128" s="59">
        <f t="shared" si="74"/>
        <v>900.25321231442103</v>
      </c>
      <c r="EO128" s="59">
        <f ca="1">AVERAGE(OFFSET($EN$3,0,0,'Données projet'!$E$15+1,1))-AVERAGE(OFFSET($H$3,0,0,'Données projet'!$E$15+1,1))</f>
        <v>510.71380643466227</v>
      </c>
      <c r="EP128" s="59">
        <f t="shared" si="100"/>
        <v>252.40654099948841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16.396184803313279</v>
      </c>
      <c r="EW128" s="21">
        <f>EXP(-LN(2)/25)*EW127+(1-EXP(-LN(2)/25))/(LN(2)/25)*Calculateur!ER128*Calculateur!ET128*VLOOKUP('Données projet'!$B$15,Paramètres!$A$1:$I$89,3,0)*0.475*44/12</f>
        <v>17.753131594512233</v>
      </c>
      <c r="EX128" s="21">
        <f>EXP(-LN(2)/2)*EX127+(1-EXP(-LN(2)/2))/(LN(2)/2)*ER128*EU128*VLOOKUP('Données projet'!$B$15,Paramètres!$A$1:$I$89,3,0)*0.475*44/12</f>
        <v>3.8516603312291067</v>
      </c>
      <c r="EY128" s="22">
        <f t="shared" si="75"/>
        <v>38.000976729054621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7.3924999999999983</v>
      </c>
      <c r="N129" s="13">
        <f>IF('Données projet'!$A$36&gt;35,N128+M129-V128,IF(A129&lt;'Données projet'!$A$36,$K$205^A129,IF(A129='Données projet'!$A$36,'Données projet'!$B$36,N128+M129-V128)))</f>
        <v>296.44250000000017</v>
      </c>
      <c r="O129" s="13">
        <f>N129*VLOOKUP('Données projet'!$B$9,Paramètres!$A$1:$I$89,3,0)*VLOOKUP('Données projet'!$B$9,Paramètres!$A$1:$I$89,5,0)</f>
        <v>300.59269500000016</v>
      </c>
      <c r="P129" s="13">
        <f t="shared" si="87"/>
        <v>71.300700837042285</v>
      </c>
      <c r="Q129" s="20">
        <f t="shared" si="107"/>
        <v>647.71433108284896</v>
      </c>
      <c r="R129" s="59">
        <f t="shared" si="55"/>
        <v>941.04766441618222</v>
      </c>
      <c r="S129" s="59">
        <f ca="1">AVERAGE(OFFSET($R$3,0,0,'Données projet'!$E$9+1,1))-AVERAGE(OFFSET($H$3,0,0,'Données projet'!$E$9+1,1))</f>
        <v>543.67050511722618</v>
      </c>
      <c r="T129" s="59">
        <f t="shared" si="88"/>
        <v>249.0871389941106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25.096110869793762</v>
      </c>
      <c r="AA129" s="21">
        <f>EXP(-LN(2)/25)*AA128+(1-EXP(-LN(2)/25))/(LN(2)/25)*Calculateur!V129*Calculateur!X129*VLOOKUP('Données projet'!$B$9,Paramètres!$A$1:$I$89,3,0)*0.475*44/12</f>
        <v>27.522807227289118</v>
      </c>
      <c r="AB129" s="21">
        <f>EXP(-LN(2)/2)*AB128+(1-EXP(-LN(2)/2))/(LN(2)/2)*V129*Y129*VLOOKUP('Données projet'!$B$9,Paramètres!$A$1:$I$89,3,0)*0.475*44/12</f>
        <v>4.1232967119112525</v>
      </c>
      <c r="AC129" s="22">
        <f t="shared" si="57"/>
        <v>56.742214808994135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9.0229999999999961</v>
      </c>
      <c r="AI129" s="13">
        <f>IF('Données projet'!$A$62&gt;35,AI128+AH129-AQ128,IF(A129&lt;'Données projet'!$A$62,$AF$205^A129,IF(A129='Données projet'!$A$62,'Données projet'!$B$62,AI128+AH129-AQ128)))</f>
        <v>412.09600000000069</v>
      </c>
      <c r="AJ129" s="13">
        <f>AI129*VLOOKUP('Données projet'!$B$10,Paramètres!$A$1:$I$89,3,0)*VLOOKUP('Données projet'!$B$10,Paramètres!$A$1:$I$89,5,0)</f>
        <v>372.86446080000059</v>
      </c>
      <c r="AK129" s="13">
        <f t="shared" si="89"/>
        <v>86.253061792690659</v>
      </c>
      <c r="AL129" s="20">
        <f t="shared" si="58"/>
        <v>799.62968518227046</v>
      </c>
      <c r="AM129" s="59">
        <f t="shared" si="59"/>
        <v>1092.9630185156038</v>
      </c>
      <c r="AN129" s="59">
        <f ca="1">AVERAGE(OFFSET($AM$3,0,0,'Données projet'!$E$10+1,1))-AVERAGE(OFFSET($H$3,0,0,'Données projet'!$E$10+1,1))</f>
        <v>635.71275911100679</v>
      </c>
      <c r="AO129" s="59">
        <f t="shared" si="90"/>
        <v>281.7776857269169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37.113458353378611</v>
      </c>
      <c r="AV129" s="21">
        <f>EXP(-LN(2)/25)*AV128+(1-EXP(-LN(2)/25))/(LN(2)/25)*Calculateur!AQ129*Calculateur!AS129*VLOOKUP('Données projet'!$B$10,Paramètres!$A$1:$I$89,3,0)*0.475*44/12</f>
        <v>23.170344725788084</v>
      </c>
      <c r="AW129" s="21">
        <f>EXP(-LN(2)/2)*AW128+(1-EXP(-LN(2)/2))/(LN(2)/2)*AQ129*AT129*VLOOKUP('Données projet'!$B$10,Paramètres!$A$1:$I$89,3,0)*0.475*44/12</f>
        <v>2.5529901687623151</v>
      </c>
      <c r="AX129" s="21">
        <f t="shared" si="60"/>
        <v>62.836793247929009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204.11804238362862</v>
      </c>
      <c r="BJ129" s="59">
        <f t="shared" si="92"/>
        <v>185.53854651509408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4.4306876491315093</v>
      </c>
      <c r="BQ129" s="21">
        <f>EXP(-LN(2)/25)*BQ128+(1-EXP(-LN(2)/25))/(LN(2)/25)*Calculateur!BL129*Calculateur!BN129*VLOOKUP('Données projet'!$B$11,Paramètres!$A$1:$I$89,3,0)*0.475*44/12</f>
        <v>19.673376501055344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24.104064150186854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7.3924999999999983</v>
      </c>
      <c r="BY129" s="12">
        <f>IF('Données projet'!$A$114&gt;35,BY128+BX129-CG128,IF(A129&lt;'Données projet'!$A$114,$BV$205^A129,IF(A129='Données projet'!$A$114,'Données projet'!$B$114,BY128+BX129-CG128)))</f>
        <v>296.44250000000017</v>
      </c>
      <c r="BZ129" s="13">
        <f>BY129*VLOOKUP('Données projet'!$B$12,Paramètres!$A$1:$I$89,3,0)*VLOOKUP('Données projet'!$B$12,Paramètres!$A$1:$I$89,5,0)</f>
        <v>295.96819200000016</v>
      </c>
      <c r="CA129" s="13">
        <f t="shared" si="93"/>
        <v>70.330577217583809</v>
      </c>
      <c r="CB129" s="20">
        <f t="shared" si="64"/>
        <v>637.9703563872921</v>
      </c>
      <c r="CC129" s="59">
        <f t="shared" si="65"/>
        <v>931.30368972062547</v>
      </c>
      <c r="CD129" s="59">
        <f ca="1">AVERAGE(OFFSET($CC$3,0,0,'Données projet'!$E$12+1,1))-AVERAGE(OFFSET($H$3,0,0,'Données projet'!$E$12+1,1))</f>
        <v>535.99935263833549</v>
      </c>
      <c r="CE129" s="59">
        <f t="shared" si="94"/>
        <v>245.89966477332644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17.650012040294513</v>
      </c>
      <c r="CL129" s="21">
        <f>EXP(-LN(2)/25)*CL128+(1-EXP(-LN(2)/25))/(LN(2)/25)*Calculateur!CG129*Calculateur!CI129*VLOOKUP('Données projet'!$B$12,Paramètres!$A$1:$I$89,3,0)*0.475*44/12</f>
        <v>20.381837392057648</v>
      </c>
      <c r="CM129" s="21">
        <f>EXP(-LN(2)/2)*CM128+(1-EXP(-LN(2)/2))/(LN(2)/2)*CG129*CJ129*VLOOKUP('Données projet'!$B$12,Paramètres!$A$1:$I$89,3,0)*0.475*44/12</f>
        <v>10.14965016843605</v>
      </c>
      <c r="CN129" s="22">
        <f t="shared" si="66"/>
        <v>48.181499600788214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3.3249999999999886</v>
      </c>
      <c r="CT129" s="12">
        <f>IF('Données projet'!$A$140&gt;35,CT128+CS129-DB128,IF(A129&lt;'Données projet'!$A$140,$CQ$205^A129,IF(A129='Données projet'!$A$140,'Données projet'!$B$140,CT128+CS129-DB128)))</f>
        <v>148.15500000000026</v>
      </c>
      <c r="CU129" s="17">
        <f>CT129*VLOOKUP('Données projet'!$B$13,Paramètres!$A$1:$I$89,3,0)*VLOOKUP('Données projet'!$B$13,Paramètres!$A$1:$I$89,5,0)</f>
        <v>140.98429800000025</v>
      </c>
      <c r="CV129" s="13">
        <f t="shared" si="95"/>
        <v>36.522402318303413</v>
      </c>
      <c r="CW129" s="20">
        <f t="shared" si="67"/>
        <v>309.15750305437888</v>
      </c>
      <c r="CX129" s="59">
        <f t="shared" si="68"/>
        <v>602.49083638771219</v>
      </c>
      <c r="CY129" s="59">
        <f ca="1">AVERAGE(OFFSET($CX$3,0,0,'Données projet'!$E$13+1,1))-AVERAGE(OFFSET($H$3,0,0,'Données projet'!$E$13+1,1))</f>
        <v>449.28947235329758</v>
      </c>
      <c r="CZ129" s="59">
        <f t="shared" si="96"/>
        <v>289.36994109443964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52.48987303925864</v>
      </c>
      <c r="DG129" s="21">
        <f>EXP(-LN(2)/25)*DG128+(1-EXP(-LN(2)/25))/(LN(2)/25)*Calculateur!DB129*Calculateur!DD129*VLOOKUP('Données projet'!$B$13,Paramètres!$A$1:$I$89,3,0)*0.475*44/12</f>
        <v>47.742722899570516</v>
      </c>
      <c r="DH129" s="21">
        <f>EXP(-LN(2)/2)*DH128+(1-EXP(-LN(2)/2))/(LN(2)/2)*DB129*DE129*VLOOKUP('Données projet'!$B$13,Paramètres!$A$1:$I$89,3,0)*0.475*44/12</f>
        <v>27.555846118658145</v>
      </c>
      <c r="DI129" s="22">
        <f t="shared" si="69"/>
        <v>127.78844205748729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5.6843418860808015E-14</v>
      </c>
      <c r="DP129" s="17">
        <f>DO129*VLOOKUP('Données projet'!$B$14,Paramètres!$A$1:$I$89,3,0)*VLOOKUP('Données projet'!$B$14,Paramètres!$A$1:$I$89,5,0)</f>
        <v>4.4337866711430253E-14</v>
      </c>
      <c r="DQ129" s="13">
        <f t="shared" si="97"/>
        <v>7.3222115536967035E-13</v>
      </c>
      <c r="DR129" s="20">
        <f t="shared" si="70"/>
        <v>1.3525069634579169E-12</v>
      </c>
      <c r="DS129" s="59">
        <f t="shared" si="71"/>
        <v>293.33333333333468</v>
      </c>
      <c r="DT129" s="59">
        <f ca="1">AVERAGE(OFFSET($DS$3,0,0,'Données projet'!$E$14+1,1))-AVERAGE(OFFSET($H$3,0,0,'Données projet'!$E$14+1,1))</f>
        <v>288.82868507674738</v>
      </c>
      <c r="DU129" s="59">
        <f t="shared" si="98"/>
        <v>283.48738729114024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13.906097324282351</v>
      </c>
      <c r="EB129" s="21">
        <f>EXP(-LN(2)/25)*EB128+(1-EXP(-LN(2)/25))/(LN(2)/25)*Calculateur!DW129*Calculateur!DY129*VLOOKUP('Données projet'!$B$14,Paramètres!$A$1:$I$89,3,0)*0.475*44/12</f>
        <v>8.7167188859374107</v>
      </c>
      <c r="EC129" s="21">
        <f>EXP(-LN(2)/2)*EC128+(1-EXP(-LN(2)/2))/(LN(2)/2)*DW129*DZ129*VLOOKUP('Données projet'!$B$14,Paramètres!$A$1:$I$89,3,0)*0.475*44/12</f>
        <v>1.6004217754659603E-7</v>
      </c>
      <c r="ED129" s="22">
        <f t="shared" si="72"/>
        <v>22.622816370261937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7.1129999999999995</v>
      </c>
      <c r="EJ129" s="12">
        <f>IF('Données projet'!$A$192&gt;35,EJ128+EI129-ER128,IF(A129&lt;'Données projet'!$A$192,$EG$205^A129,IF(A129='Données projet'!$A$192,'Données projet'!$B$192,EJ128+EI129-ER128)))</f>
        <v>297.89200000000005</v>
      </c>
      <c r="EK129" s="17">
        <f>EJ129*VLOOKUP('Données projet'!$B$15,Paramètres!$A$1:$I$89,3,0)*VLOOKUP('Données projet'!$B$15,Paramètres!$A$1:$I$89,5,0)</f>
        <v>288.12114240000005</v>
      </c>
      <c r="EL129" s="13">
        <f t="shared" si="99"/>
        <v>68.680373461245836</v>
      </c>
      <c r="EM129" s="20">
        <f t="shared" si="73"/>
        <v>621.42930679167</v>
      </c>
      <c r="EN129" s="59">
        <f t="shared" si="74"/>
        <v>914.76264012500337</v>
      </c>
      <c r="EO129" s="59">
        <f ca="1">AVERAGE(OFFSET($EN$3,0,0,'Données projet'!$E$15+1,1))-AVERAGE(OFFSET($H$3,0,0,'Données projet'!$E$15+1,1))</f>
        <v>510.71380643466227</v>
      </c>
      <c r="EP129" s="59">
        <f t="shared" si="100"/>
        <v>252.40654099948841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16.07466562000555</v>
      </c>
      <c r="EW129" s="21">
        <f>EXP(-LN(2)/25)*EW128+(1-EXP(-LN(2)/25))/(LN(2)/25)*Calculateur!ER129*Calculateur!ET129*VLOOKUP('Données projet'!$B$15,Paramètres!$A$1:$I$89,3,0)*0.475*44/12</f>
        <v>17.26767127746368</v>
      </c>
      <c r="EX129" s="21">
        <f>EXP(-LN(2)/2)*EX128+(1-EXP(-LN(2)/2))/(LN(2)/2)*ER129*EU129*VLOOKUP('Données projet'!$B$15,Paramètres!$A$1:$I$89,3,0)*0.475*44/12</f>
        <v>2.7235351390393254</v>
      </c>
      <c r="EY129" s="22">
        <f t="shared" si="75"/>
        <v>36.065872036508559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7.3924999999999983</v>
      </c>
      <c r="N130" s="13">
        <f>IF('Données projet'!$A$36&gt;35,N129+M130-V129,IF(A130&lt;'Données projet'!$A$36,$K$205^A130,IF(A130='Données projet'!$A$36,'Données projet'!$B$36,N129+M130-V129)))</f>
        <v>303.83500000000015</v>
      </c>
      <c r="O130" s="13">
        <f>N130*VLOOKUP('Données projet'!$B$9,Paramètres!$A$1:$I$89,3,0)*VLOOKUP('Données projet'!$B$9,Paramètres!$A$1:$I$89,5,0)</f>
        <v>308.08869000000021</v>
      </c>
      <c r="P130" s="13">
        <f t="shared" si="87"/>
        <v>72.869529010908835</v>
      </c>
      <c r="Q130" s="20">
        <f t="shared" si="107"/>
        <v>663.5022314439999</v>
      </c>
      <c r="R130" s="59">
        <f t="shared" si="55"/>
        <v>956.83556477733327</v>
      </c>
      <c r="S130" s="59">
        <f ca="1">AVERAGE(OFFSET($R$3,0,0,'Données projet'!$E$9+1,1))-AVERAGE(OFFSET($H$3,0,0,'Données projet'!$E$9+1,1))</f>
        <v>543.67050511722618</v>
      </c>
      <c r="T130" s="59">
        <f t="shared" si="88"/>
        <v>249.0871389941106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24.603991442753284</v>
      </c>
      <c r="AA130" s="21">
        <f>EXP(-LN(2)/25)*AA129+(1-EXP(-LN(2)/25))/(LN(2)/25)*Calculateur!V130*Calculateur!X130*VLOOKUP('Données projet'!$B$9,Paramètres!$A$1:$I$89,3,0)*0.475*44/12</f>
        <v>26.770194616297371</v>
      </c>
      <c r="AB130" s="21">
        <f>EXP(-LN(2)/2)*AB129+(1-EXP(-LN(2)/2))/(LN(2)/2)*V130*Y130*VLOOKUP('Données projet'!$B$9,Paramètres!$A$1:$I$89,3,0)*0.475*44/12</f>
        <v>2.9156110658366412</v>
      </c>
      <c r="AC130" s="22">
        <f t="shared" si="57"/>
        <v>54.289797124887301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9.0229999999999961</v>
      </c>
      <c r="AI130" s="13">
        <f>IF('Données projet'!$A$62&gt;35,AI129+AH130-AQ129,IF(A130&lt;'Données projet'!$A$62,$AF$205^A130,IF(A130='Données projet'!$A$62,'Données projet'!$B$62,AI129+AH130-AQ129)))</f>
        <v>421.11900000000071</v>
      </c>
      <c r="AJ130" s="13">
        <f>AI130*VLOOKUP('Données projet'!$B$10,Paramètres!$A$1:$I$89,3,0)*VLOOKUP('Données projet'!$B$10,Paramètres!$A$1:$I$89,5,0)</f>
        <v>381.02847120000064</v>
      </c>
      <c r="AK130" s="13">
        <f t="shared" si="89"/>
        <v>87.919669823283783</v>
      </c>
      <c r="AL130" s="20">
        <f t="shared" si="58"/>
        <v>816.75134561555353</v>
      </c>
      <c r="AM130" s="59">
        <f t="shared" si="59"/>
        <v>1110.0846789488869</v>
      </c>
      <c r="AN130" s="59">
        <f ca="1">AVERAGE(OFFSET($AM$3,0,0,'Données projet'!$E$10+1,1))-AVERAGE(OFFSET($H$3,0,0,'Données projet'!$E$10+1,1))</f>
        <v>635.71275911100679</v>
      </c>
      <c r="AO130" s="59">
        <f t="shared" si="90"/>
        <v>281.7776857269169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36.385686072043235</v>
      </c>
      <c r="AV130" s="21">
        <f>EXP(-LN(2)/25)*AV129+(1-EXP(-LN(2)/25))/(LN(2)/25)*Calculateur!AQ130*Calculateur!AS130*VLOOKUP('Données projet'!$B$10,Paramètres!$A$1:$I$89,3,0)*0.475*44/12</f>
        <v>22.536750430785936</v>
      </c>
      <c r="AW130" s="21">
        <f>EXP(-LN(2)/2)*AW129+(1-EXP(-LN(2)/2))/(LN(2)/2)*AQ130*AT130*VLOOKUP('Données projet'!$B$10,Paramètres!$A$1:$I$89,3,0)*0.475*44/12</f>
        <v>1.8052366606344215</v>
      </c>
      <c r="AX130" s="21">
        <f t="shared" si="60"/>
        <v>60.727673163463592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204.11804238362862</v>
      </c>
      <c r="BJ130" s="59">
        <f t="shared" si="92"/>
        <v>185.53854651509408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4.3438045667846614</v>
      </c>
      <c r="BQ130" s="21">
        <f>EXP(-LN(2)/25)*BQ129+(1-EXP(-LN(2)/25))/(LN(2)/25)*Calculateur!BL130*Calculateur!BN130*VLOOKUP('Données projet'!$B$11,Paramètres!$A$1:$I$89,3,0)*0.475*44/12</f>
        <v>19.135406986056079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23.479211552840741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7.3924999999999983</v>
      </c>
      <c r="BY130" s="12">
        <f>IF('Données projet'!$A$114&gt;35,BY129+BX130-CG129,IF(A130&lt;'Données projet'!$A$114,$BV$205^A130,IF(A130='Données projet'!$A$114,'Données projet'!$B$114,BY129+BX130-CG129)))</f>
        <v>303.83500000000015</v>
      </c>
      <c r="BZ130" s="13">
        <f>BY130*VLOOKUP('Données projet'!$B$12,Paramètres!$A$1:$I$89,3,0)*VLOOKUP('Données projet'!$B$12,Paramètres!$A$1:$I$89,5,0)</f>
        <v>303.34886400000016</v>
      </c>
      <c r="CA130" s="13">
        <f t="shared" si="93"/>
        <v>71.87805977705284</v>
      </c>
      <c r="CB130" s="20">
        <f t="shared" si="64"/>
        <v>653.52022557836733</v>
      </c>
      <c r="CC130" s="59">
        <f t="shared" si="65"/>
        <v>946.8535589117007</v>
      </c>
      <c r="CD130" s="59">
        <f ca="1">AVERAGE(OFFSET($CC$3,0,0,'Données projet'!$E$12+1,1))-AVERAGE(OFFSET($H$3,0,0,'Données projet'!$E$12+1,1))</f>
        <v>535.99935263833549</v>
      </c>
      <c r="CE130" s="59">
        <f t="shared" si="94"/>
        <v>245.89966477332644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17.303906069628681</v>
      </c>
      <c r="CL130" s="21">
        <f>EXP(-LN(2)/25)*CL129+(1-EXP(-LN(2)/25))/(LN(2)/25)*Calculateur!CG130*Calculateur!CI130*VLOOKUP('Données projet'!$B$12,Paramètres!$A$1:$I$89,3,0)*0.475*44/12</f>
        <v>19.824494976737586</v>
      </c>
      <c r="CM130" s="21">
        <f>EXP(-LN(2)/2)*CM129+(1-EXP(-LN(2)/2))/(LN(2)/2)*CG130*CJ130*VLOOKUP('Données projet'!$B$12,Paramètres!$A$1:$I$89,3,0)*0.475*44/12</f>
        <v>7.176886460772316</v>
      </c>
      <c r="CN130" s="22">
        <f t="shared" si="66"/>
        <v>44.30528750713858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>
        <f>VLOOKUP(A130,'Données projet'!$A$139:$I$159,2,0)</f>
        <v>151.47999999999999</v>
      </c>
      <c r="CR130" s="12">
        <f>VLOOKUP(A130,'Données projet'!$A$139:$I$159,9,0)</f>
        <v>3.3249999999999886</v>
      </c>
      <c r="CS130" s="12">
        <f t="array" ref="CS130">INDEX(CR:CR,MIN(IF(ISNUMBER(CR130:CR326),ROW(CR130:CR326),"")))</f>
        <v>3.3249999999999886</v>
      </c>
      <c r="CT130" s="12">
        <f>IF('Données projet'!$A$140&gt;35,CT129+CS130-DB129,IF(A130&lt;'Données projet'!$A$140,$CQ$205^A130,IF(A130='Données projet'!$A$140,'Données projet'!$B$140,CT129+CS130-DB129)))</f>
        <v>151.48000000000025</v>
      </c>
      <c r="CU130" s="17">
        <f>CT130*VLOOKUP('Données projet'!$B$13,Paramètres!$A$1:$I$89,3,0)*VLOOKUP('Données projet'!$B$13,Paramètres!$A$1:$I$89,5,0)</f>
        <v>144.14836800000023</v>
      </c>
      <c r="CV130" s="13">
        <f t="shared" si="95"/>
        <v>37.245717260811411</v>
      </c>
      <c r="CW130" s="20">
        <f t="shared" si="67"/>
        <v>315.92803182924689</v>
      </c>
      <c r="CX130" s="59">
        <f t="shared" si="68"/>
        <v>609.2613651625802</v>
      </c>
      <c r="CY130" s="59">
        <f ca="1">AVERAGE(OFFSET($CX$3,0,0,'Données projet'!$E$13+1,1))-AVERAGE(OFFSET($H$3,0,0,'Données projet'!$E$13+1,1))</f>
        <v>449.28947235329758</v>
      </c>
      <c r="CZ130" s="59">
        <f t="shared" si="96"/>
        <v>289.36994109443964</v>
      </c>
      <c r="DA130" s="15">
        <f>IF(ISNA(VLOOKUP(A130,'Données projet'!$A$139:$I$159,3,0)),0,VLOOKUP(A130,'Données projet'!$A$139:$I$159,3,0))</f>
        <v>13</v>
      </c>
      <c r="DB130" s="15">
        <f>IF(ISNA(VLOOKUP(A130,'Données projet'!$A$139:$I$159,4,0)),0,VLOOKUP(A130,'Données projet'!$A$139:$I$159,4,0))</f>
        <v>46.039999999999992</v>
      </c>
      <c r="DC130" s="16">
        <f>IF(ISNA(VLOOKUP(A130,'Données projet'!$A$139:$I$159,5,0)),0%,VLOOKUP(A130,'Données projet'!$A$139:$I$159,5,0)*VLOOKUP('Données projet'!$B$13,Paramètres!$A$1:$I$89,7,0))</f>
        <v>0.1075</v>
      </c>
      <c r="DD130" s="16">
        <f>IF(ISNA(VLOOKUP(A130,'Données projet'!$A$139:$I$159,6,0)),0%,VLOOKUP(A130,'Données projet'!$A$139:$I$159,6,0)*VLOOKUP('Données projet'!$B$13,Paramètres!$A$1:$I$89,7,0))</f>
        <v>0.1075</v>
      </c>
      <c r="DE130" s="16">
        <f>IF(ISNA(VLOOKUP(A130,'Données projet'!$A$139:$I$159,7,0)),0%,VLOOKUP(A130,'Données projet'!$A$139:$I$159,7,0))</f>
        <v>0.25</v>
      </c>
      <c r="DF130" s="21">
        <f>EXP(-LN(2)/35)*DF129+(1-EXP(-LN(2)/35))/(LN(2)/35)*DB130*DC130*VLOOKUP('Données projet'!$B$13,Paramètres!$A$1:$I$89,3,0)*0.475*44/12</f>
        <v>56.667072053850433</v>
      </c>
      <c r="DG130" s="21">
        <f>EXP(-LN(2)/25)*DG129+(1-EXP(-LN(2)/25))/(LN(2)/25)*Calculateur!DB130*Calculateur!DD130*VLOOKUP('Données projet'!$B$13,Paramètres!$A$1:$I$89,3,0)*0.475*44/12</f>
        <v>51.623189092049806</v>
      </c>
      <c r="DH130" s="21">
        <f>EXP(-LN(2)/2)*DH129+(1-EXP(-LN(2)/2))/(LN(2)/2)*DB130*DE130*VLOOKUP('Données projet'!$B$13,Paramètres!$A$1:$I$89,3,0)*0.475*44/12</f>
        <v>29.819296691248169</v>
      </c>
      <c r="DI130" s="22">
        <f t="shared" si="69"/>
        <v>138.10955783714843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5.6843418860808015E-14</v>
      </c>
      <c r="DP130" s="17">
        <f>DO130*VLOOKUP('Données projet'!$B$14,Paramètres!$A$1:$I$89,3,0)*VLOOKUP('Données projet'!$B$14,Paramètres!$A$1:$I$89,5,0)</f>
        <v>4.4337866711430253E-14</v>
      </c>
      <c r="DQ130" s="13">
        <f t="shared" si="97"/>
        <v>7.3222115536967035E-13</v>
      </c>
      <c r="DR130" s="20">
        <f t="shared" si="70"/>
        <v>1.3525069634579169E-12</v>
      </c>
      <c r="DS130" s="59">
        <f t="shared" si="71"/>
        <v>293.33333333333468</v>
      </c>
      <c r="DT130" s="59">
        <f ca="1">AVERAGE(OFFSET($DS$3,0,0,'Données projet'!$E$14+1,1))-AVERAGE(OFFSET($H$3,0,0,'Données projet'!$E$14+1,1))</f>
        <v>288.82868507674738</v>
      </c>
      <c r="DU130" s="59">
        <f t="shared" si="98"/>
        <v>283.48738729114024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13.633407237635026</v>
      </c>
      <c r="EB130" s="21">
        <f>EXP(-LN(2)/25)*EB129+(1-EXP(-LN(2)/25))/(LN(2)/25)*Calculateur!DW130*Calculateur!DY130*VLOOKUP('Données projet'!$B$14,Paramètres!$A$1:$I$89,3,0)*0.475*44/12</f>
        <v>8.4783597496091279</v>
      </c>
      <c r="EC130" s="21">
        <f>EXP(-LN(2)/2)*EC129+(1-EXP(-LN(2)/2))/(LN(2)/2)*DW130*DZ130*VLOOKUP('Données projet'!$B$14,Paramètres!$A$1:$I$89,3,0)*0.475*44/12</f>
        <v>1.1316690901905947E-7</v>
      </c>
      <c r="ED130" s="22">
        <f t="shared" si="72"/>
        <v>22.111767100411061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7.1129999999999995</v>
      </c>
      <c r="EJ130" s="12">
        <f>IF('Données projet'!$A$192&gt;35,EJ129+EI130-ER129,IF(A130&lt;'Données projet'!$A$192,$EG$205^A130,IF(A130='Données projet'!$A$192,'Données projet'!$B$192,EJ129+EI130-ER129)))</f>
        <v>305.00500000000005</v>
      </c>
      <c r="EK130" s="17">
        <f>EJ130*VLOOKUP('Données projet'!$B$15,Paramètres!$A$1:$I$89,3,0)*VLOOKUP('Données projet'!$B$15,Paramètres!$A$1:$I$89,5,0)</f>
        <v>295.00083600000005</v>
      </c>
      <c r="EL130" s="13">
        <f t="shared" si="99"/>
        <v>70.127423915882019</v>
      </c>
      <c r="EM130" s="20">
        <f t="shared" si="73"/>
        <v>635.93171935349449</v>
      </c>
      <c r="EN130" s="59">
        <f t="shared" si="74"/>
        <v>929.26505268682786</v>
      </c>
      <c r="EO130" s="59">
        <f ca="1">AVERAGE(OFFSET($EN$3,0,0,'Données projet'!$E$15+1,1))-AVERAGE(OFFSET($H$3,0,0,'Données projet'!$E$15+1,1))</f>
        <v>510.71380643466227</v>
      </c>
      <c r="EP130" s="59">
        <f t="shared" si="100"/>
        <v>252.40654099948841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15.759451231775149</v>
      </c>
      <c r="EW130" s="21">
        <f>EXP(-LN(2)/25)*EW129+(1-EXP(-LN(2)/25))/(LN(2)/25)*Calculateur!ER130*Calculateur!ET130*VLOOKUP('Données projet'!$B$15,Paramètres!$A$1:$I$89,3,0)*0.475*44/12</f>
        <v>16.79548589831407</v>
      </c>
      <c r="EX130" s="21">
        <f>EXP(-LN(2)/2)*EX129+(1-EXP(-LN(2)/2))/(LN(2)/2)*ER130*EU130*VLOOKUP('Données projet'!$B$15,Paramètres!$A$1:$I$89,3,0)*0.475*44/12</f>
        <v>1.9258301656145538</v>
      </c>
      <c r="EY130" s="22">
        <f t="shared" si="75"/>
        <v>34.480767295703771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7.3924999999999983</v>
      </c>
      <c r="N131" s="13">
        <f>IF('Données projet'!$A$36&gt;35,N130+M131-V130,IF(A131&lt;'Données projet'!$A$36,$K$205^A131,IF(A131='Données projet'!$A$36,'Données projet'!$B$36,N130+M131-V130)))</f>
        <v>311.22750000000013</v>
      </c>
      <c r="O131" s="13">
        <f>N131*VLOOKUP('Données projet'!$B$9,Paramètres!$A$1:$I$89,3,0)*VLOOKUP('Données projet'!$B$9,Paramètres!$A$1:$I$89,5,0)</f>
        <v>315.58468500000015</v>
      </c>
      <c r="P131" s="13">
        <f t="shared" si="87"/>
        <v>74.433919950635556</v>
      </c>
      <c r="Q131" s="20">
        <f t="shared" ref="Q131:Q153" si="108">(O131+P131)*0.475*44/12</f>
        <v>679.28240362235704</v>
      </c>
      <c r="R131" s="59">
        <f t="shared" ref="R131:R194" si="109">Q131+(I131+J131)*44/12</f>
        <v>972.61573695569041</v>
      </c>
      <c r="S131" s="59">
        <f ca="1">AVERAGE(OFFSET($R$3,0,0,'Données projet'!$E$9+1,1))-AVERAGE(OFFSET($H$3,0,0,'Données projet'!$E$9+1,1))</f>
        <v>543.67050511722618</v>
      </c>
      <c r="T131" s="59">
        <f t="shared" si="88"/>
        <v>249.0871389941106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24.121522177513857</v>
      </c>
      <c r="AA131" s="21">
        <f>EXP(-LN(2)/25)*AA130+(1-EXP(-LN(2)/25))/(LN(2)/25)*Calculateur!V131*Calculateur!X131*VLOOKUP('Données projet'!$B$9,Paramètres!$A$1:$I$89,3,0)*0.475*44/12</f>
        <v>26.038162236731367</v>
      </c>
      <c r="AB131" s="21">
        <f>EXP(-LN(2)/2)*AB130+(1-EXP(-LN(2)/2))/(LN(2)/2)*V131*Y131*VLOOKUP('Données projet'!$B$9,Paramètres!$A$1:$I$89,3,0)*0.475*44/12</f>
        <v>2.0616483559556267</v>
      </c>
      <c r="AC131" s="22">
        <f t="shared" si="57"/>
        <v>52.221332770200846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9.0229999999999961</v>
      </c>
      <c r="AI131" s="13">
        <f>IF('Données projet'!$A$62&gt;35,AI130+AH131-AQ130,IF(A131&lt;'Données projet'!$A$62,$AF$205^A131,IF(A131='Données projet'!$A$62,'Données projet'!$B$62,AI130+AH131-AQ130)))</f>
        <v>430.14200000000073</v>
      </c>
      <c r="AJ131" s="13">
        <f>AI131*VLOOKUP('Données projet'!$B$10,Paramètres!$A$1:$I$89,3,0)*VLOOKUP('Données projet'!$B$10,Paramètres!$A$1:$I$89,5,0)</f>
        <v>389.19248160000063</v>
      </c>
      <c r="AK131" s="13">
        <f t="shared" si="89"/>
        <v>89.582126151232899</v>
      </c>
      <c r="AL131" s="20">
        <f t="shared" si="58"/>
        <v>833.86577516673162</v>
      </c>
      <c r="AM131" s="59">
        <f t="shared" si="59"/>
        <v>1127.199108500065</v>
      </c>
      <c r="AN131" s="59">
        <f ca="1">AVERAGE(OFFSET($AM$3,0,0,'Données projet'!$E$10+1,1))-AVERAGE(OFFSET($H$3,0,0,'Données projet'!$E$10+1,1))</f>
        <v>635.71275911100679</v>
      </c>
      <c r="AO131" s="59">
        <f t="shared" si="90"/>
        <v>281.7776857269169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35.672184961247588</v>
      </c>
      <c r="AV131" s="21">
        <f>EXP(-LN(2)/25)*AV130+(1-EXP(-LN(2)/25))/(LN(2)/25)*Calculateur!AQ131*Calculateur!AS131*VLOOKUP('Données projet'!$B$10,Paramètres!$A$1:$I$89,3,0)*0.475*44/12</f>
        <v>21.920481805099897</v>
      </c>
      <c r="AW131" s="21">
        <f>EXP(-LN(2)/2)*AW130+(1-EXP(-LN(2)/2))/(LN(2)/2)*AQ131*AT131*VLOOKUP('Données projet'!$B$10,Paramètres!$A$1:$I$89,3,0)*0.475*44/12</f>
        <v>1.2764950843811578</v>
      </c>
      <c r="AX131" s="21">
        <f t="shared" si="60"/>
        <v>58.869161850728645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204.11804238362862</v>
      </c>
      <c r="BJ131" s="59">
        <f t="shared" si="92"/>
        <v>185.53854651509408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4.2586252086891871</v>
      </c>
      <c r="BQ131" s="21">
        <f>EXP(-LN(2)/25)*BQ130+(1-EXP(-LN(2)/25))/(LN(2)/25)*Calculateur!BL131*Calculateur!BN131*VLOOKUP('Données projet'!$B$11,Paramètres!$A$1:$I$89,3,0)*0.475*44/12</f>
        <v>18.612148275735056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22.870773484424241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7.3924999999999983</v>
      </c>
      <c r="BY131" s="12">
        <f>IF('Données projet'!$A$114&gt;35,BY130+BX131-CG130,IF(A131&lt;'Données projet'!$A$114,$BV$205^A131,IF(A131='Données projet'!$A$114,'Données projet'!$B$114,BY130+BX131-CG130)))</f>
        <v>311.22750000000013</v>
      </c>
      <c r="BZ131" s="13">
        <f>BY131*VLOOKUP('Données projet'!$B$12,Paramètres!$A$1:$I$89,3,0)*VLOOKUP('Données projet'!$B$12,Paramètres!$A$1:$I$89,5,0)</f>
        <v>310.72953600000011</v>
      </c>
      <c r="CA131" s="13">
        <f t="shared" si="93"/>
        <v>73.421165475780825</v>
      </c>
      <c r="CB131" s="20">
        <f t="shared" si="64"/>
        <v>669.062471736985</v>
      </c>
      <c r="CC131" s="59">
        <f t="shared" si="65"/>
        <v>962.39580507031837</v>
      </c>
      <c r="CD131" s="59">
        <f ca="1">AVERAGE(OFFSET($CC$3,0,0,'Données projet'!$E$12+1,1))-AVERAGE(OFFSET($H$3,0,0,'Données projet'!$E$12+1,1))</f>
        <v>535.99935263833549</v>
      </c>
      <c r="CE131" s="59">
        <f t="shared" si="94"/>
        <v>245.89966477332644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16.964587025943811</v>
      </c>
      <c r="CL131" s="21">
        <f>EXP(-LN(2)/25)*CL130+(1-EXP(-LN(2)/25))/(LN(2)/25)*Calculateur!CG131*Calculateur!CI131*VLOOKUP('Données projet'!$B$12,Paramètres!$A$1:$I$89,3,0)*0.475*44/12</f>
        <v>19.282393119073816</v>
      </c>
      <c r="CM131" s="21">
        <f>EXP(-LN(2)/2)*CM130+(1-EXP(-LN(2)/2))/(LN(2)/2)*CG131*CJ131*VLOOKUP('Données projet'!$B$12,Paramètres!$A$1:$I$89,3,0)*0.475*44/12</f>
        <v>5.074825084218026</v>
      </c>
      <c r="CN131" s="22">
        <f t="shared" si="66"/>
        <v>41.321805229235657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2.4366666666666674</v>
      </c>
      <c r="CT131" s="12">
        <f>IF('Données projet'!$A$140&gt;35,CT130+CS131-DB130,IF(A131&lt;'Données projet'!$A$140,$CQ$205^A131,IF(A131='Données projet'!$A$140,'Données projet'!$B$140,CT130+CS131-DB130)))</f>
        <v>107.87666666666692</v>
      </c>
      <c r="CU131" s="17">
        <f>CT131*VLOOKUP('Données projet'!$B$13,Paramètres!$A$1:$I$89,3,0)*VLOOKUP('Données projet'!$B$13,Paramètres!$A$1:$I$89,5,0)</f>
        <v>102.65543600000025</v>
      </c>
      <c r="CV131" s="13">
        <f t="shared" si="95"/>
        <v>27.593650392739352</v>
      </c>
      <c r="CW131" s="20">
        <f t="shared" si="67"/>
        <v>226.85049213402147</v>
      </c>
      <c r="CX131" s="59">
        <f t="shared" si="68"/>
        <v>520.18382546735484</v>
      </c>
      <c r="CY131" s="59">
        <f ca="1">AVERAGE(OFFSET($CX$3,0,0,'Données projet'!$E$13+1,1))-AVERAGE(OFFSET($H$3,0,0,'Données projet'!$E$13+1,1))</f>
        <v>449.28947235329758</v>
      </c>
      <c r="CZ131" s="59">
        <f t="shared" si="96"/>
        <v>289.36994109443964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55.555865334375518</v>
      </c>
      <c r="DG131" s="21">
        <f>EXP(-LN(2)/25)*DG130+(1-EXP(-LN(2)/25))/(LN(2)/25)*Calculateur!DB131*Calculateur!DD131*VLOOKUP('Données projet'!$B$13,Paramètres!$A$1:$I$89,3,0)*0.475*44/12</f>
        <v>50.211550271582176</v>
      </c>
      <c r="DH131" s="21">
        <f>EXP(-LN(2)/2)*DH130+(1-EXP(-LN(2)/2))/(LN(2)/2)*DB131*DE131*VLOOKUP('Données projet'!$B$13,Paramètres!$A$1:$I$89,3,0)*0.475*44/12</f>
        <v>21.085426900595163</v>
      </c>
      <c r="DI131" s="22">
        <f t="shared" si="69"/>
        <v>126.85284250655286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5.6843418860808015E-14</v>
      </c>
      <c r="DP131" s="17">
        <f>DO131*VLOOKUP('Données projet'!$B$14,Paramètres!$A$1:$I$89,3,0)*VLOOKUP('Données projet'!$B$14,Paramètres!$A$1:$I$89,5,0)</f>
        <v>4.4337866711430253E-14</v>
      </c>
      <c r="DQ131" s="13">
        <f t="shared" si="97"/>
        <v>7.3222115536967035E-13</v>
      </c>
      <c r="DR131" s="20">
        <f t="shared" si="70"/>
        <v>1.3525069634579169E-12</v>
      </c>
      <c r="DS131" s="59">
        <f t="shared" si="71"/>
        <v>293.33333333333468</v>
      </c>
      <c r="DT131" s="59">
        <f ca="1">AVERAGE(OFFSET($DS$3,0,0,'Données projet'!$E$14+1,1))-AVERAGE(OFFSET($H$3,0,0,'Données projet'!$E$14+1,1))</f>
        <v>288.82868507674738</v>
      </c>
      <c r="DU131" s="59">
        <f t="shared" si="98"/>
        <v>283.48738729114024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13.366064437262326</v>
      </c>
      <c r="EB131" s="21">
        <f>EXP(-LN(2)/25)*EB130+(1-EXP(-LN(2)/25))/(LN(2)/25)*Calculateur!DW131*Calculateur!DY131*VLOOKUP('Données projet'!$B$14,Paramètres!$A$1:$I$89,3,0)*0.475*44/12</f>
        <v>8.2465185563985042</v>
      </c>
      <c r="EC131" s="21">
        <f>EXP(-LN(2)/2)*EC130+(1-EXP(-LN(2)/2))/(LN(2)/2)*DW131*DZ131*VLOOKUP('Données projet'!$B$14,Paramètres!$A$1:$I$89,3,0)*0.475*44/12</f>
        <v>8.0021088773298015E-8</v>
      </c>
      <c r="ED131" s="22">
        <f t="shared" si="72"/>
        <v>21.612583073681918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7.1129999999999995</v>
      </c>
      <c r="EJ131" s="12">
        <f>IF('Données projet'!$A$192&gt;35,EJ130+EI131-ER130,IF(A131&lt;'Données projet'!$A$192,$EG$205^A131,IF(A131='Données projet'!$A$192,'Données projet'!$B$192,EJ130+EI131-ER130)))</f>
        <v>312.11800000000005</v>
      </c>
      <c r="EK131" s="17">
        <f>EJ131*VLOOKUP('Données projet'!$B$15,Paramètres!$A$1:$I$89,3,0)*VLOOKUP('Données projet'!$B$15,Paramètres!$A$1:$I$89,5,0)</f>
        <v>301.88052960000005</v>
      </c>
      <c r="EL131" s="13">
        <f t="shared" si="99"/>
        <v>71.570551221656345</v>
      </c>
      <c r="EM131" s="20">
        <f t="shared" si="73"/>
        <v>650.42729909771822</v>
      </c>
      <c r="EN131" s="59">
        <f t="shared" si="74"/>
        <v>943.76063243105159</v>
      </c>
      <c r="EO131" s="59">
        <f ca="1">AVERAGE(OFFSET($EN$3,0,0,'Données projet'!$E$15+1,1))-AVERAGE(OFFSET($H$3,0,0,'Données projet'!$E$15+1,1))</f>
        <v>510.71380643466227</v>
      </c>
      <c r="EP131" s="59">
        <f t="shared" si="100"/>
        <v>252.40654099948841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15.450418005436152</v>
      </c>
      <c r="EW131" s="21">
        <f>EXP(-LN(2)/25)*EW130+(1-EXP(-LN(2)/25))/(LN(2)/25)*Calculateur!ER131*Calculateur!ET131*VLOOKUP('Données projet'!$B$15,Paramètres!$A$1:$I$89,3,0)*0.475*44/12</f>
        <v>16.336212453188455</v>
      </c>
      <c r="EX131" s="21">
        <f>EXP(-LN(2)/2)*EX130+(1-EXP(-LN(2)/2))/(LN(2)/2)*ER131*EU131*VLOOKUP('Données projet'!$B$15,Paramètres!$A$1:$I$89,3,0)*0.475*44/12</f>
        <v>1.3617675695196629</v>
      </c>
      <c r="EY131" s="22">
        <f t="shared" si="75"/>
        <v>33.148398028144271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7.3924999999999983</v>
      </c>
      <c r="N132" s="13">
        <f>IF('Données projet'!$A$36&gt;35,N131+M132-V131,IF(A132&lt;'Données projet'!$A$36,$K$205^A132,IF(A132='Données projet'!$A$36,'Données projet'!$B$36,N131+M132-V131)))</f>
        <v>318.62000000000012</v>
      </c>
      <c r="O132" s="13">
        <f>N132*VLOOKUP('Données projet'!$B$9,Paramètres!$A$1:$I$89,3,0)*VLOOKUP('Données projet'!$B$9,Paramètres!$A$1:$I$89,5,0)</f>
        <v>323.08068000000014</v>
      </c>
      <c r="P132" s="13">
        <f t="shared" si="87"/>
        <v>75.993991180579073</v>
      </c>
      <c r="Q132" s="20">
        <f t="shared" si="108"/>
        <v>695.05505230617553</v>
      </c>
      <c r="R132" s="59">
        <f t="shared" si="109"/>
        <v>988.3883856395089</v>
      </c>
      <c r="S132" s="59">
        <f ca="1">AVERAGE(OFFSET($R$3,0,0,'Données projet'!$E$9+1,1))-AVERAGE(OFFSET($H$3,0,0,'Données projet'!$E$9+1,1))</f>
        <v>543.67050511722618</v>
      </c>
      <c r="T132" s="59">
        <f t="shared" si="88"/>
        <v>249.0871389941106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23.648513840288583</v>
      </c>
      <c r="AA132" s="21">
        <f>EXP(-LN(2)/25)*AA131+(1-EXP(-LN(2)/25))/(LN(2)/25)*Calculateur!V132*Calculateur!X132*VLOOKUP('Données projet'!$B$9,Paramètres!$A$1:$I$89,3,0)*0.475*44/12</f>
        <v>25.326147321080505</v>
      </c>
      <c r="AB132" s="21">
        <f>EXP(-LN(2)/2)*AB131+(1-EXP(-LN(2)/2))/(LN(2)/2)*V132*Y132*VLOOKUP('Données projet'!$B$9,Paramètres!$A$1:$I$89,3,0)*0.475*44/12</f>
        <v>1.4578055329183208</v>
      </c>
      <c r="AC132" s="22">
        <f t="shared" ref="AC132:AC153" si="111">SUM(Z132:AB132)</f>
        <v>50.432466694287406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9.0229999999999961</v>
      </c>
      <c r="AI132" s="13">
        <f>IF('Données projet'!$A$62&gt;35,AI131+AH132-AQ131,IF(A132&lt;'Données projet'!$A$62,$AF$205^A132,IF(A132='Données projet'!$A$62,'Données projet'!$B$62,AI131+AH132-AQ131)))</f>
        <v>439.16500000000076</v>
      </c>
      <c r="AJ132" s="13">
        <f>AI132*VLOOKUP('Données projet'!$B$10,Paramètres!$A$1:$I$89,3,0)*VLOOKUP('Données projet'!$B$10,Paramètres!$A$1:$I$89,5,0)</f>
        <v>397.35649200000069</v>
      </c>
      <c r="AK132" s="13">
        <f t="shared" si="89"/>
        <v>91.240527898934658</v>
      </c>
      <c r="AL132" s="20">
        <f t="shared" ref="AL132:AL153" si="112">(AJ132+AK132)*0.475*44/12</f>
        <v>850.97314299064567</v>
      </c>
      <c r="AM132" s="59">
        <f t="shared" ref="AM132:AM195" si="113">AL132+(AD132+AE132)*44/12</f>
        <v>1144.306476323979</v>
      </c>
      <c r="AN132" s="59">
        <f ca="1">AVERAGE(OFFSET($AM$3,0,0,'Données projet'!$E$10+1,1))-AVERAGE(OFFSET($H$3,0,0,'Données projet'!$E$10+1,1))</f>
        <v>635.71275911100679</v>
      </c>
      <c r="AO132" s="59">
        <f t="shared" si="90"/>
        <v>281.7776857269169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34.972675172041939</v>
      </c>
      <c r="AV132" s="21">
        <f>EXP(-LN(2)/25)*AV131+(1-EXP(-LN(2)/25))/(LN(2)/25)*Calculateur!AQ132*Calculateur!AS132*VLOOKUP('Données projet'!$B$10,Paramètres!$A$1:$I$89,3,0)*0.475*44/12</f>
        <v>21.321065077391403</v>
      </c>
      <c r="AW132" s="21">
        <f>EXP(-LN(2)/2)*AW131+(1-EXP(-LN(2)/2))/(LN(2)/2)*AQ132*AT132*VLOOKUP('Données projet'!$B$10,Paramètres!$A$1:$I$89,3,0)*0.475*44/12</f>
        <v>0.90261833031721095</v>
      </c>
      <c r="AX132" s="21">
        <f t="shared" ref="AX132:AX153" si="114">SUM(AU132:AW132)</f>
        <v>57.196358579750552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204.11804238362862</v>
      </c>
      <c r="BJ132" s="59">
        <f t="shared" si="92"/>
        <v>185.53854651509408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4.1751161658516871</v>
      </c>
      <c r="BQ132" s="21">
        <f>EXP(-LN(2)/25)*BQ131+(1-EXP(-LN(2)/25))/(LN(2)/25)*Calculateur!BL132*Calculateur!BN132*VLOOKUP('Données projet'!$B$11,Paramètres!$A$1:$I$89,3,0)*0.475*44/12</f>
        <v>18.10319810236474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22.278314268216427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7.3924999999999983</v>
      </c>
      <c r="BY132" s="12">
        <f>IF('Données projet'!$A$114&gt;35,BY131+BX132-CG131,IF(A132&lt;'Données projet'!$A$114,$BV$205^A132,IF(A132='Données projet'!$A$114,'Données projet'!$B$114,BY131+BX132-CG131)))</f>
        <v>318.62000000000012</v>
      </c>
      <c r="BZ132" s="13">
        <f>BY132*VLOOKUP('Données projet'!$B$12,Paramètres!$A$1:$I$89,3,0)*VLOOKUP('Données projet'!$B$12,Paramètres!$A$1:$I$89,5,0)</f>
        <v>318.11020800000011</v>
      </c>
      <c r="CA132" s="13">
        <f t="shared" si="93"/>
        <v>74.960010239077604</v>
      </c>
      <c r="CB132" s="20">
        <f t="shared" ref="CB132:CB153" si="118">(BZ132+CA132)*0.475*44/12</f>
        <v>684.5972967663937</v>
      </c>
      <c r="CC132" s="59">
        <f t="shared" ref="CC132:CC195" si="119">CB132+(BT132+BU132)*44/12</f>
        <v>977.93063009972707</v>
      </c>
      <c r="CD132" s="59">
        <f ca="1">AVERAGE(OFFSET($CC$3,0,0,'Données projet'!$E$12+1,1))-AVERAGE(OFFSET($H$3,0,0,'Données projet'!$E$12+1,1))</f>
        <v>535.99935263833549</v>
      </c>
      <c r="CE132" s="59">
        <f t="shared" si="94"/>
        <v>245.89966477332644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16.631921821741418</v>
      </c>
      <c r="CL132" s="21">
        <f>EXP(-LN(2)/25)*CL131+(1-EXP(-LN(2)/25))/(LN(2)/25)*Calculateur!CG132*Calculateur!CI132*VLOOKUP('Données projet'!$B$12,Paramètres!$A$1:$I$89,3,0)*0.475*44/12</f>
        <v>18.755115065215758</v>
      </c>
      <c r="CM132" s="21">
        <f>EXP(-LN(2)/2)*CM131+(1-EXP(-LN(2)/2))/(LN(2)/2)*CG132*CJ132*VLOOKUP('Données projet'!$B$12,Paramètres!$A$1:$I$89,3,0)*0.475*44/12</f>
        <v>3.5884432303861584</v>
      </c>
      <c r="CN132" s="22">
        <f t="shared" ref="CN132:CN153" si="120">SUM(CK132:CM132)</f>
        <v>38.975480117343338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2.4366666666666674</v>
      </c>
      <c r="CT132" s="12">
        <f>IF('Données projet'!$A$140&gt;35,CT131+CS132-DB131,IF(A132&lt;'Données projet'!$A$140,$CQ$205^A132,IF(A132='Données projet'!$A$140,'Données projet'!$B$140,CT131+CS132-DB131)))</f>
        <v>110.31333333333359</v>
      </c>
      <c r="CU132" s="17">
        <f>CT132*VLOOKUP('Données projet'!$B$13,Paramètres!$A$1:$I$89,3,0)*VLOOKUP('Données projet'!$B$13,Paramètres!$A$1:$I$89,5,0)</f>
        <v>104.97416800000025</v>
      </c>
      <c r="CV132" s="13">
        <f t="shared" si="95"/>
        <v>28.143655751142813</v>
      </c>
      <c r="CW132" s="20">
        <f t="shared" ref="CW132:CW153" si="121">(CU132+CV132)*0.475*44/12</f>
        <v>231.84687636657415</v>
      </c>
      <c r="CX132" s="59">
        <f t="shared" ref="CX132:CX195" si="122">CW132+(CO132+CP132)*44/12</f>
        <v>525.18020969990744</v>
      </c>
      <c r="CY132" s="59">
        <f ca="1">AVERAGE(OFFSET($CX$3,0,0,'Données projet'!$E$13+1,1))-AVERAGE(OFFSET($H$3,0,0,'Données projet'!$E$13+1,1))</f>
        <v>449.28947235329758</v>
      </c>
      <c r="CZ132" s="59">
        <f t="shared" si="96"/>
        <v>289.36994109443964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54.46644870090033</v>
      </c>
      <c r="DG132" s="21">
        <f>EXP(-LN(2)/25)*DG131+(1-EXP(-LN(2)/25))/(LN(2)/25)*Calculateur!DB132*Calculateur!DD132*VLOOKUP('Données projet'!$B$13,Paramètres!$A$1:$I$89,3,0)*0.475*44/12</f>
        <v>48.838512788895095</v>
      </c>
      <c r="DH132" s="21">
        <f>EXP(-LN(2)/2)*DH131+(1-EXP(-LN(2)/2))/(LN(2)/2)*DB132*DE132*VLOOKUP('Données projet'!$B$13,Paramètres!$A$1:$I$89,3,0)*0.475*44/12</f>
        <v>14.909648345624088</v>
      </c>
      <c r="DI132" s="22">
        <f t="shared" ref="DI132:DI153" si="123">SUM(DF132:DH132)</f>
        <v>118.21460983541952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5.6843418860808015E-14</v>
      </c>
      <c r="DP132" s="17">
        <f>DO132*VLOOKUP('Données projet'!$B$14,Paramètres!$A$1:$I$89,3,0)*VLOOKUP('Données projet'!$B$14,Paramètres!$A$1:$I$89,5,0)</f>
        <v>4.4337866711430253E-14</v>
      </c>
      <c r="DQ132" s="13">
        <f t="shared" si="97"/>
        <v>7.3222115536967035E-13</v>
      </c>
      <c r="DR132" s="20">
        <f t="shared" ref="DR132:DR153" si="124">(DP132+DQ132)*0.475*44/12</f>
        <v>1.3525069634579169E-12</v>
      </c>
      <c r="DS132" s="59">
        <f t="shared" ref="DS132:DS195" si="125">DR132+(DJ132+DK132)*44/12</f>
        <v>293.33333333333468</v>
      </c>
      <c r="DT132" s="59">
        <f ca="1">AVERAGE(OFFSET($DS$3,0,0,'Données projet'!$E$14+1,1))-AVERAGE(OFFSET($H$3,0,0,'Données projet'!$E$14+1,1))</f>
        <v>288.82868507674738</v>
      </c>
      <c r="DU132" s="59">
        <f t="shared" si="98"/>
        <v>283.48738729114024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13.103964066141927</v>
      </c>
      <c r="EB132" s="21">
        <f>EXP(-LN(2)/25)*EB131+(1-EXP(-LN(2)/25))/(LN(2)/25)*Calculateur!DW132*Calculateur!DY132*VLOOKUP('Données projet'!$B$14,Paramètres!$A$1:$I$89,3,0)*0.475*44/12</f>
        <v>8.021017072808224</v>
      </c>
      <c r="EC132" s="21">
        <f>EXP(-LN(2)/2)*EC131+(1-EXP(-LN(2)/2))/(LN(2)/2)*DW132*DZ132*VLOOKUP('Données projet'!$B$14,Paramètres!$A$1:$I$89,3,0)*0.475*44/12</f>
        <v>5.6583454509529735E-8</v>
      </c>
      <c r="ED132" s="22">
        <f t="shared" ref="ED132:ED153" si="126">SUM(EA132:EC132)</f>
        <v>21.124981195533607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7.1129999999999995</v>
      </c>
      <c r="EJ132" s="12">
        <f>IF('Données projet'!$A$192&gt;35,EJ131+EI132-ER131,IF(A132&lt;'Données projet'!$A$192,$EG$205^A132,IF(A132='Données projet'!$A$192,'Données projet'!$B$192,EJ131+EI132-ER131)))</f>
        <v>319.23100000000005</v>
      </c>
      <c r="EK132" s="17">
        <f>EJ132*VLOOKUP('Données projet'!$B$15,Paramètres!$A$1:$I$89,3,0)*VLOOKUP('Données projet'!$B$15,Paramètres!$A$1:$I$89,5,0)</f>
        <v>308.7602232000001</v>
      </c>
      <c r="EL132" s="13">
        <f t="shared" si="99"/>
        <v>73.009855077083458</v>
      </c>
      <c r="EM132" s="20">
        <f t="shared" ref="EM132:EM153" si="127">(EK132+EL132)*0.475*44/12</f>
        <v>664.91621966592049</v>
      </c>
      <c r="EN132" s="59">
        <f t="shared" ref="EN132:EN195" si="128">EM132+(EE132+EF132)*44/12</f>
        <v>958.24955299925386</v>
      </c>
      <c r="EO132" s="59">
        <f ca="1">AVERAGE(OFFSET($EN$3,0,0,'Données projet'!$E$15+1,1))-AVERAGE(OFFSET($H$3,0,0,'Données projet'!$E$15+1,1))</f>
        <v>510.71380643466227</v>
      </c>
      <c r="EP132" s="59">
        <f t="shared" si="100"/>
        <v>252.40654099948841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15.147444732174007</v>
      </c>
      <c r="EW132" s="21">
        <f>EXP(-LN(2)/25)*EW131+(1-EXP(-LN(2)/25))/(LN(2)/25)*Calculateur!ER132*Calculateur!ET132*VLOOKUP('Données projet'!$B$15,Paramètres!$A$1:$I$89,3,0)*0.475*44/12</f>
        <v>15.889497864571942</v>
      </c>
      <c r="EX132" s="21">
        <f>EXP(-LN(2)/2)*EX131+(1-EXP(-LN(2)/2))/(LN(2)/2)*ER132*EU132*VLOOKUP('Données projet'!$B$15,Paramètres!$A$1:$I$89,3,0)*0.475*44/12</f>
        <v>0.962915082807277</v>
      </c>
      <c r="EY132" s="22">
        <f t="shared" ref="EY132:EY153" si="129">SUM(EV132:EX132)</f>
        <v>31.999857679553227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7.3924999999999983</v>
      </c>
      <c r="N133" s="13">
        <f>IF('Données projet'!$A$36&gt;35,N132+M133-V132,IF(A133&lt;'Données projet'!$A$36,$K$205^A133,IF(A133='Données projet'!$A$36,'Données projet'!$B$36,N132+M133-V132)))</f>
        <v>326.0125000000001</v>
      </c>
      <c r="O133" s="13">
        <f>N133*VLOOKUP('Données projet'!$B$9,Paramètres!$A$1:$I$89,3,0)*VLOOKUP('Données projet'!$B$9,Paramètres!$A$1:$I$89,5,0)</f>
        <v>330.57667500000014</v>
      </c>
      <c r="P133" s="13">
        <f t="shared" ref="P133:P196" si="141">EXP(-1.0587+0.8836*LN(O133)+0.284)</f>
        <v>77.549854460420264</v>
      </c>
      <c r="Q133" s="20">
        <f t="shared" si="108"/>
        <v>710.82037214356558</v>
      </c>
      <c r="R133" s="59">
        <f t="shared" si="109"/>
        <v>1004.1537054768989</v>
      </c>
      <c r="S133" s="59">
        <f ca="1">AVERAGE(OFFSET($R$3,0,0,'Données projet'!$E$9+1,1))-AVERAGE(OFFSET($H$3,0,0,'Données projet'!$E$9+1,1))</f>
        <v>543.67050511722618</v>
      </c>
      <c r="T133" s="59">
        <f t="shared" ref="T133:T196" si="142">$T$3</f>
        <v>249.0871389941106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23.184780908049699</v>
      </c>
      <c r="AA133" s="21">
        <f>EXP(-LN(2)/25)*AA132+(1-EXP(-LN(2)/25))/(LN(2)/25)*Calculateur!V133*Calculateur!X133*VLOOKUP('Données projet'!$B$9,Paramètres!$A$1:$I$89,3,0)*0.475*44/12</f>
        <v>24.633602490741353</v>
      </c>
      <c r="AB133" s="21">
        <f>EXP(-LN(2)/2)*AB132+(1-EXP(-LN(2)/2))/(LN(2)/2)*V133*Y133*VLOOKUP('Données projet'!$B$9,Paramètres!$A$1:$I$89,3,0)*0.475*44/12</f>
        <v>1.0308241779778136</v>
      </c>
      <c r="AC133" s="22">
        <f t="shared" si="111"/>
        <v>48.849207576768869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9.0229999999999961</v>
      </c>
      <c r="AI133" s="13">
        <f>IF('Données projet'!$A$62&gt;35,AI132+AH133-AQ132,IF(A133&lt;'Données projet'!$A$62,$AF$205^A133,IF(A133='Données projet'!$A$62,'Données projet'!$B$62,AI132+AH133-AQ132)))</f>
        <v>448.18800000000078</v>
      </c>
      <c r="AJ133" s="13">
        <f>AI133*VLOOKUP('Données projet'!$B$10,Paramètres!$A$1:$I$89,3,0)*VLOOKUP('Données projet'!$B$10,Paramètres!$A$1:$I$89,5,0)</f>
        <v>405.52050240000068</v>
      </c>
      <c r="AK133" s="13">
        <f t="shared" ref="AK133:AK153" si="143">EXP(-1.0587+0.8836*LN(AJ133)+0.284)</f>
        <v>92.894967969753338</v>
      </c>
      <c r="AL133" s="20">
        <f t="shared" si="112"/>
        <v>868.07361089398819</v>
      </c>
      <c r="AM133" s="59">
        <f t="shared" si="113"/>
        <v>1161.4069442273214</v>
      </c>
      <c r="AN133" s="59">
        <f ca="1">AVERAGE(OFFSET($AM$3,0,0,'Données projet'!$E$10+1,1))-AVERAGE(OFFSET($H$3,0,0,'Données projet'!$E$10+1,1))</f>
        <v>635.71275911100679</v>
      </c>
      <c r="AO133" s="59">
        <f t="shared" ref="AO133:AO196" si="144">$AO$3</f>
        <v>281.7776857269169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34.286882343143766</v>
      </c>
      <c r="AV133" s="21">
        <f>EXP(-LN(2)/25)*AV132+(1-EXP(-LN(2)/25))/(LN(2)/25)*Calculateur!AQ133*Calculateur!AS133*VLOOKUP('Données projet'!$B$10,Paramètres!$A$1:$I$89,3,0)*0.475*44/12</f>
        <v>20.738039431624053</v>
      </c>
      <c r="AW133" s="21">
        <f>EXP(-LN(2)/2)*AW132+(1-EXP(-LN(2)/2))/(LN(2)/2)*AQ133*AT133*VLOOKUP('Données projet'!$B$10,Paramètres!$A$1:$I$89,3,0)*0.475*44/12</f>
        <v>0.638247542190579</v>
      </c>
      <c r="AX133" s="21">
        <f t="shared" si="114"/>
        <v>55.663169316958395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204.11804238362862</v>
      </c>
      <c r="BJ133" s="59">
        <f t="shared" ref="BJ133:BJ196" si="146">$BJ$3</f>
        <v>185.53854651509408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4.0932446844087442</v>
      </c>
      <c r="BQ133" s="21">
        <f>EXP(-LN(2)/25)*BQ132+(1-EXP(-LN(2)/25))/(LN(2)/25)*Calculateur!BL133*Calculateur!BN133*VLOOKUP('Données projet'!$B$11,Paramètres!$A$1:$I$89,3,0)*0.475*44/12</f>
        <v>17.608165198249765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21.70140988265851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7.3924999999999983</v>
      </c>
      <c r="BY133" s="12">
        <f>IF('Données projet'!$A$114&gt;35,BY132+BX133-CG132,IF(A133&lt;'Données projet'!$A$114,$BV$205^A133,IF(A133='Données projet'!$A$114,'Données projet'!$B$114,BY132+BX133-CG132)))</f>
        <v>326.0125000000001</v>
      </c>
      <c r="BZ133" s="13">
        <f>BY133*VLOOKUP('Données projet'!$B$12,Paramètres!$A$1:$I$89,3,0)*VLOOKUP('Données projet'!$B$12,Paramètres!$A$1:$I$89,5,0)</f>
        <v>325.49088000000012</v>
      </c>
      <c r="CA133" s="13">
        <f t="shared" ref="CA133:CA153" si="147">EXP(-1.0587+0.8836*LN(BZ133)+0.284)</f>
        <v>76.494704306012025</v>
      </c>
      <c r="CB133" s="20">
        <f t="shared" si="118"/>
        <v>700.12489266630439</v>
      </c>
      <c r="CC133" s="59">
        <f t="shared" si="119"/>
        <v>993.45822599963776</v>
      </c>
      <c r="CD133" s="59">
        <f ca="1">AVERAGE(OFFSET($CC$3,0,0,'Données projet'!$E$12+1,1))-AVERAGE(OFFSET($H$3,0,0,'Données projet'!$E$12+1,1))</f>
        <v>535.99935263833549</v>
      </c>
      <c r="CE133" s="59">
        <f t="shared" ref="CE133:CE196" si="148">$CE$3</f>
        <v>245.89966477332644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16.305779979287696</v>
      </c>
      <c r="CL133" s="21">
        <f>EXP(-LN(2)/25)*CL132+(1-EXP(-LN(2)/25))/(LN(2)/25)*Calculateur!CG133*Calculateur!CI133*VLOOKUP('Données projet'!$B$12,Paramètres!$A$1:$I$89,3,0)*0.475*44/12</f>
        <v>18.242255457468797</v>
      </c>
      <c r="CM133" s="21">
        <f>EXP(-LN(2)/2)*CM132+(1-EXP(-LN(2)/2))/(LN(2)/2)*CG133*CJ133*VLOOKUP('Données projet'!$B$12,Paramètres!$A$1:$I$89,3,0)*0.475*44/12</f>
        <v>2.5374125421090135</v>
      </c>
      <c r="CN133" s="22">
        <f t="shared" si="120"/>
        <v>37.085447978865503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>
        <f>VLOOKUP(A133,'Données projet'!$A$139:$I$159,2,0)</f>
        <v>112.75</v>
      </c>
      <c r="CR133" s="12">
        <f>VLOOKUP(A133,'Données projet'!$A$139:$I$159,9,0)</f>
        <v>2.4366666666666674</v>
      </c>
      <c r="CS133" s="12">
        <f t="array" ref="CS133">INDEX(CR:CR,MIN(IF(ISNUMBER(CR133:CR329),ROW(CR133:CR329),"")))</f>
        <v>2.4366666666666674</v>
      </c>
      <c r="CT133" s="12">
        <f>IF('Données projet'!$A$140&gt;35,CT132+CS133-DB132,IF(A133&lt;'Données projet'!$A$140,$CQ$205^A133,IF(A133='Données projet'!$A$140,'Données projet'!$B$140,CT132+CS133-DB132)))</f>
        <v>112.75000000000026</v>
      </c>
      <c r="CU133" s="17">
        <f>CT133*VLOOKUP('Données projet'!$B$13,Paramètres!$A$1:$I$89,3,0)*VLOOKUP('Données projet'!$B$13,Paramètres!$A$1:$I$89,5,0)</f>
        <v>107.29290000000026</v>
      </c>
      <c r="CV133" s="13">
        <f t="shared" ref="CV133:CV153" si="149">EXP(-1.0587+0.8836*LN(CU133)+0.284)</f>
        <v>28.692248678828363</v>
      </c>
      <c r="CW133" s="20">
        <f t="shared" si="121"/>
        <v>236.84080061562653</v>
      </c>
      <c r="CX133" s="59">
        <f t="shared" si="122"/>
        <v>530.17413394895982</v>
      </c>
      <c r="CY133" s="59">
        <f ca="1">AVERAGE(OFFSET($CX$3,0,0,'Données projet'!$E$13+1,1))-AVERAGE(OFFSET($H$3,0,0,'Données projet'!$E$13+1,1))</f>
        <v>449.28947235329758</v>
      </c>
      <c r="CZ133" s="59">
        <f t="shared" ref="CZ133:CZ196" si="150">$CZ$3</f>
        <v>289.36994109443964</v>
      </c>
      <c r="DA133" s="15">
        <f>IF(ISNA(VLOOKUP(A133,'Données projet'!$A$139:$I$159,3,0)),0,VLOOKUP(A133,'Données projet'!$A$139:$I$159,3,0))</f>
        <v>14</v>
      </c>
      <c r="DB133" s="15">
        <f>IF(ISNA(VLOOKUP(A133,'Données projet'!$A$139:$I$159,4,0)),0,VLOOKUP(A133,'Données projet'!$A$139:$I$159,4,0))</f>
        <v>112.75</v>
      </c>
      <c r="DC133" s="16">
        <f>IF(ISNA(VLOOKUP(A133,'Données projet'!$A$139:$I$159,5,0)),0%,VLOOKUP(A133,'Données projet'!$A$139:$I$159,5,0)*VLOOKUP('Données projet'!$B$13,Paramètres!$A$1:$I$89,7,0))</f>
        <v>0.1075</v>
      </c>
      <c r="DD133" s="16">
        <f>IF(ISNA(VLOOKUP(A133,'Données projet'!$A$139:$I$159,6,0)),0%,VLOOKUP(A133,'Données projet'!$A$139:$I$159,6,0)*VLOOKUP('Données projet'!$B$13,Paramètres!$A$1:$I$89,7,0))</f>
        <v>0.1075</v>
      </c>
      <c r="DE133" s="16">
        <f>IF(ISNA(VLOOKUP(A133,'Données projet'!$A$139:$I$159,7,0)),0%,VLOOKUP(A133,'Données projet'!$A$139:$I$159,7,0))</f>
        <v>0.25</v>
      </c>
      <c r="DF133" s="21">
        <f>EXP(-LN(2)/35)*DF132+(1-EXP(-LN(2)/35))/(LN(2)/35)*DB133*DC133*VLOOKUP('Données projet'!$B$13,Paramètres!$A$1:$I$89,3,0)*0.475*44/12</f>
        <v>66.148875573179566</v>
      </c>
      <c r="DG133" s="21">
        <f>EXP(-LN(2)/25)*DG132+(1-EXP(-LN(2)/25))/(LN(2)/25)*Calculateur!DB133*Calculateur!DD133*VLOOKUP('Données projet'!$B$13,Paramètres!$A$1:$I$89,3,0)*0.475*44/12</f>
        <v>60.203298297558</v>
      </c>
      <c r="DH133" s="21">
        <f>EXP(-LN(2)/2)*DH132+(1-EXP(-LN(2)/2))/(LN(2)/2)*DB133*DE133*VLOOKUP('Données projet'!$B$13,Paramètres!$A$1:$I$89,3,0)*0.475*44/12</f>
        <v>35.851148174313693</v>
      </c>
      <c r="DI133" s="22">
        <f t="shared" si="123"/>
        <v>162.20332204505127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5.6843418860808015E-14</v>
      </c>
      <c r="DP133" s="17">
        <f>DO133*VLOOKUP('Données projet'!$B$14,Paramètres!$A$1:$I$89,3,0)*VLOOKUP('Données projet'!$B$14,Paramètres!$A$1:$I$89,5,0)</f>
        <v>4.4337866711430253E-14</v>
      </c>
      <c r="DQ133" s="13">
        <f t="shared" ref="DQ133:DQ153" si="151">EXP(-1.0587+0.8836*LN(DP133)+0.284)</f>
        <v>7.3222115536967035E-13</v>
      </c>
      <c r="DR133" s="20">
        <f t="shared" si="124"/>
        <v>1.3525069634579169E-12</v>
      </c>
      <c r="DS133" s="59">
        <f t="shared" si="125"/>
        <v>293.33333333333468</v>
      </c>
      <c r="DT133" s="59">
        <f ca="1">AVERAGE(OFFSET($DS$3,0,0,'Données projet'!$E$14+1,1))-AVERAGE(OFFSET($H$3,0,0,'Données projet'!$E$14+1,1))</f>
        <v>288.82868507674738</v>
      </c>
      <c r="DU133" s="59">
        <f t="shared" ref="DU133:DU196" si="152">$DU$3</f>
        <v>283.48738729114024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12.847003323433757</v>
      </c>
      <c r="EB133" s="21">
        <f>EXP(-LN(2)/25)*EB132+(1-EXP(-LN(2)/25))/(LN(2)/25)*Calculateur!DW133*Calculateur!DY133*VLOOKUP('Données projet'!$B$14,Paramètres!$A$1:$I$89,3,0)*0.475*44/12</f>
        <v>7.8016819391453271</v>
      </c>
      <c r="EC133" s="21">
        <f>EXP(-LN(2)/2)*EC132+(1-EXP(-LN(2)/2))/(LN(2)/2)*DW133*DZ133*VLOOKUP('Données projet'!$B$14,Paramètres!$A$1:$I$89,3,0)*0.475*44/12</f>
        <v>4.0010544386649008E-8</v>
      </c>
      <c r="ED133" s="22">
        <f t="shared" si="126"/>
        <v>20.64868530258963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7.1129999999999995</v>
      </c>
      <c r="EJ133" s="12">
        <f>IF('Données projet'!$A$192&gt;35,EJ132+EI133-ER132,IF(A133&lt;'Données projet'!$A$192,$EG$205^A133,IF(A133='Données projet'!$A$192,'Données projet'!$B$192,EJ132+EI133-ER132)))</f>
        <v>326.34400000000005</v>
      </c>
      <c r="EK133" s="17">
        <f>EJ133*VLOOKUP('Données projet'!$B$15,Paramètres!$A$1:$I$89,3,0)*VLOOKUP('Données projet'!$B$15,Paramètres!$A$1:$I$89,5,0)</f>
        <v>315.63991680000004</v>
      </c>
      <c r="EL133" s="13">
        <f t="shared" ref="EL133:EL153" si="153">EXP(-1.0587+0.8836*LN(EK133)+0.284)</f>
        <v>74.445430484125623</v>
      </c>
      <c r="EM133" s="20">
        <f t="shared" si="127"/>
        <v>679.39864651985215</v>
      </c>
      <c r="EN133" s="59">
        <f t="shared" si="128"/>
        <v>972.73197985318552</v>
      </c>
      <c r="EO133" s="59">
        <f ca="1">AVERAGE(OFFSET($EN$3,0,0,'Données projet'!$E$15+1,1))-AVERAGE(OFFSET($H$3,0,0,'Données projet'!$E$15+1,1))</f>
        <v>510.71380643466227</v>
      </c>
      <c r="EP133" s="59">
        <f t="shared" ref="EP133:EP196" si="154">$EP$3</f>
        <v>252.40654099948841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14.850412580005083</v>
      </c>
      <c r="EW133" s="21">
        <f>EXP(-LN(2)/25)*EW132+(1-EXP(-LN(2)/25))/(LN(2)/25)*Calculateur!ER133*Calculateur!ET133*VLOOKUP('Données projet'!$B$15,Paramètres!$A$1:$I$89,3,0)*0.475*44/12</f>
        <v>15.454998709872845</v>
      </c>
      <c r="EX133" s="21">
        <f>EXP(-LN(2)/2)*EX132+(1-EXP(-LN(2)/2))/(LN(2)/2)*ER133*EU133*VLOOKUP('Données projet'!$B$15,Paramètres!$A$1:$I$89,3,0)*0.475*44/12</f>
        <v>0.68088378475983158</v>
      </c>
      <c r="EY133" s="22">
        <f t="shared" si="129"/>
        <v>30.986295074637759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7.3924999999999983</v>
      </c>
      <c r="N134" s="13">
        <f>IF('Données projet'!$A$36&gt;35,N133+M134-V133,IF(A134&lt;'Données projet'!$A$36,$K$205^A134,IF(A134='Données projet'!$A$36,'Données projet'!$B$36,N133+M134-V133)))</f>
        <v>333.40500000000009</v>
      </c>
      <c r="O134" s="13">
        <f>N134*VLOOKUP('Données projet'!$B$9,Paramètres!$A$1:$I$89,3,0)*VLOOKUP('Données projet'!$B$9,Paramètres!$A$1:$I$89,5,0)</f>
        <v>338.07267000000013</v>
      </c>
      <c r="P134" s="13">
        <f t="shared" si="141"/>
        <v>79.101616192133463</v>
      </c>
      <c r="Q134" s="20">
        <f t="shared" si="108"/>
        <v>726.5785484512993</v>
      </c>
      <c r="R134" s="59">
        <f t="shared" si="109"/>
        <v>1019.9118817846327</v>
      </c>
      <c r="S134" s="59">
        <f ca="1">AVERAGE(OFFSET($R$3,0,0,'Données projet'!$E$9+1,1))-AVERAGE(OFFSET($H$3,0,0,'Données projet'!$E$9+1,1))</f>
        <v>543.67050511722618</v>
      </c>
      <c r="T134" s="59">
        <f t="shared" si="142"/>
        <v>249.0871389941106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22.730141495762858</v>
      </c>
      <c r="AA134" s="21">
        <f>EXP(-LN(2)/25)*AA133+(1-EXP(-LN(2)/25))/(LN(2)/25)*Calculateur!V134*Calculateur!X134*VLOOKUP('Données projet'!$B$9,Paramètres!$A$1:$I$89,3,0)*0.475*44/12</f>
        <v>23.959995335207175</v>
      </c>
      <c r="AB134" s="21">
        <f>EXP(-LN(2)/2)*AB133+(1-EXP(-LN(2)/2))/(LN(2)/2)*V134*Y134*VLOOKUP('Données projet'!$B$9,Paramètres!$A$1:$I$89,3,0)*0.475*44/12</f>
        <v>0.72890276645916063</v>
      </c>
      <c r="AC134" s="22">
        <f t="shared" si="111"/>
        <v>47.41903959742919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9.0229999999999961</v>
      </c>
      <c r="AI134" s="13">
        <f>IF('Données projet'!$A$62&gt;35,AI133+AH134-AQ133,IF(A134&lt;'Données projet'!$A$62,$AF$205^A134,IF(A134='Données projet'!$A$62,'Données projet'!$B$62,AI133+AH134-AQ133)))</f>
        <v>457.21100000000081</v>
      </c>
      <c r="AJ134" s="13">
        <f>AI134*VLOOKUP('Données projet'!$B$10,Paramètres!$A$1:$I$89,3,0)*VLOOKUP('Données projet'!$B$10,Paramètres!$A$1:$I$89,5,0)</f>
        <v>413.68451280000073</v>
      </c>
      <c r="AK134" s="13">
        <f t="shared" si="143"/>
        <v>94.545535312483779</v>
      </c>
      <c r="AL134" s="20">
        <f t="shared" si="112"/>
        <v>885.16733379591051</v>
      </c>
      <c r="AM134" s="59">
        <f t="shared" si="113"/>
        <v>1178.5006671292438</v>
      </c>
      <c r="AN134" s="59">
        <f ca="1">AVERAGE(OFFSET($AM$3,0,0,'Données projet'!$E$10+1,1))-AVERAGE(OFFSET($H$3,0,0,'Données projet'!$E$10+1,1))</f>
        <v>635.71275911100679</v>
      </c>
      <c r="AO134" s="59">
        <f t="shared" si="144"/>
        <v>281.7776857269169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33.614537493327965</v>
      </c>
      <c r="AV134" s="21">
        <f>EXP(-LN(2)/25)*AV133+(1-EXP(-LN(2)/25))/(LN(2)/25)*Calculateur!AQ134*Calculateur!AS134*VLOOKUP('Données projet'!$B$10,Paramètres!$A$1:$I$89,3,0)*0.475*44/12</f>
        <v>20.170956652800196</v>
      </c>
      <c r="AW134" s="21">
        <f>EXP(-LN(2)/2)*AW133+(1-EXP(-LN(2)/2))/(LN(2)/2)*AQ134*AT134*VLOOKUP('Données projet'!$B$10,Paramètres!$A$1:$I$89,3,0)*0.475*44/12</f>
        <v>0.45130916515860553</v>
      </c>
      <c r="AX134" s="21">
        <f t="shared" si="114"/>
        <v>54.236803311286764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204.11804238362862</v>
      </c>
      <c r="BJ134" s="59">
        <f t="shared" si="146"/>
        <v>185.53854651509408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4.012978652780224</v>
      </c>
      <c r="BQ134" s="21">
        <f>EXP(-LN(2)/25)*BQ133+(1-EXP(-LN(2)/25))/(LN(2)/25)*Calculateur!BL134*Calculateur!BN134*VLOOKUP('Données projet'!$B$11,Paramètres!$A$1:$I$89,3,0)*0.475*44/12</f>
        <v>17.126668994930462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21.139647647710685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7.3924999999999983</v>
      </c>
      <c r="BY134" s="12">
        <f>IF('Données projet'!$A$114&gt;35,BY133+BX134-CG133,IF(A134&lt;'Données projet'!$A$114,$BV$205^A134,IF(A134='Données projet'!$A$114,'Données projet'!$B$114,BY133+BX134-CG133)))</f>
        <v>333.40500000000009</v>
      </c>
      <c r="BZ134" s="13">
        <f>BY134*VLOOKUP('Données projet'!$B$12,Paramètres!$A$1:$I$89,3,0)*VLOOKUP('Données projet'!$B$12,Paramètres!$A$1:$I$89,5,0)</f>
        <v>332.87155200000012</v>
      </c>
      <c r="CA134" s="13">
        <f t="shared" si="147"/>
        <v>78.025352630843742</v>
      </c>
      <c r="CB134" s="20">
        <f t="shared" si="118"/>
        <v>715.64544223205303</v>
      </c>
      <c r="CC134" s="59">
        <f t="shared" si="119"/>
        <v>1008.9787755653863</v>
      </c>
      <c r="CD134" s="59">
        <f ca="1">AVERAGE(OFFSET($CC$3,0,0,'Données projet'!$E$12+1,1))-AVERAGE(OFFSET($H$3,0,0,'Données projet'!$E$12+1,1))</f>
        <v>535.99935263833549</v>
      </c>
      <c r="CE134" s="59">
        <f t="shared" si="148"/>
        <v>245.89966477332644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15.98603357943761</v>
      </c>
      <c r="CL134" s="21">
        <f>EXP(-LN(2)/25)*CL133+(1-EXP(-LN(2)/25))/(LN(2)/25)*Calculateur!CG134*Calculateur!CI134*VLOOKUP('Données projet'!$B$12,Paramètres!$A$1:$I$89,3,0)*0.475*44/12</f>
        <v>17.743420022665791</v>
      </c>
      <c r="CM134" s="21">
        <f>EXP(-LN(2)/2)*CM133+(1-EXP(-LN(2)/2))/(LN(2)/2)*CG134*CJ134*VLOOKUP('Données projet'!$B$12,Paramètres!$A$1:$I$89,3,0)*0.475*44/12</f>
        <v>1.7942216151930797</v>
      </c>
      <c r="CN134" s="22">
        <f t="shared" si="120"/>
        <v>35.523675217296486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2.5579538487363607E-13</v>
      </c>
      <c r="CU134" s="17">
        <f>CT134*VLOOKUP('Données projet'!$B$13,Paramètres!$A$1:$I$89,3,0)*VLOOKUP('Données projet'!$B$13,Paramètres!$A$1:$I$89,5,0)</f>
        <v>2.4341488824575211E-13</v>
      </c>
      <c r="CV134" s="13">
        <f t="shared" si="149"/>
        <v>3.2970717324875541E-12</v>
      </c>
      <c r="CW134" s="20">
        <f t="shared" si="121"/>
        <v>6.1663475311105072E-12</v>
      </c>
      <c r="CX134" s="59">
        <f t="shared" si="122"/>
        <v>293.33333333333945</v>
      </c>
      <c r="CY134" s="59">
        <f ca="1">AVERAGE(OFFSET($CX$3,0,0,'Données projet'!$E$13+1,1))-AVERAGE(OFFSET($H$3,0,0,'Données projet'!$E$13+1,1))</f>
        <v>449.28947235329758</v>
      </c>
      <c r="CZ134" s="59">
        <f t="shared" si="150"/>
        <v>289.36994109443964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64.851736470019702</v>
      </c>
      <c r="DG134" s="21">
        <f>EXP(-LN(2)/25)*DG133+(1-EXP(-LN(2)/25))/(LN(2)/25)*Calculateur!DB134*Calculateur!DD134*VLOOKUP('Données projet'!$B$13,Paramètres!$A$1:$I$89,3,0)*0.475*44/12</f>
        <v>58.557035939657418</v>
      </c>
      <c r="DH134" s="21">
        <f>EXP(-LN(2)/2)*DH133+(1-EXP(-LN(2)/2))/(LN(2)/2)*DB134*DE134*VLOOKUP('Données projet'!$B$13,Paramètres!$A$1:$I$89,3,0)*0.475*44/12</f>
        <v>25.350589987380928</v>
      </c>
      <c r="DI134" s="22">
        <f t="shared" si="123"/>
        <v>148.75936239705806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5.6843418860808015E-14</v>
      </c>
      <c r="DP134" s="17">
        <f>DO134*VLOOKUP('Données projet'!$B$14,Paramètres!$A$1:$I$89,3,0)*VLOOKUP('Données projet'!$B$14,Paramètres!$A$1:$I$89,5,0)</f>
        <v>4.4337866711430253E-14</v>
      </c>
      <c r="DQ134" s="13">
        <f t="shared" si="151"/>
        <v>7.3222115536967035E-13</v>
      </c>
      <c r="DR134" s="20">
        <f t="shared" si="124"/>
        <v>1.3525069634579169E-12</v>
      </c>
      <c r="DS134" s="59">
        <f t="shared" si="125"/>
        <v>293.33333333333468</v>
      </c>
      <c r="DT134" s="59">
        <f ca="1">AVERAGE(OFFSET($DS$3,0,0,'Données projet'!$E$14+1,1))-AVERAGE(OFFSET($H$3,0,0,'Données projet'!$E$14+1,1))</f>
        <v>288.82868507674738</v>
      </c>
      <c r="DU134" s="59">
        <f t="shared" si="152"/>
        <v>283.48738729114024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12.595081424159517</v>
      </c>
      <c r="EB134" s="21">
        <f>EXP(-LN(2)/25)*EB133+(1-EXP(-LN(2)/25))/(LN(2)/25)*Calculateur!DW134*Calculateur!DY134*VLOOKUP('Données projet'!$B$14,Paramètres!$A$1:$I$89,3,0)*0.475*44/12</f>
        <v>7.5883445362467761</v>
      </c>
      <c r="EC134" s="21">
        <f>EXP(-LN(2)/2)*EC133+(1-EXP(-LN(2)/2))/(LN(2)/2)*DW134*DZ134*VLOOKUP('Données projet'!$B$14,Paramètres!$A$1:$I$89,3,0)*0.475*44/12</f>
        <v>2.8291727254764867E-8</v>
      </c>
      <c r="ED134" s="22">
        <f t="shared" si="126"/>
        <v>20.183425988698019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7.1129999999999995</v>
      </c>
      <c r="EJ134" s="12">
        <f>IF('Données projet'!$A$192&gt;35,EJ133+EI134-ER133,IF(A134&lt;'Données projet'!$A$192,$EG$205^A134,IF(A134='Données projet'!$A$192,'Données projet'!$B$192,EJ133+EI134-ER133)))</f>
        <v>333.45700000000005</v>
      </c>
      <c r="EK134" s="17">
        <f>EJ134*VLOOKUP('Données projet'!$B$15,Paramètres!$A$1:$I$89,3,0)*VLOOKUP('Données projet'!$B$15,Paramètres!$A$1:$I$89,5,0)</f>
        <v>322.51961040000003</v>
      </c>
      <c r="EL134" s="13">
        <f t="shared" si="153"/>
        <v>75.877368066903443</v>
      </c>
      <c r="EM134" s="20">
        <f t="shared" si="127"/>
        <v>693.87473749652361</v>
      </c>
      <c r="EN134" s="59">
        <f t="shared" si="128"/>
        <v>987.20807082985698</v>
      </c>
      <c r="EO134" s="59">
        <f ca="1">AVERAGE(OFFSET($EN$3,0,0,'Données projet'!$E$15+1,1))-AVERAGE(OFFSET($H$3,0,0,'Données projet'!$E$15+1,1))</f>
        <v>510.71380643466227</v>
      </c>
      <c r="EP134" s="59">
        <f t="shared" si="154"/>
        <v>252.40654099948841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14.559205047168467</v>
      </c>
      <c r="EW134" s="21">
        <f>EXP(-LN(2)/25)*EW133+(1-EXP(-LN(2)/25))/(LN(2)/25)*Calculateur!ER134*Calculateur!ET134*VLOOKUP('Données projet'!$B$15,Paramètres!$A$1:$I$89,3,0)*0.475*44/12</f>
        <v>15.032380957408312</v>
      </c>
      <c r="EX134" s="21">
        <f>EXP(-LN(2)/2)*EX133+(1-EXP(-LN(2)/2))/(LN(2)/2)*ER134*EU134*VLOOKUP('Données projet'!$B$15,Paramètres!$A$1:$I$89,3,0)*0.475*44/12</f>
        <v>0.48145754140363856</v>
      </c>
      <c r="EY134" s="22">
        <f t="shared" si="129"/>
        <v>30.073043545980418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7.3924999999999983</v>
      </c>
      <c r="N135" s="13">
        <f>IF('Données projet'!$A$36&gt;35,N134+M135-V134,IF(A135&lt;'Données projet'!$A$36,$K$205^A135,IF(A135='Données projet'!$A$36,'Données projet'!$B$36,N134+M135-V134)))</f>
        <v>340.79750000000007</v>
      </c>
      <c r="O135" s="13">
        <f>N135*VLOOKUP('Données projet'!$B$9,Paramètres!$A$1:$I$89,3,0)*VLOOKUP('Données projet'!$B$9,Paramètres!$A$1:$I$89,5,0)</f>
        <v>345.56866500000007</v>
      </c>
      <c r="P135" s="13">
        <f t="shared" si="141"/>
        <v>80.649377789843626</v>
      </c>
      <c r="Q135" s="20">
        <f t="shared" si="108"/>
        <v>742.3297578589777</v>
      </c>
      <c r="R135" s="59">
        <f t="shared" si="109"/>
        <v>1035.663091192311</v>
      </c>
      <c r="S135" s="59">
        <f ca="1">AVERAGE(OFFSET($R$3,0,0,'Données projet'!$E$9+1,1))-AVERAGE(OFFSET($H$3,0,0,'Données projet'!$E$9+1,1))</f>
        <v>543.67050511722618</v>
      </c>
      <c r="T135" s="59">
        <f t="shared" si="142"/>
        <v>249.0871389941106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22.284417285048303</v>
      </c>
      <c r="AA135" s="21">
        <f>EXP(-LN(2)/25)*AA134+(1-EXP(-LN(2)/25))/(LN(2)/25)*Calculateur!V135*Calculateur!X135*VLOOKUP('Données projet'!$B$9,Paramètres!$A$1:$I$89,3,0)*0.475*44/12</f>
        <v>23.304808002764542</v>
      </c>
      <c r="AB135" s="21">
        <f>EXP(-LN(2)/2)*AB134+(1-EXP(-LN(2)/2))/(LN(2)/2)*V135*Y135*VLOOKUP('Données projet'!$B$9,Paramètres!$A$1:$I$89,3,0)*0.475*44/12</f>
        <v>0.51541208898890689</v>
      </c>
      <c r="AC135" s="22">
        <f t="shared" si="111"/>
        <v>46.104637376801755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9.0229999999999961</v>
      </c>
      <c r="AI135" s="13">
        <f>IF('Données projet'!$A$62&gt;35,AI134+AH135-AQ134,IF(A135&lt;'Données projet'!$A$62,$AF$205^A135,IF(A135='Données projet'!$A$62,'Données projet'!$B$62,AI134+AH135-AQ134)))</f>
        <v>466.23400000000083</v>
      </c>
      <c r="AJ135" s="13">
        <f>AI135*VLOOKUP('Données projet'!$B$10,Paramètres!$A$1:$I$89,3,0)*VLOOKUP('Données projet'!$B$10,Paramètres!$A$1:$I$89,5,0)</f>
        <v>421.84852320000078</v>
      </c>
      <c r="AK135" s="13">
        <f t="shared" si="143"/>
        <v>96.192315164348642</v>
      </c>
      <c r="AL135" s="20">
        <f t="shared" si="112"/>
        <v>902.2544601512418</v>
      </c>
      <c r="AM135" s="59">
        <f t="shared" si="113"/>
        <v>1195.5877934845751</v>
      </c>
      <c r="AN135" s="59">
        <f ca="1">AVERAGE(OFFSET($AM$3,0,0,'Données projet'!$E$10+1,1))-AVERAGE(OFFSET($H$3,0,0,'Données projet'!$E$10+1,1))</f>
        <v>635.71275911100679</v>
      </c>
      <c r="AO135" s="59">
        <f t="shared" si="144"/>
        <v>281.7776857269169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32.955376915927189</v>
      </c>
      <c r="AV135" s="21">
        <f>EXP(-LN(2)/25)*AV134+(1-EXP(-LN(2)/25))/(LN(2)/25)*Calculateur!AQ135*Calculateur!AS135*VLOOKUP('Données projet'!$B$10,Paramètres!$A$1:$I$89,3,0)*0.475*44/12</f>
        <v>19.619380782384866</v>
      </c>
      <c r="AW135" s="21">
        <f>EXP(-LN(2)/2)*AW134+(1-EXP(-LN(2)/2))/(LN(2)/2)*AQ135*AT135*VLOOKUP('Données projet'!$B$10,Paramètres!$A$1:$I$89,3,0)*0.475*44/12</f>
        <v>0.31912377109528955</v>
      </c>
      <c r="AX135" s="21">
        <f t="shared" si="114"/>
        <v>52.893881469407347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204.11804238362862</v>
      </c>
      <c r="BJ135" s="59">
        <f t="shared" si="146"/>
        <v>185.53854651509408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3.9342865890744942</v>
      </c>
      <c r="BQ135" s="21">
        <f>EXP(-LN(2)/25)*BQ134+(1-EXP(-LN(2)/25))/(LN(2)/25)*Calculateur!BL135*Calculateur!BN135*VLOOKUP('Données projet'!$B$11,Paramètres!$A$1:$I$89,3,0)*0.475*44/12</f>
        <v>16.65833933061171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20.592625919686206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7.3924999999999983</v>
      </c>
      <c r="BY135" s="12">
        <f>IF('Données projet'!$A$114&gt;35,BY134+BX135-CG134,IF(A135&lt;'Données projet'!$A$114,$BV$205^A135,IF(A135='Données projet'!$A$114,'Données projet'!$B$114,BY134+BX135-CG134)))</f>
        <v>340.79750000000007</v>
      </c>
      <c r="BZ135" s="13">
        <f>BY135*VLOOKUP('Données projet'!$B$12,Paramètres!$A$1:$I$89,3,0)*VLOOKUP('Données projet'!$B$12,Paramètres!$A$1:$I$89,5,0)</f>
        <v>340.25222400000013</v>
      </c>
      <c r="CA135" s="13">
        <f t="shared" si="147"/>
        <v>79.552055247848202</v>
      </c>
      <c r="CB135" s="20">
        <f t="shared" si="118"/>
        <v>731.15911969000251</v>
      </c>
      <c r="CC135" s="59">
        <f t="shared" si="119"/>
        <v>1024.4924530233359</v>
      </c>
      <c r="CD135" s="59">
        <f ca="1">AVERAGE(OFFSET($CC$3,0,0,'Données projet'!$E$12+1,1))-AVERAGE(OFFSET($H$3,0,0,'Données projet'!$E$12+1,1))</f>
        <v>535.99935263833549</v>
      </c>
      <c r="CE135" s="59">
        <f t="shared" si="148"/>
        <v>245.89966477332644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15.672557211462538</v>
      </c>
      <c r="CL135" s="21">
        <f>EXP(-LN(2)/25)*CL134+(1-EXP(-LN(2)/25))/(LN(2)/25)*Calculateur!CG135*Calculateur!CI135*VLOOKUP('Données projet'!$B$12,Paramètres!$A$1:$I$89,3,0)*0.475*44/12</f>
        <v>17.258225269060091</v>
      </c>
      <c r="CM135" s="21">
        <f>EXP(-LN(2)/2)*CM134+(1-EXP(-LN(2)/2))/(LN(2)/2)*CG135*CJ135*VLOOKUP('Données projet'!$B$12,Paramètres!$A$1:$I$89,3,0)*0.475*44/12</f>
        <v>1.268706271054507</v>
      </c>
      <c r="CN135" s="22">
        <f t="shared" si="120"/>
        <v>34.199488751577135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2.5579538487363607E-13</v>
      </c>
      <c r="CU135" s="17">
        <f>CT135*VLOOKUP('Données projet'!$B$13,Paramètres!$A$1:$I$89,3,0)*VLOOKUP('Données projet'!$B$13,Paramètres!$A$1:$I$89,5,0)</f>
        <v>2.4341488824575211E-13</v>
      </c>
      <c r="CV135" s="13">
        <f t="shared" si="149"/>
        <v>3.2970717324875541E-12</v>
      </c>
      <c r="CW135" s="20">
        <f t="shared" si="121"/>
        <v>6.1663475311105072E-12</v>
      </c>
      <c r="CX135" s="59">
        <f t="shared" si="122"/>
        <v>293.33333333333945</v>
      </c>
      <c r="CY135" s="59">
        <f ca="1">AVERAGE(OFFSET($CX$3,0,0,'Données projet'!$E$13+1,1))-AVERAGE(OFFSET($H$3,0,0,'Données projet'!$E$13+1,1))</f>
        <v>449.28947235329758</v>
      </c>
      <c r="CZ135" s="59">
        <f t="shared" si="150"/>
        <v>289.36994109443964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63.580033473496066</v>
      </c>
      <c r="DG135" s="21">
        <f>EXP(-LN(2)/25)*DG134+(1-EXP(-LN(2)/25))/(LN(2)/25)*Calculateur!DB135*Calculateur!DD135*VLOOKUP('Données projet'!$B$13,Paramètres!$A$1:$I$89,3,0)*0.475*44/12</f>
        <v>56.955790712506797</v>
      </c>
      <c r="DH135" s="21">
        <f>EXP(-LN(2)/2)*DH134+(1-EXP(-LN(2)/2))/(LN(2)/2)*DB135*DE135*VLOOKUP('Données projet'!$B$13,Paramètres!$A$1:$I$89,3,0)*0.475*44/12</f>
        <v>17.92557408715685</v>
      </c>
      <c r="DI135" s="22">
        <f t="shared" si="123"/>
        <v>138.46139827315972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5.6843418860808015E-14</v>
      </c>
      <c r="DP135" s="17">
        <f>DO135*VLOOKUP('Données projet'!$B$14,Paramètres!$A$1:$I$89,3,0)*VLOOKUP('Données projet'!$B$14,Paramètres!$A$1:$I$89,5,0)</f>
        <v>4.4337866711430253E-14</v>
      </c>
      <c r="DQ135" s="13">
        <f t="shared" si="151"/>
        <v>7.3222115536967035E-13</v>
      </c>
      <c r="DR135" s="20">
        <f t="shared" si="124"/>
        <v>1.3525069634579169E-12</v>
      </c>
      <c r="DS135" s="59">
        <f t="shared" si="125"/>
        <v>293.33333333333468</v>
      </c>
      <c r="DT135" s="59">
        <f ca="1">AVERAGE(OFFSET($DS$3,0,0,'Données projet'!$E$14+1,1))-AVERAGE(OFFSET($H$3,0,0,'Données projet'!$E$14+1,1))</f>
        <v>288.82868507674738</v>
      </c>
      <c r="DU135" s="59">
        <f t="shared" si="152"/>
        <v>283.48738729114024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12.348099559672859</v>
      </c>
      <c r="EB135" s="21">
        <f>EXP(-LN(2)/25)*EB134+(1-EXP(-LN(2)/25))/(LN(2)/25)*Calculateur!DW135*Calculateur!DY135*VLOOKUP('Données projet'!$B$14,Paramètres!$A$1:$I$89,3,0)*0.475*44/12</f>
        <v>7.3808408558494119</v>
      </c>
      <c r="EC135" s="21">
        <f>EXP(-LN(2)/2)*EC134+(1-EXP(-LN(2)/2))/(LN(2)/2)*DW135*DZ135*VLOOKUP('Données projet'!$B$14,Paramètres!$A$1:$I$89,3,0)*0.475*44/12</f>
        <v>2.0005272193324504E-8</v>
      </c>
      <c r="ED135" s="22">
        <f t="shared" si="126"/>
        <v>19.728940435527544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>
        <f>VLOOKUP(A135,'Données projet'!$A$191:$I$211,2,0)</f>
        <v>340.57</v>
      </c>
      <c r="EH135" s="12">
        <f>VLOOKUP(A135,'Données projet'!$A$191:$I$211,9,0)</f>
        <v>7.1129999999999995</v>
      </c>
      <c r="EI135" s="12">
        <f t="array" ref="EI135">INDEX(EH:EH,MIN(IF(ISNUMBER(EH135:EH331),ROW(EH135:EH331),"")))</f>
        <v>7.1129999999999995</v>
      </c>
      <c r="EJ135" s="12">
        <f>IF('Données projet'!$A$192&gt;35,EJ134+EI135-ER134,IF(A135&lt;'Données projet'!$A$192,$EG$205^A135,IF(A135='Données projet'!$A$192,'Données projet'!$B$192,EJ134+EI135-ER134)))</f>
        <v>340.57000000000005</v>
      </c>
      <c r="EK135" s="17">
        <f>EJ135*VLOOKUP('Données projet'!$B$15,Paramètres!$A$1:$I$89,3,0)*VLOOKUP('Données projet'!$B$15,Paramètres!$A$1:$I$89,5,0)</f>
        <v>329.39930400000009</v>
      </c>
      <c r="EL135" s="13">
        <f t="shared" si="153"/>
        <v>77.305754362445725</v>
      </c>
      <c r="EM135" s="20">
        <f t="shared" si="127"/>
        <v>708.3446433145931</v>
      </c>
      <c r="EN135" s="59">
        <f t="shared" si="128"/>
        <v>1001.6779766479265</v>
      </c>
      <c r="EO135" s="59">
        <f ca="1">AVERAGE(OFFSET($EN$3,0,0,'Données projet'!$E$15+1,1))-AVERAGE(OFFSET($H$3,0,0,'Données projet'!$E$15+1,1))</f>
        <v>510.71380643466227</v>
      </c>
      <c r="EP135" s="59">
        <f t="shared" si="154"/>
        <v>252.40654099948841</v>
      </c>
      <c r="EQ135" s="15">
        <f>IF(ISNA(VLOOKUP(A135,'Données projet'!$A$191:$I$211,3,0)),0,VLOOKUP(A135,'Données projet'!$A$191:$I$211,3,0))</f>
        <v>9</v>
      </c>
      <c r="ER135" s="15">
        <f>IF(ISNA(VLOOKUP(A135,'Données projet'!$A$191:$I$211,4,0)),0,VLOOKUP(A135,'Données projet'!$A$191:$I$211,4,0))</f>
        <v>48.699999999999989</v>
      </c>
      <c r="ES135" s="16">
        <f>IF(ISNA(VLOOKUP(A135,'Données projet'!$A$191:$I$211,5,0)),0%,VLOOKUP(A135,'Données projet'!$A$191:$I$211,5,0)*VLOOKUP('Données projet'!$B$15,Paramètres!$A$1:$I$89,7,0))</f>
        <v>0.1075</v>
      </c>
      <c r="ET135" s="16">
        <f>IF(ISNA(VLOOKUP(A135,'Données projet'!$A$191:$I$211,6,0)),0%,VLOOKUP(A135,'Données projet'!$A$191:$I$211,6,0)*VLOOKUP('Données projet'!$B$15,Paramètres!$A$1:$I$89,7,0))</f>
        <v>0.1075</v>
      </c>
      <c r="EU135" s="16">
        <f>IF(ISNA(VLOOKUP(A135,'Données projet'!$A$191:$I$211,7,0)),0%,VLOOKUP(A135,'Données projet'!$A$191:$I$211,7,0))</f>
        <v>0.25</v>
      </c>
      <c r="EV135" s="21">
        <f>EXP(-LN(2)/35)*EV134+(1-EXP(-LN(2)/35))/(LN(2)/35)*ER135*ES135*VLOOKUP('Données projet'!$B$15,Paramètres!$A$1:$I$89,3,0)*0.475*44/12</f>
        <v>19.871294548095641</v>
      </c>
      <c r="EW135" s="21">
        <f>EXP(-LN(2)/25)*EW134+(1-EXP(-LN(2)/25))/(LN(2)/25)*Calculateur!ER135*Calculateur!ET135*VLOOKUP('Données projet'!$B$15,Paramètres!$A$1:$I$89,3,0)*0.475*44/12</f>
        <v>20.196866509856765</v>
      </c>
      <c r="EX135" s="21">
        <f>EXP(-LN(2)/2)*EX134+(1-EXP(-LN(2)/2))/(LN(2)/2)*ER135*EU135*VLOOKUP('Données projet'!$B$15,Paramètres!$A$1:$I$89,3,0)*0.475*44/12</f>
        <v>11.451094039621999</v>
      </c>
      <c r="EY135" s="22">
        <f t="shared" si="129"/>
        <v>51.519255097574408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7.3924999999999983</v>
      </c>
      <c r="N136" s="13">
        <f>IF('Données projet'!$A$36&gt;35,N135+M136-V135,IF(A136&lt;'Données projet'!$A$36,$K$205^A136,IF(A136='Données projet'!$A$36,'Données projet'!$B$36,N135+M136-V135)))</f>
        <v>348.19000000000005</v>
      </c>
      <c r="O136" s="13">
        <f>N136*VLOOKUP('Données projet'!$B$9,Paramètres!$A$1:$I$89,3,0)*VLOOKUP('Données projet'!$B$9,Paramètres!$A$1:$I$89,5,0)</f>
        <v>353.06466000000012</v>
      </c>
      <c r="P136" s="13">
        <f t="shared" si="141"/>
        <v>82.193236016686797</v>
      </c>
      <c r="Q136" s="20">
        <f t="shared" si="108"/>
        <v>758.0741688957296</v>
      </c>
      <c r="R136" s="59">
        <f t="shared" si="109"/>
        <v>1051.4075022290629</v>
      </c>
      <c r="S136" s="59">
        <f ca="1">AVERAGE(OFFSET($R$3,0,0,'Données projet'!$E$9+1,1))-AVERAGE(OFFSET($H$3,0,0,'Données projet'!$E$9+1,1))</f>
        <v>543.67050511722618</v>
      </c>
      <c r="T136" s="59">
        <f t="shared" si="142"/>
        <v>249.0871389941106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21.847433454240935</v>
      </c>
      <c r="AA136" s="21">
        <f>EXP(-LN(2)/25)*AA135+(1-EXP(-LN(2)/25))/(LN(2)/25)*Calculateur!V136*Calculateur!X136*VLOOKUP('Données projet'!$B$9,Paramètres!$A$1:$I$89,3,0)*0.475*44/12</f>
        <v>22.667536802382358</v>
      </c>
      <c r="AB136" s="21">
        <f>EXP(-LN(2)/2)*AB135+(1-EXP(-LN(2)/2))/(LN(2)/2)*V136*Y136*VLOOKUP('Données projet'!$B$9,Paramètres!$A$1:$I$89,3,0)*0.475*44/12</f>
        <v>0.36445138322958037</v>
      </c>
      <c r="AC136" s="22">
        <f t="shared" si="111"/>
        <v>44.879421639852872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9.0229999999999961</v>
      </c>
      <c r="AI136" s="13">
        <f>IF('Données projet'!$A$62&gt;35,AI135+AH136-AQ135,IF(A136&lt;'Données projet'!$A$62,$AF$205^A136,IF(A136='Données projet'!$A$62,'Données projet'!$B$62,AI135+AH136-AQ135)))</f>
        <v>475.25700000000086</v>
      </c>
      <c r="AJ136" s="13">
        <f>AI136*VLOOKUP('Données projet'!$B$10,Paramètres!$A$1:$I$89,3,0)*VLOOKUP('Données projet'!$B$10,Paramètres!$A$1:$I$89,5,0)</f>
        <v>430.01253360000078</v>
      </c>
      <c r="AK136" s="13">
        <f t="shared" si="143"/>
        <v>97.835389274652726</v>
      </c>
      <c r="AL136" s="20">
        <f t="shared" si="112"/>
        <v>919.33513234002146</v>
      </c>
      <c r="AM136" s="59">
        <f t="shared" si="113"/>
        <v>1212.6684656733548</v>
      </c>
      <c r="AN136" s="59">
        <f ca="1">AVERAGE(OFFSET($AM$3,0,0,'Données projet'!$E$10+1,1))-AVERAGE(OFFSET($H$3,0,0,'Données projet'!$E$10+1,1))</f>
        <v>635.71275911100679</v>
      </c>
      <c r="AO136" s="59">
        <f t="shared" si="144"/>
        <v>281.7776857269169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32.309142075400985</v>
      </c>
      <c r="AV136" s="21">
        <f>EXP(-LN(2)/25)*AV135+(1-EXP(-LN(2)/25))/(LN(2)/25)*Calculateur!AQ136*Calculateur!AS136*VLOOKUP('Données projet'!$B$10,Paramètres!$A$1:$I$89,3,0)*0.475*44/12</f>
        <v>19.082887783152156</v>
      </c>
      <c r="AW136" s="21">
        <f>EXP(-LN(2)/2)*AW135+(1-EXP(-LN(2)/2))/(LN(2)/2)*AQ136*AT136*VLOOKUP('Données projet'!$B$10,Paramètres!$A$1:$I$89,3,0)*0.475*44/12</f>
        <v>0.22565458257930279</v>
      </c>
      <c r="AX136" s="21">
        <f t="shared" si="114"/>
        <v>51.617684441132447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204.11804238362862</v>
      </c>
      <c r="BJ136" s="59">
        <f t="shared" si="146"/>
        <v>185.53854651509408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3.8571376287406141</v>
      </c>
      <c r="BQ136" s="21">
        <f>EXP(-LN(2)/25)*BQ135+(1-EXP(-LN(2)/25))/(LN(2)/25)*Calculateur!BL136*Calculateur!BN136*VLOOKUP('Données projet'!$B$11,Paramètres!$A$1:$I$89,3,0)*0.475*44/12</f>
        <v>16.202816165592139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20.059953794332753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7.3924999999999983</v>
      </c>
      <c r="BY136" s="12">
        <f>IF('Données projet'!$A$114&gt;35,BY135+BX136-CG135,IF(A136&lt;'Données projet'!$A$114,$BV$205^A136,IF(A136='Données projet'!$A$114,'Données projet'!$B$114,BY135+BX136-CG135)))</f>
        <v>348.19000000000005</v>
      </c>
      <c r="BZ136" s="13">
        <f>BY136*VLOOKUP('Données projet'!$B$12,Paramètres!$A$1:$I$89,3,0)*VLOOKUP('Données projet'!$B$12,Paramètres!$A$1:$I$89,5,0)</f>
        <v>347.63289600000007</v>
      </c>
      <c r="CA136" s="13">
        <f t="shared" si="147"/>
        <v>81.074907603593729</v>
      </c>
      <c r="CB136" s="20">
        <f t="shared" si="118"/>
        <v>746.66609127625918</v>
      </c>
      <c r="CC136" s="59">
        <f t="shared" si="119"/>
        <v>1039.9994246095926</v>
      </c>
      <c r="CD136" s="59">
        <f ca="1">AVERAGE(OFFSET($CC$3,0,0,'Données projet'!$E$12+1,1))-AVERAGE(OFFSET($H$3,0,0,'Données projet'!$E$12+1,1))</f>
        <v>535.99935263833549</v>
      </c>
      <c r="CE136" s="59">
        <f t="shared" si="148"/>
        <v>245.89966477332644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15.365227923861752</v>
      </c>
      <c r="CL136" s="21">
        <f>EXP(-LN(2)/25)*CL135+(1-EXP(-LN(2)/25))/(LN(2)/25)*Calculateur!CG136*Calculateur!CI136*VLOOKUP('Données projet'!$B$12,Paramètres!$A$1:$I$89,3,0)*0.475*44/12</f>
        <v>16.786298191507019</v>
      </c>
      <c r="CM136" s="21">
        <f>EXP(-LN(2)/2)*CM135+(1-EXP(-LN(2)/2))/(LN(2)/2)*CG136*CJ136*VLOOKUP('Données projet'!$B$12,Paramètres!$A$1:$I$89,3,0)*0.475*44/12</f>
        <v>0.89711080759653994</v>
      </c>
      <c r="CN136" s="22">
        <f t="shared" si="120"/>
        <v>33.048636922965308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2.5579538487363607E-13</v>
      </c>
      <c r="CU136" s="17">
        <f>CT136*VLOOKUP('Données projet'!$B$13,Paramètres!$A$1:$I$89,3,0)*VLOOKUP('Données projet'!$B$13,Paramètres!$A$1:$I$89,5,0)</f>
        <v>2.4341488824575211E-13</v>
      </c>
      <c r="CV136" s="13">
        <f t="shared" si="149"/>
        <v>3.2970717324875541E-12</v>
      </c>
      <c r="CW136" s="20">
        <f t="shared" si="121"/>
        <v>6.1663475311105072E-12</v>
      </c>
      <c r="CX136" s="59">
        <f t="shared" si="122"/>
        <v>293.33333333333945</v>
      </c>
      <c r="CY136" s="59">
        <f ca="1">AVERAGE(OFFSET($CX$3,0,0,'Données projet'!$E$13+1,1))-AVERAGE(OFFSET($H$3,0,0,'Données projet'!$E$13+1,1))</f>
        <v>449.28947235329758</v>
      </c>
      <c r="CZ136" s="59">
        <f t="shared" si="150"/>
        <v>289.36994109443964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62.333267797072018</v>
      </c>
      <c r="DG136" s="21">
        <f>EXP(-LN(2)/25)*DG135+(1-EXP(-LN(2)/25))/(LN(2)/25)*Calculateur!DB136*Calculateur!DD136*VLOOKUP('Données projet'!$B$13,Paramètres!$A$1:$I$89,3,0)*0.475*44/12</f>
        <v>55.398331620298443</v>
      </c>
      <c r="DH136" s="21">
        <f>EXP(-LN(2)/2)*DH135+(1-EXP(-LN(2)/2))/(LN(2)/2)*DB136*DE136*VLOOKUP('Données projet'!$B$13,Paramètres!$A$1:$I$89,3,0)*0.475*44/12</f>
        <v>12.675294993690466</v>
      </c>
      <c r="DI136" s="22">
        <f t="shared" si="123"/>
        <v>130.40689441106093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5.6843418860808015E-14</v>
      </c>
      <c r="DP136" s="17">
        <f>DO136*VLOOKUP('Données projet'!$B$14,Paramètres!$A$1:$I$89,3,0)*VLOOKUP('Données projet'!$B$14,Paramètres!$A$1:$I$89,5,0)</f>
        <v>4.4337866711430253E-14</v>
      </c>
      <c r="DQ136" s="13">
        <f t="shared" si="151"/>
        <v>7.3222115536967035E-13</v>
      </c>
      <c r="DR136" s="20">
        <f t="shared" si="124"/>
        <v>1.3525069634579169E-12</v>
      </c>
      <c r="DS136" s="59">
        <f t="shared" si="125"/>
        <v>293.33333333333468</v>
      </c>
      <c r="DT136" s="59">
        <f ca="1">AVERAGE(OFFSET($DS$3,0,0,'Données projet'!$E$14+1,1))-AVERAGE(OFFSET($H$3,0,0,'Données projet'!$E$14+1,1))</f>
        <v>288.82868507674738</v>
      </c>
      <c r="DU136" s="59">
        <f t="shared" si="152"/>
        <v>283.48738729114024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12.105960858904721</v>
      </c>
      <c r="EB136" s="21">
        <f>EXP(-LN(2)/25)*EB135+(1-EXP(-LN(2)/25))/(LN(2)/25)*Calculateur!DW136*Calculateur!DY136*VLOOKUP('Données projet'!$B$14,Paramètres!$A$1:$I$89,3,0)*0.475*44/12</f>
        <v>7.1790113745046584</v>
      </c>
      <c r="EC136" s="21">
        <f>EXP(-LN(2)/2)*EC135+(1-EXP(-LN(2)/2))/(LN(2)/2)*DW136*DZ136*VLOOKUP('Données projet'!$B$14,Paramètres!$A$1:$I$89,3,0)*0.475*44/12</f>
        <v>1.4145863627382434E-8</v>
      </c>
      <c r="ED136" s="22">
        <f t="shared" si="126"/>
        <v>19.284972247555245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7.3375000000000012</v>
      </c>
      <c r="EJ136" s="12">
        <f>IF('Données projet'!$A$192&gt;35,EJ135+EI136-ER135,IF(A136&lt;'Données projet'!$A$192,$EG$205^A136,IF(A136='Données projet'!$A$192,'Données projet'!$B$192,EJ135+EI136-ER135)))</f>
        <v>299.20750000000004</v>
      </c>
      <c r="EK136" s="17">
        <f>EJ136*VLOOKUP('Données projet'!$B$15,Paramètres!$A$1:$I$89,3,0)*VLOOKUP('Données projet'!$B$15,Paramètres!$A$1:$I$89,5,0)</f>
        <v>289.39349400000003</v>
      </c>
      <c r="EL136" s="13">
        <f t="shared" si="153"/>
        <v>68.948295794590706</v>
      </c>
      <c r="EM136" s="20">
        <f t="shared" si="127"/>
        <v>624.1119505589121</v>
      </c>
      <c r="EN136" s="59">
        <f t="shared" si="128"/>
        <v>917.44528389224547</v>
      </c>
      <c r="EO136" s="59">
        <f ca="1">AVERAGE(OFFSET($EN$3,0,0,'Données projet'!$E$15+1,1))-AVERAGE(OFFSET($H$3,0,0,'Données projet'!$E$15+1,1))</f>
        <v>510.71380643466227</v>
      </c>
      <c r="EP136" s="59">
        <f t="shared" si="154"/>
        <v>252.40654099948841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19.481630582300379</v>
      </c>
      <c r="EW136" s="21">
        <f>EXP(-LN(2)/25)*EW135+(1-EXP(-LN(2)/25))/(LN(2)/25)*Calculateur!ER136*Calculateur!ET136*VLOOKUP('Données projet'!$B$15,Paramètres!$A$1:$I$89,3,0)*0.475*44/12</f>
        <v>19.644582133037684</v>
      </c>
      <c r="EX136" s="21">
        <f>EXP(-LN(2)/2)*EX135+(1-EXP(-LN(2)/2))/(LN(2)/2)*ER136*EU136*VLOOKUP('Données projet'!$B$15,Paramètres!$A$1:$I$89,3,0)*0.475*44/12</f>
        <v>8.0971462474215716</v>
      </c>
      <c r="EY136" s="22">
        <f t="shared" si="129"/>
        <v>47.223358962759633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7.3924999999999983</v>
      </c>
      <c r="N137" s="13">
        <f>IF('Données projet'!$A$36&gt;35,N136+M137-V136,IF(A137&lt;'Données projet'!$A$36,$K$205^A137,IF(A137='Données projet'!$A$36,'Données projet'!$B$36,N136+M137-V136)))</f>
        <v>355.58250000000004</v>
      </c>
      <c r="O137" s="13">
        <f>N137*VLOOKUP('Données projet'!$B$9,Paramètres!$A$1:$I$89,3,0)*VLOOKUP('Données projet'!$B$9,Paramètres!$A$1:$I$89,5,0)</f>
        <v>360.56065500000005</v>
      </c>
      <c r="P137" s="13">
        <f t="shared" si="141"/>
        <v>83.733283292255123</v>
      </c>
      <c r="Q137" s="20">
        <f t="shared" si="108"/>
        <v>773.81194252567775</v>
      </c>
      <c r="R137" s="59">
        <f t="shared" si="109"/>
        <v>1067.145275859011</v>
      </c>
      <c r="S137" s="59">
        <f ca="1">AVERAGE(OFFSET($R$3,0,0,'Données projet'!$E$9+1,1))-AVERAGE(OFFSET($H$3,0,0,'Données projet'!$E$9+1,1))</f>
        <v>543.67050511722618</v>
      </c>
      <c r="T137" s="59">
        <f t="shared" si="142"/>
        <v>249.0871389941106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21.419018609821883</v>
      </c>
      <c r="AA137" s="21">
        <f>EXP(-LN(2)/25)*AA136+(1-EXP(-LN(2)/25))/(LN(2)/25)*Calculateur!V137*Calculateur!X137*VLOOKUP('Données projet'!$B$9,Paramètres!$A$1:$I$89,3,0)*0.475*44/12</f>
        <v>22.047691816487259</v>
      </c>
      <c r="AB137" s="21">
        <f>EXP(-LN(2)/2)*AB136+(1-EXP(-LN(2)/2))/(LN(2)/2)*V137*Y137*VLOOKUP('Données projet'!$B$9,Paramètres!$A$1:$I$89,3,0)*0.475*44/12</f>
        <v>0.2577060444944535</v>
      </c>
      <c r="AC137" s="22">
        <f t="shared" si="111"/>
        <v>43.724416470803597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9.0229999999999961</v>
      </c>
      <c r="AH137" s="12">
        <f t="array" ref="AH137">INDEX(AG:AG,MIN(IF(ISNUMBER(AG137:AG333),ROW(AG137:AG333),"")))</f>
        <v>9.0229999999999961</v>
      </c>
      <c r="AI137" s="13">
        <f>IF('Données projet'!$A$62&gt;35,AI136+AH137-AQ136,IF(A137&lt;'Données projet'!$A$62,$AF$205^A137,IF(A137='Données projet'!$A$62,'Données projet'!$B$62,AI136+AH137-AQ136)))</f>
        <v>484.28000000000088</v>
      </c>
      <c r="AJ137" s="13">
        <f>AI137*VLOOKUP('Données projet'!$B$10,Paramètres!$A$1:$I$89,3,0)*VLOOKUP('Données projet'!$B$10,Paramètres!$A$1:$I$89,5,0)</f>
        <v>438.17654400000077</v>
      </c>
      <c r="AK137" s="13">
        <f t="shared" si="143"/>
        <v>99.474836110972063</v>
      </c>
      <c r="AL137" s="20">
        <f t="shared" si="112"/>
        <v>936.40948702661092</v>
      </c>
      <c r="AM137" s="59">
        <f t="shared" si="113"/>
        <v>1229.7428203599443</v>
      </c>
      <c r="AN137" s="59">
        <f ca="1">AVERAGE(OFFSET($AM$3,0,0,'Données projet'!$E$10+1,1))-AVERAGE(OFFSET($H$3,0,0,'Données projet'!$E$10+1,1))</f>
        <v>635.71275911100679</v>
      </c>
      <c r="AO137" s="59">
        <f t="shared" si="144"/>
        <v>281.7776857269169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60.779999999999973</v>
      </c>
      <c r="AR137" s="16">
        <f>IF(ISNA(VLOOKUP(A137,'Données projet'!$A$61:$I$81,5,0)),0%,VLOOKUP(A137,'Données projet'!$A$61:$I$81,5,0)*VLOOKUP('Données projet'!$B$10,Paramètres!$A$1:$I$89,7,0))</f>
        <v>0.215</v>
      </c>
      <c r="AS137" s="16">
        <f>IF(ISNA(VLOOKUP(A137,'Données projet'!$A$61:$I$81,6,0)),0%,VLOOKUP(A137,'Données projet'!$A$61:$I$81,6,0)*VLOOKUP('Données projet'!$B$10,Paramètres!$A$1:$I$89,7,0))</f>
        <v>8.6000000000000007E-2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44.746279842031008</v>
      </c>
      <c r="AV137" s="21">
        <f>EXP(-LN(2)/25)*AV136+(1-EXP(-LN(2)/25))/(LN(2)/25)*Calculateur!AQ137*Calculateur!AS137*VLOOKUP('Données projet'!$B$10,Paramètres!$A$1:$I$89,3,0)*0.475*44/12</f>
        <v>23.768759616615345</v>
      </c>
      <c r="AW137" s="21">
        <f>EXP(-LN(2)/2)*AW136+(1-EXP(-LN(2)/2))/(LN(2)/2)*AQ137*AT137*VLOOKUP('Données projet'!$B$10,Paramètres!$A$1:$I$89,3,0)*0.475*44/12</f>
        <v>0.15956188554764478</v>
      </c>
      <c r="AX137" s="21">
        <f t="shared" si="114"/>
        <v>68.674601344194002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204.11804238362862</v>
      </c>
      <c r="BJ137" s="59">
        <f t="shared" si="146"/>
        <v>185.53854651509408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3.7815015124626621</v>
      </c>
      <c r="BQ137" s="21">
        <f>EXP(-LN(2)/25)*BQ136+(1-EXP(-LN(2)/25))/(LN(2)/25)*Calculateur!BL137*Calculateur!BN137*VLOOKUP('Données projet'!$B$11,Paramètres!$A$1:$I$89,3,0)*0.475*44/12</f>
        <v>15.759749305474953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19.541250817937616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7.3924999999999983</v>
      </c>
      <c r="BY137" s="12">
        <f>IF('Données projet'!$A$114&gt;35,BY136+BX137-CG136,IF(A137&lt;'Données projet'!$A$114,$BV$205^A137,IF(A137='Données projet'!$A$114,'Données projet'!$B$114,BY136+BX137-CG136)))</f>
        <v>355.58250000000004</v>
      </c>
      <c r="BZ137" s="13">
        <f>BY137*VLOOKUP('Données projet'!$B$12,Paramètres!$A$1:$I$89,3,0)*VLOOKUP('Données projet'!$B$12,Paramètres!$A$1:$I$89,5,0)</f>
        <v>355.01356800000008</v>
      </c>
      <c r="CA137" s="13">
        <f t="shared" si="147"/>
        <v>82.594000860203309</v>
      </c>
      <c r="CB137" s="20">
        <f t="shared" si="118"/>
        <v>762.16651576485413</v>
      </c>
      <c r="CC137" s="59">
        <f t="shared" si="119"/>
        <v>1055.4998490981875</v>
      </c>
      <c r="CD137" s="59">
        <f ca="1">AVERAGE(OFFSET($CC$3,0,0,'Données projet'!$E$12+1,1))-AVERAGE(OFFSET($H$3,0,0,'Données projet'!$E$12+1,1))</f>
        <v>535.99935263833549</v>
      </c>
      <c r="CE137" s="59">
        <f t="shared" si="148"/>
        <v>245.89966477332644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15.063925176138463</v>
      </c>
      <c r="CL137" s="21">
        <f>EXP(-LN(2)/25)*CL136+(1-EXP(-LN(2)/25))/(LN(2)/25)*Calculateur!CG137*Calculateur!CI137*VLOOKUP('Données projet'!$B$12,Paramètres!$A$1:$I$89,3,0)*0.475*44/12</f>
        <v>16.327275984707203</v>
      </c>
      <c r="CM137" s="21">
        <f>EXP(-LN(2)/2)*CM136+(1-EXP(-LN(2)/2))/(LN(2)/2)*CG137*CJ137*VLOOKUP('Données projet'!$B$12,Paramètres!$A$1:$I$89,3,0)*0.475*44/12</f>
        <v>0.63435313552725359</v>
      </c>
      <c r="CN137" s="22">
        <f t="shared" si="120"/>
        <v>32.025554296372924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2.5579538487363607E-13</v>
      </c>
      <c r="CU137" s="17">
        <f>CT137*VLOOKUP('Données projet'!$B$13,Paramètres!$A$1:$I$89,3,0)*VLOOKUP('Données projet'!$B$13,Paramètres!$A$1:$I$89,5,0)</f>
        <v>2.4341488824575211E-13</v>
      </c>
      <c r="CV137" s="13">
        <f t="shared" si="149"/>
        <v>3.2970717324875541E-12</v>
      </c>
      <c r="CW137" s="20">
        <f t="shared" si="121"/>
        <v>6.1663475311105072E-12</v>
      </c>
      <c r="CX137" s="59">
        <f t="shared" si="122"/>
        <v>293.33333333333945</v>
      </c>
      <c r="CY137" s="59">
        <f ca="1">AVERAGE(OFFSET($CX$3,0,0,'Données projet'!$E$13+1,1))-AVERAGE(OFFSET($H$3,0,0,'Données projet'!$E$13+1,1))</f>
        <v>449.28947235329758</v>
      </c>
      <c r="CZ137" s="59">
        <f t="shared" si="150"/>
        <v>289.36994109443964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61.110950435110674</v>
      </c>
      <c r="DG137" s="21">
        <f>EXP(-LN(2)/25)*DG136+(1-EXP(-LN(2)/25))/(LN(2)/25)*Calculateur!DB137*Calculateur!DD137*VLOOKUP('Données projet'!$B$13,Paramètres!$A$1:$I$89,3,0)*0.475*44/12</f>
        <v>53.883461328869735</v>
      </c>
      <c r="DH137" s="21">
        <f>EXP(-LN(2)/2)*DH136+(1-EXP(-LN(2)/2))/(LN(2)/2)*DB137*DE137*VLOOKUP('Données projet'!$B$13,Paramètres!$A$1:$I$89,3,0)*0.475*44/12</f>
        <v>8.9627870435784267</v>
      </c>
      <c r="DI137" s="22">
        <f t="shared" si="123"/>
        <v>123.95719880755884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5.6843418860808015E-14</v>
      </c>
      <c r="DP137" s="17">
        <f>DO137*VLOOKUP('Données projet'!$B$14,Paramètres!$A$1:$I$89,3,0)*VLOOKUP('Données projet'!$B$14,Paramètres!$A$1:$I$89,5,0)</f>
        <v>4.4337866711430253E-14</v>
      </c>
      <c r="DQ137" s="13">
        <f t="shared" si="151"/>
        <v>7.3222115536967035E-13</v>
      </c>
      <c r="DR137" s="20">
        <f t="shared" si="124"/>
        <v>1.3525069634579169E-12</v>
      </c>
      <c r="DS137" s="59">
        <f t="shared" si="125"/>
        <v>293.33333333333468</v>
      </c>
      <c r="DT137" s="59">
        <f ca="1">AVERAGE(OFFSET($DS$3,0,0,'Données projet'!$E$14+1,1))-AVERAGE(OFFSET($H$3,0,0,'Données projet'!$E$14+1,1))</f>
        <v>288.82868507674738</v>
      </c>
      <c r="DU137" s="59">
        <f t="shared" si="152"/>
        <v>283.48738729114024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11.868570350368623</v>
      </c>
      <c r="EB137" s="21">
        <f>EXP(-LN(2)/25)*EB136+(1-EXP(-LN(2)/25))/(LN(2)/25)*Calculateur!DW137*Calculateur!DY137*VLOOKUP('Données projet'!$B$14,Paramètres!$A$1:$I$89,3,0)*0.475*44/12</f>
        <v>6.9827009309410286</v>
      </c>
      <c r="EC137" s="21">
        <f>EXP(-LN(2)/2)*EC136+(1-EXP(-LN(2)/2))/(LN(2)/2)*DW137*DZ137*VLOOKUP('Données projet'!$B$14,Paramètres!$A$1:$I$89,3,0)*0.475*44/12</f>
        <v>1.0002636096662252E-8</v>
      </c>
      <c r="ED137" s="22">
        <f t="shared" si="126"/>
        <v>18.851271291312287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7.3375000000000012</v>
      </c>
      <c r="EJ137" s="12">
        <f>IF('Données projet'!$A$192&gt;35,EJ136+EI137-ER136,IF(A137&lt;'Données projet'!$A$192,$EG$205^A137,IF(A137='Données projet'!$A$192,'Données projet'!$B$192,EJ136+EI137-ER136)))</f>
        <v>306.54500000000002</v>
      </c>
      <c r="EK137" s="17">
        <f>EJ137*VLOOKUP('Données projet'!$B$15,Paramètres!$A$1:$I$89,3,0)*VLOOKUP('Données projet'!$B$15,Paramètres!$A$1:$I$89,5,0)</f>
        <v>296.49032400000004</v>
      </c>
      <c r="EL137" s="13">
        <f t="shared" si="153"/>
        <v>70.44019741922979</v>
      </c>
      <c r="EM137" s="20">
        <f t="shared" si="127"/>
        <v>639.07065813849192</v>
      </c>
      <c r="EN137" s="59">
        <f t="shared" si="128"/>
        <v>932.40399147182529</v>
      </c>
      <c r="EO137" s="59">
        <f ca="1">AVERAGE(OFFSET($EN$3,0,0,'Données projet'!$E$15+1,1))-AVERAGE(OFFSET($H$3,0,0,'Données projet'!$E$15+1,1))</f>
        <v>510.71380643466227</v>
      </c>
      <c r="EP137" s="59">
        <f t="shared" si="154"/>
        <v>252.40654099948841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19.099607689202813</v>
      </c>
      <c r="EW137" s="21">
        <f>EXP(-LN(2)/25)*EW136+(1-EXP(-LN(2)/25))/(LN(2)/25)*Calculateur!ER137*Calculateur!ET137*VLOOKUP('Données projet'!$B$15,Paramètres!$A$1:$I$89,3,0)*0.475*44/12</f>
        <v>19.107400001546093</v>
      </c>
      <c r="EX137" s="21">
        <f>EXP(-LN(2)/2)*EX136+(1-EXP(-LN(2)/2))/(LN(2)/2)*ER137*EU137*VLOOKUP('Données projet'!$B$15,Paramètres!$A$1:$I$89,3,0)*0.475*44/12</f>
        <v>5.7255470198109997</v>
      </c>
      <c r="EY137" s="22">
        <f t="shared" si="129"/>
        <v>43.932554710559913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7.3924999999999983</v>
      </c>
      <c r="N138" s="13">
        <f>IF('Données projet'!$A$36&gt;35,N137+M138-V137,IF(A138&lt;'Données projet'!$A$36,$K$205^A138,IF(A138='Données projet'!$A$36,'Données projet'!$B$36,N137+M138-V137)))</f>
        <v>362.97500000000002</v>
      </c>
      <c r="O138" s="13">
        <f>N138*VLOOKUP('Données projet'!$B$9,Paramètres!$A$1:$I$89,3,0)*VLOOKUP('Données projet'!$B$9,Paramètres!$A$1:$I$89,5,0)</f>
        <v>368.05665000000005</v>
      </c>
      <c r="P138" s="13">
        <f t="shared" si="141"/>
        <v>85.269607973753878</v>
      </c>
      <c r="Q138" s="20">
        <f t="shared" si="108"/>
        <v>789.54323263762137</v>
      </c>
      <c r="R138" s="59">
        <f t="shared" si="109"/>
        <v>1082.8765659709547</v>
      </c>
      <c r="S138" s="59">
        <f ca="1">AVERAGE(OFFSET($R$3,0,0,'Données projet'!$E$9+1,1))-AVERAGE(OFFSET($H$3,0,0,'Données projet'!$E$9+1,1))</f>
        <v>543.67050511722618</v>
      </c>
      <c r="T138" s="59">
        <f t="shared" si="142"/>
        <v>249.0871389941106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20.999004719194634</v>
      </c>
      <c r="AA138" s="21">
        <f>EXP(-LN(2)/25)*AA137+(1-EXP(-LN(2)/25))/(LN(2)/25)*Calculateur!V138*Calculateur!X138*VLOOKUP('Données projet'!$B$9,Paramètres!$A$1:$I$89,3,0)*0.475*44/12</f>
        <v>21.444796524327693</v>
      </c>
      <c r="AB138" s="21">
        <f>EXP(-LN(2)/2)*AB137+(1-EXP(-LN(2)/2))/(LN(2)/2)*V138*Y138*VLOOKUP('Données projet'!$B$9,Paramètres!$A$1:$I$89,3,0)*0.475*44/12</f>
        <v>0.18222569161479021</v>
      </c>
      <c r="AC138" s="22">
        <f t="shared" si="111"/>
        <v>42.626026935137119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9.1440000000000055</v>
      </c>
      <c r="AI138" s="13">
        <f>IF('Données projet'!$A$62&gt;35,AI137+AH138-AQ137,IF(A138&lt;'Données projet'!$A$62,$AF$205^A138,IF(A138='Données projet'!$A$62,'Données projet'!$B$62,AI137+AH138-AQ137)))</f>
        <v>432.64400000000091</v>
      </c>
      <c r="AJ138" s="13">
        <f>AI138*VLOOKUP('Données projet'!$B$10,Paramètres!$A$1:$I$89,3,0)*VLOOKUP('Données projet'!$B$10,Paramètres!$A$1:$I$89,5,0)</f>
        <v>391.45629120000086</v>
      </c>
      <c r="AK138" s="13">
        <f t="shared" si="143"/>
        <v>90.042388870129827</v>
      </c>
      <c r="AL138" s="20">
        <f t="shared" si="112"/>
        <v>838.6102011221443</v>
      </c>
      <c r="AM138" s="59">
        <f t="shared" si="113"/>
        <v>1131.9435344554777</v>
      </c>
      <c r="AN138" s="59">
        <f ca="1">AVERAGE(OFFSET($AM$3,0,0,'Données projet'!$E$10+1,1))-AVERAGE(OFFSET($H$3,0,0,'Données projet'!$E$10+1,1))</f>
        <v>635.71275911100679</v>
      </c>
      <c r="AO138" s="59">
        <f t="shared" si="144"/>
        <v>281.7776857269169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43.868832586864571</v>
      </c>
      <c r="AV138" s="21">
        <f>EXP(-LN(2)/25)*AV137+(1-EXP(-LN(2)/25))/(LN(2)/25)*Calculateur!AQ138*Calculateur!AS138*VLOOKUP('Données projet'!$B$10,Paramètres!$A$1:$I$89,3,0)*0.475*44/12</f>
        <v>23.118801634954256</v>
      </c>
      <c r="AW138" s="21">
        <f>EXP(-LN(2)/2)*AW137+(1-EXP(-LN(2)/2))/(LN(2)/2)*AQ138*AT138*VLOOKUP('Données projet'!$B$10,Paramètres!$A$1:$I$89,3,0)*0.475*44/12</f>
        <v>0.1128272912896514</v>
      </c>
      <c r="AX138" s="21">
        <f t="shared" si="114"/>
        <v>67.100461513108471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204.11804238362862</v>
      </c>
      <c r="BJ138" s="59">
        <f t="shared" si="146"/>
        <v>185.53854651509408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3.7073485742914452</v>
      </c>
      <c r="BQ138" s="21">
        <f>EXP(-LN(2)/25)*BQ137+(1-EXP(-LN(2)/25))/(LN(2)/25)*Calculateur!BL138*Calculateur!BN138*VLOOKUP('Données projet'!$B$11,Paramètres!$A$1:$I$89,3,0)*0.475*44/12</f>
        <v>15.328798131947543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19.036146706238988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7.3924999999999983</v>
      </c>
      <c r="BY138" s="12">
        <f>IF('Données projet'!$A$114&gt;35,BY137+BX138-CG137,IF(A138&lt;'Données projet'!$A$114,$BV$205^A138,IF(A138='Données projet'!$A$114,'Données projet'!$B$114,BY137+BX138-CG137)))</f>
        <v>362.97500000000002</v>
      </c>
      <c r="BZ138" s="13">
        <f>BY138*VLOOKUP('Données projet'!$B$12,Paramètres!$A$1:$I$89,3,0)*VLOOKUP('Données projet'!$B$12,Paramètres!$A$1:$I$89,5,0)</f>
        <v>362.39424000000008</v>
      </c>
      <c r="CA138" s="13">
        <f t="shared" si="147"/>
        <v>84.109422172686365</v>
      </c>
      <c r="CB138" s="20">
        <f t="shared" si="118"/>
        <v>777.6605449507623</v>
      </c>
      <c r="CC138" s="59">
        <f t="shared" si="119"/>
        <v>1070.9938782840957</v>
      </c>
      <c r="CD138" s="59">
        <f ca="1">AVERAGE(OFFSET($CC$3,0,0,'Données projet'!$E$12+1,1))-AVERAGE(OFFSET($H$3,0,0,'Données projet'!$E$12+1,1))</f>
        <v>535.99935263833549</v>
      </c>
      <c r="CE138" s="59">
        <f t="shared" si="148"/>
        <v>245.89966477332644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14.768530791521497</v>
      </c>
      <c r="CL138" s="21">
        <f>EXP(-LN(2)/25)*CL137+(1-EXP(-LN(2)/25))/(LN(2)/25)*Calculateur!CG138*Calculateur!CI138*VLOOKUP('Données projet'!$B$12,Paramètres!$A$1:$I$89,3,0)*0.475*44/12</f>
        <v>15.880805764291257</v>
      </c>
      <c r="CM138" s="21">
        <f>EXP(-LN(2)/2)*CM137+(1-EXP(-LN(2)/2))/(LN(2)/2)*CG138*CJ138*VLOOKUP('Données projet'!$B$12,Paramètres!$A$1:$I$89,3,0)*0.475*44/12</f>
        <v>0.44855540379827008</v>
      </c>
      <c r="CN138" s="22">
        <f t="shared" si="120"/>
        <v>31.097891959611022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2.5579538487363607E-13</v>
      </c>
      <c r="CU138" s="17">
        <f>CT138*VLOOKUP('Données projet'!$B$13,Paramètres!$A$1:$I$89,3,0)*VLOOKUP('Données projet'!$B$13,Paramètres!$A$1:$I$89,5,0)</f>
        <v>2.4341488824575211E-13</v>
      </c>
      <c r="CV138" s="13">
        <f t="shared" si="149"/>
        <v>3.2970717324875541E-12</v>
      </c>
      <c r="CW138" s="20">
        <f t="shared" si="121"/>
        <v>6.1663475311105072E-12</v>
      </c>
      <c r="CX138" s="59">
        <f t="shared" si="122"/>
        <v>293.33333333333945</v>
      </c>
      <c r="CY138" s="59">
        <f ca="1">AVERAGE(OFFSET($CX$3,0,0,'Données projet'!$E$13+1,1))-AVERAGE(OFFSET($H$3,0,0,'Données projet'!$E$13+1,1))</f>
        <v>449.28947235329758</v>
      </c>
      <c r="CZ138" s="59">
        <f t="shared" si="150"/>
        <v>289.36994109443964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59.912601971077414</v>
      </c>
      <c r="DG138" s="21">
        <f>EXP(-LN(2)/25)*DG137+(1-EXP(-LN(2)/25))/(LN(2)/25)*Calculateur!DB138*Calculateur!DD138*VLOOKUP('Données projet'!$B$13,Paramètres!$A$1:$I$89,3,0)*0.475*44/12</f>
        <v>52.410015245223711</v>
      </c>
      <c r="DH138" s="21">
        <f>EXP(-LN(2)/2)*DH137+(1-EXP(-LN(2)/2))/(LN(2)/2)*DB138*DE138*VLOOKUP('Données projet'!$B$13,Paramètres!$A$1:$I$89,3,0)*0.475*44/12</f>
        <v>6.3376474968452339</v>
      </c>
      <c r="DI138" s="22">
        <f t="shared" si="123"/>
        <v>118.66026471314636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5.6843418860808015E-14</v>
      </c>
      <c r="DP138" s="17">
        <f>DO138*VLOOKUP('Données projet'!$B$14,Paramètres!$A$1:$I$89,3,0)*VLOOKUP('Données projet'!$B$14,Paramètres!$A$1:$I$89,5,0)</f>
        <v>4.4337866711430253E-14</v>
      </c>
      <c r="DQ138" s="13">
        <f t="shared" si="151"/>
        <v>7.3222115536967035E-13</v>
      </c>
      <c r="DR138" s="20">
        <f t="shared" si="124"/>
        <v>1.3525069634579169E-12</v>
      </c>
      <c r="DS138" s="59">
        <f t="shared" si="125"/>
        <v>293.33333333333468</v>
      </c>
      <c r="DT138" s="59">
        <f ca="1">AVERAGE(OFFSET($DS$3,0,0,'Données projet'!$E$14+1,1))-AVERAGE(OFFSET($H$3,0,0,'Données projet'!$E$14+1,1))</f>
        <v>288.82868507674738</v>
      </c>
      <c r="DU138" s="59">
        <f t="shared" si="152"/>
        <v>283.48738729114024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11.635834924911006</v>
      </c>
      <c r="EB138" s="21">
        <f>EXP(-LN(2)/25)*EB137+(1-EXP(-LN(2)/25))/(LN(2)/25)*Calculateur!DW138*Calculateur!DY138*VLOOKUP('Données projet'!$B$14,Paramètres!$A$1:$I$89,3,0)*0.475*44/12</f>
        <v>6.7917586067801636</v>
      </c>
      <c r="EC138" s="21">
        <f>EXP(-LN(2)/2)*EC137+(1-EXP(-LN(2)/2))/(LN(2)/2)*DW138*DZ138*VLOOKUP('Données projet'!$B$14,Paramètres!$A$1:$I$89,3,0)*0.475*44/12</f>
        <v>7.0729318136912169E-9</v>
      </c>
      <c r="ED138" s="22">
        <f t="shared" si="126"/>
        <v>18.4275935387641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7.3375000000000012</v>
      </c>
      <c r="EJ138" s="12">
        <f>IF('Données projet'!$A$192&gt;35,EJ137+EI138-ER137,IF(A138&lt;'Données projet'!$A$192,$EG$205^A138,IF(A138='Données projet'!$A$192,'Données projet'!$B$192,EJ137+EI138-ER137)))</f>
        <v>313.88249999999999</v>
      </c>
      <c r="EK138" s="17">
        <f>EJ138*VLOOKUP('Données projet'!$B$15,Paramètres!$A$1:$I$89,3,0)*VLOOKUP('Données projet'!$B$15,Paramètres!$A$1:$I$89,5,0)</f>
        <v>303.587154</v>
      </c>
      <c r="EL138" s="13">
        <f t="shared" si="153"/>
        <v>71.927947725812388</v>
      </c>
      <c r="EM138" s="20">
        <f t="shared" si="127"/>
        <v>654.02213550578983</v>
      </c>
      <c r="EN138" s="59">
        <f t="shared" si="128"/>
        <v>947.3554688391232</v>
      </c>
      <c r="EO138" s="59">
        <f ca="1">AVERAGE(OFFSET($EN$3,0,0,'Données projet'!$E$15+1,1))-AVERAGE(OFFSET($H$3,0,0,'Données projet'!$E$15+1,1))</f>
        <v>510.71380643466227</v>
      </c>
      <c r="EP138" s="59">
        <f t="shared" si="154"/>
        <v>252.40654099948841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18.725076032027932</v>
      </c>
      <c r="EW138" s="21">
        <f>EXP(-LN(2)/25)*EW137+(1-EXP(-LN(2)/25))/(LN(2)/25)*Calculateur!ER138*Calculateur!ET138*VLOOKUP('Données projet'!$B$15,Paramètres!$A$1:$I$89,3,0)*0.475*44/12</f>
        <v>18.584907143689321</v>
      </c>
      <c r="EX138" s="21">
        <f>EXP(-LN(2)/2)*EX137+(1-EXP(-LN(2)/2))/(LN(2)/2)*ER138*EU138*VLOOKUP('Données projet'!$B$15,Paramètres!$A$1:$I$89,3,0)*0.475*44/12</f>
        <v>4.0485731237107858</v>
      </c>
      <c r="EY138" s="22">
        <f t="shared" si="129"/>
        <v>41.358556299428038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7.3924999999999983</v>
      </c>
      <c r="N139" s="13">
        <f>IF('Données projet'!$A$36&gt;35,N138+M139-V138,IF(A139&lt;'Données projet'!$A$36,$K$205^A139,IF(A139='Données projet'!$A$36,'Données projet'!$B$36,N138+M139-V138)))</f>
        <v>370.36750000000001</v>
      </c>
      <c r="O139" s="13">
        <f>N139*VLOOKUP('Données projet'!$B$9,Paramètres!$A$1:$I$89,3,0)*VLOOKUP('Données projet'!$B$9,Paramètres!$A$1:$I$89,5,0)</f>
        <v>375.55264500000004</v>
      </c>
      <c r="P139" s="13">
        <f t="shared" si="141"/>
        <v>86.802294613606321</v>
      </c>
      <c r="Q139" s="20">
        <f t="shared" si="108"/>
        <v>805.26818649369761</v>
      </c>
      <c r="R139" s="59">
        <f t="shared" si="109"/>
        <v>1098.6015198270309</v>
      </c>
      <c r="S139" s="59">
        <f ca="1">AVERAGE(OFFSET($R$3,0,0,'Données projet'!$E$9+1,1))-AVERAGE(OFFSET($H$3,0,0,'Données projet'!$E$9+1,1))</f>
        <v>543.67050511722618</v>
      </c>
      <c r="T139" s="59">
        <f t="shared" si="142"/>
        <v>249.0871389941106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20.587227044779407</v>
      </c>
      <c r="AA139" s="21">
        <f>EXP(-LN(2)/25)*AA138+(1-EXP(-LN(2)/25))/(LN(2)/25)*Calculateur!V139*Calculateur!X139*VLOOKUP('Données projet'!$B$9,Paramètres!$A$1:$I$89,3,0)*0.475*44/12</f>
        <v>20.858387435637116</v>
      </c>
      <c r="AB139" s="21">
        <f>EXP(-LN(2)/2)*AB138+(1-EXP(-LN(2)/2))/(LN(2)/2)*V139*Y139*VLOOKUP('Données projet'!$B$9,Paramètres!$A$1:$I$89,3,0)*0.475*44/12</f>
        <v>0.12885302224722675</v>
      </c>
      <c r="AC139" s="22">
        <f t="shared" si="111"/>
        <v>41.574467502663751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9.1440000000000055</v>
      </c>
      <c r="AI139" s="13">
        <f>IF('Données projet'!$A$62&gt;35,AI138+AH139-AQ138,IF(A139&lt;'Données projet'!$A$62,$AF$205^A139,IF(A139='Données projet'!$A$62,'Données projet'!$B$62,AI138+AH139-AQ138)))</f>
        <v>441.78800000000092</v>
      </c>
      <c r="AJ139" s="13">
        <f>AI139*VLOOKUP('Données projet'!$B$10,Paramètres!$A$1:$I$89,3,0)*VLOOKUP('Données projet'!$B$10,Paramètres!$A$1:$I$89,5,0)</f>
        <v>399.72978240000077</v>
      </c>
      <c r="AK139" s="13">
        <f t="shared" si="143"/>
        <v>91.721880595341759</v>
      </c>
      <c r="AL139" s="20">
        <f t="shared" si="112"/>
        <v>855.94497971688827</v>
      </c>
      <c r="AM139" s="59">
        <f t="shared" si="113"/>
        <v>1149.2783130502216</v>
      </c>
      <c r="AN139" s="59">
        <f ca="1">AVERAGE(OFFSET($AM$3,0,0,'Données projet'!$E$10+1,1))-AVERAGE(OFFSET($H$3,0,0,'Données projet'!$E$10+1,1))</f>
        <v>635.71275911100679</v>
      </c>
      <c r="AO139" s="59">
        <f t="shared" si="144"/>
        <v>281.7776857269169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43.008591537181964</v>
      </c>
      <c r="AV139" s="21">
        <f>EXP(-LN(2)/25)*AV138+(1-EXP(-LN(2)/25))/(LN(2)/25)*Calculateur!AQ139*Calculateur!AS139*VLOOKUP('Données projet'!$B$10,Paramètres!$A$1:$I$89,3,0)*0.475*44/12</f>
        <v>22.486616788481491</v>
      </c>
      <c r="AW139" s="21">
        <f>EXP(-LN(2)/2)*AW138+(1-EXP(-LN(2)/2))/(LN(2)/2)*AQ139*AT139*VLOOKUP('Données projet'!$B$10,Paramètres!$A$1:$I$89,3,0)*0.475*44/12</f>
        <v>7.9780942773822389E-2</v>
      </c>
      <c r="AX139" s="21">
        <f t="shared" si="114"/>
        <v>65.574989268437278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204.11804238362862</v>
      </c>
      <c r="BJ139" s="59">
        <f t="shared" si="146"/>
        <v>185.53854651509408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3.6346497300089395</v>
      </c>
      <c r="BQ139" s="21">
        <f>EXP(-LN(2)/25)*BQ138+(1-EXP(-LN(2)/25))/(LN(2)/25)*Calculateur!BL139*Calculateur!BN139*VLOOKUP('Données projet'!$B$11,Paramètres!$A$1:$I$89,3,0)*0.475*44/12</f>
        <v>14.909631340922978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18.544281070931916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7.3924999999999983</v>
      </c>
      <c r="BY139" s="12">
        <f>IF('Données projet'!$A$114&gt;35,BY138+BX139-CG138,IF(A139&lt;'Données projet'!$A$114,$BV$205^A139,IF(A139='Données projet'!$A$114,'Données projet'!$B$114,BY138+BX139-CG138)))</f>
        <v>370.36750000000001</v>
      </c>
      <c r="BZ139" s="13">
        <f>BY139*VLOOKUP('Données projet'!$B$12,Paramètres!$A$1:$I$89,3,0)*VLOOKUP('Données projet'!$B$12,Paramètres!$A$1:$I$89,5,0)</f>
        <v>369.77491200000003</v>
      </c>
      <c r="CA139" s="13">
        <f t="shared" si="147"/>
        <v>85.621254943038323</v>
      </c>
      <c r="CB139" s="20">
        <f t="shared" si="118"/>
        <v>793.14832409245844</v>
      </c>
      <c r="CC139" s="59">
        <f t="shared" si="119"/>
        <v>1086.4816574257918</v>
      </c>
      <c r="CD139" s="59">
        <f ca="1">AVERAGE(OFFSET($CC$3,0,0,'Données projet'!$E$12+1,1))-AVERAGE(OFFSET($H$3,0,0,'Données projet'!$E$12+1,1))</f>
        <v>535.99935263833549</v>
      </c>
      <c r="CE139" s="59">
        <f t="shared" si="148"/>
        <v>245.89966477332644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14.478928910614085</v>
      </c>
      <c r="CL139" s="21">
        <f>EXP(-LN(2)/25)*CL138+(1-EXP(-LN(2)/25))/(LN(2)/25)*Calculateur!CG139*Calculateur!CI139*VLOOKUP('Données projet'!$B$12,Paramètres!$A$1:$I$89,3,0)*0.475*44/12</f>
        <v>15.446544295531433</v>
      </c>
      <c r="CM139" s="21">
        <f>EXP(-LN(2)/2)*CM138+(1-EXP(-LN(2)/2))/(LN(2)/2)*CG139*CJ139*VLOOKUP('Données projet'!$B$12,Paramètres!$A$1:$I$89,3,0)*0.475*44/12</f>
        <v>0.31717656776362685</v>
      </c>
      <c r="CN139" s="22">
        <f t="shared" si="120"/>
        <v>30.242649773909147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2.5579538487363607E-13</v>
      </c>
      <c r="CU139" s="17">
        <f>CT139*VLOOKUP('Données projet'!$B$13,Paramètres!$A$1:$I$89,3,0)*VLOOKUP('Données projet'!$B$13,Paramètres!$A$1:$I$89,5,0)</f>
        <v>2.4341488824575211E-13</v>
      </c>
      <c r="CV139" s="13">
        <f t="shared" si="149"/>
        <v>3.2970717324875541E-12</v>
      </c>
      <c r="CW139" s="20">
        <f t="shared" si="121"/>
        <v>6.1663475311105072E-12</v>
      </c>
      <c r="CX139" s="59">
        <f t="shared" si="122"/>
        <v>293.33333333333945</v>
      </c>
      <c r="CY139" s="59">
        <f ca="1">AVERAGE(OFFSET($CX$3,0,0,'Données projet'!$E$13+1,1))-AVERAGE(OFFSET($H$3,0,0,'Données projet'!$E$13+1,1))</f>
        <v>449.28947235329758</v>
      </c>
      <c r="CZ139" s="59">
        <f t="shared" si="150"/>
        <v>289.36994109443964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58.737752389503463</v>
      </c>
      <c r="DG139" s="21">
        <f>EXP(-LN(2)/25)*DG138+(1-EXP(-LN(2)/25))/(LN(2)/25)*Calculateur!DB139*Calculateur!DD139*VLOOKUP('Données projet'!$B$13,Paramètres!$A$1:$I$89,3,0)*0.475*44/12</f>
        <v>50.976860622220151</v>
      </c>
      <c r="DH139" s="21">
        <f>EXP(-LN(2)/2)*DH138+(1-EXP(-LN(2)/2))/(LN(2)/2)*DB139*DE139*VLOOKUP('Données projet'!$B$13,Paramètres!$A$1:$I$89,3,0)*0.475*44/12</f>
        <v>4.4813935217892134</v>
      </c>
      <c r="DI139" s="22">
        <f t="shared" si="123"/>
        <v>114.19600653351283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5.6843418860808015E-14</v>
      </c>
      <c r="DP139" s="17">
        <f>DO139*VLOOKUP('Données projet'!$B$14,Paramètres!$A$1:$I$89,3,0)*VLOOKUP('Données projet'!$B$14,Paramètres!$A$1:$I$89,5,0)</f>
        <v>4.4337866711430253E-14</v>
      </c>
      <c r="DQ139" s="13">
        <f t="shared" si="151"/>
        <v>7.3222115536967035E-13</v>
      </c>
      <c r="DR139" s="20">
        <f t="shared" si="124"/>
        <v>1.3525069634579169E-12</v>
      </c>
      <c r="DS139" s="59">
        <f t="shared" si="125"/>
        <v>293.33333333333468</v>
      </c>
      <c r="DT139" s="59">
        <f ca="1">AVERAGE(OFFSET($DS$3,0,0,'Données projet'!$E$14+1,1))-AVERAGE(OFFSET($H$3,0,0,'Données projet'!$E$14+1,1))</f>
        <v>288.82868507674738</v>
      </c>
      <c r="DU139" s="59">
        <f t="shared" si="152"/>
        <v>283.48738729114024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11.407663299192018</v>
      </c>
      <c r="EB139" s="21">
        <f>EXP(-LN(2)/25)*EB138+(1-EXP(-LN(2)/25))/(LN(2)/25)*Calculateur!DW139*Calculateur!DY139*VLOOKUP('Données projet'!$B$14,Paramètres!$A$1:$I$89,3,0)*0.475*44/12</f>
        <v>6.6060376105146981</v>
      </c>
      <c r="EC139" s="21">
        <f>EXP(-LN(2)/2)*EC138+(1-EXP(-LN(2)/2))/(LN(2)/2)*DW139*DZ139*VLOOKUP('Données projet'!$B$14,Paramètres!$A$1:$I$89,3,0)*0.475*44/12</f>
        <v>5.0013180483311259E-9</v>
      </c>
      <c r="ED139" s="22">
        <f t="shared" si="126"/>
        <v>18.013700914708036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7.3375000000000012</v>
      </c>
      <c r="EJ139" s="12">
        <f>IF('Données projet'!$A$192&gt;35,EJ138+EI139-ER138,IF(A139&lt;'Données projet'!$A$192,$EG$205^A139,IF(A139='Données projet'!$A$192,'Données projet'!$B$192,EJ138+EI139-ER138)))</f>
        <v>321.21999999999997</v>
      </c>
      <c r="EK139" s="17">
        <f>EJ139*VLOOKUP('Données projet'!$B$15,Paramètres!$A$1:$I$89,3,0)*VLOOKUP('Données projet'!$B$15,Paramètres!$A$1:$I$89,5,0)</f>
        <v>310.68398400000001</v>
      </c>
      <c r="EL139" s="13">
        <f t="shared" si="153"/>
        <v>73.411654926502464</v>
      </c>
      <c r="EM139" s="20">
        <f t="shared" si="127"/>
        <v>668.96657113032506</v>
      </c>
      <c r="EN139" s="59">
        <f t="shared" si="128"/>
        <v>962.29990446365832</v>
      </c>
      <c r="EO139" s="59">
        <f ca="1">AVERAGE(OFFSET($EN$3,0,0,'Données projet'!$E$15+1,1))-AVERAGE(OFFSET($H$3,0,0,'Données projet'!$E$15+1,1))</f>
        <v>510.71380643466227</v>
      </c>
      <c r="EP139" s="59">
        <f t="shared" si="154"/>
        <v>252.40654099948841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18.357888712208496</v>
      </c>
      <c r="EW139" s="21">
        <f>EXP(-LN(2)/25)*EW138+(1-EXP(-LN(2)/25))/(LN(2)/25)*Calculateur!ER139*Calculateur!ET139*VLOOKUP('Données projet'!$B$15,Paramètres!$A$1:$I$89,3,0)*0.475*44/12</f>
        <v>18.076701880507347</v>
      </c>
      <c r="EX139" s="21">
        <f>EXP(-LN(2)/2)*EX138+(1-EXP(-LN(2)/2))/(LN(2)/2)*ER139*EU139*VLOOKUP('Données projet'!$B$15,Paramètres!$A$1:$I$89,3,0)*0.475*44/12</f>
        <v>2.8627735099054998</v>
      </c>
      <c r="EY139" s="22">
        <f t="shared" si="129"/>
        <v>39.297364102621344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>
        <f>VLOOKUP(A140,'Données projet'!$A$35:$I$55,2,0)</f>
        <v>377.76</v>
      </c>
      <c r="L140" s="12">
        <f>VLOOKUP(A140,'Données projet'!$A$35:$I$55,9,0)</f>
        <v>7.3924999999999983</v>
      </c>
      <c r="M140" s="12">
        <f t="array" ref="M140">INDEX(L:L,MIN(IF(ISNUMBER(L140:L336),ROW(L140:L336),"")))</f>
        <v>7.3924999999999983</v>
      </c>
      <c r="N140" s="13">
        <f>IF('Données projet'!$A$36&gt;35,N139+M140-V139,IF(A140&lt;'Données projet'!$A$36,$K$205^A140,IF(A140='Données projet'!$A$36,'Données projet'!$B$36,N139+M140-V139)))</f>
        <v>377.76</v>
      </c>
      <c r="O140" s="13">
        <f>N140*VLOOKUP('Données projet'!$B$9,Paramètres!$A$1:$I$89,3,0)*VLOOKUP('Données projet'!$B$9,Paramètres!$A$1:$I$89,5,0)</f>
        <v>383.04864000000003</v>
      </c>
      <c r="P140" s="13">
        <f t="shared" si="141"/>
        <v>88.331424195911154</v>
      </c>
      <c r="Q140" s="20">
        <f t="shared" si="108"/>
        <v>820.98694514121189</v>
      </c>
      <c r="R140" s="59">
        <f t="shared" si="109"/>
        <v>1114.3202784745451</v>
      </c>
      <c r="S140" s="59">
        <f ca="1">AVERAGE(OFFSET($R$3,0,0,'Données projet'!$E$9+1,1))-AVERAGE(OFFSET($H$3,0,0,'Données projet'!$E$9+1,1))</f>
        <v>543.67050511722618</v>
      </c>
      <c r="T140" s="59">
        <f t="shared" si="142"/>
        <v>249.0871389941106</v>
      </c>
      <c r="U140" s="15">
        <f>IF(ISNA(VLOOKUP(A140,'Données projet'!$A$35:$I$55,3,0)),0,VLOOKUP(A140,'Données projet'!$A$35:$I$55,3,0))</f>
        <v>10</v>
      </c>
      <c r="V140" s="15">
        <f>IF(ISNA(VLOOKUP(A140,'Données projet'!$A$35:$I$55,4,0)),0,VLOOKUP(A140,'Données projet'!$A$35:$I$55,4,0))</f>
        <v>57.71999999999997</v>
      </c>
      <c r="W140" s="16">
        <f>IF(ISNA(VLOOKUP(A140,'Données projet'!$A$35:$I$55,5,0)),0%,VLOOKUP(A140,'Données projet'!$A$35:$I$55,5,0)*VLOOKUP('Données projet'!$B$9,Paramètres!$A$1:$I$89,7,0))</f>
        <v>0.15049999999999999</v>
      </c>
      <c r="X140" s="16">
        <f>IF(ISNA(VLOOKUP(A140,'Données projet'!$A$35:$I$55,6,0)),0%,VLOOKUP(A140,'Données projet'!$A$35:$I$55,6,0)*VLOOKUP('Données projet'!$B$9,Paramètres!$A$1:$I$89,7,0))</f>
        <v>8.6000000000000007E-2</v>
      </c>
      <c r="Y140" s="16">
        <f>IF(ISNA(VLOOKUP(A140,'Données projet'!$A$35:$I$55,7,0)),0%,VLOOKUP(A140,'Données projet'!$A$35:$I$55,7,0))</f>
        <v>0.1</v>
      </c>
      <c r="Z140" s="21">
        <f>EXP(-LN(2)/35)*Z139+(1-EXP(-LN(2)/35))/(LN(2)/35)*V140*W140*VLOOKUP('Données projet'!$B$9,Paramètres!$A$1:$I$89,3,0)*0.475*44/12</f>
        <v>29.921033430445576</v>
      </c>
      <c r="AA140" s="21">
        <f>EXP(-LN(2)/25)*AA139+(1-EXP(-LN(2)/25))/(LN(2)/25)*Calculateur!V140*Calculateur!X140*VLOOKUP('Données projet'!$B$9,Paramètres!$A$1:$I$89,3,0)*0.475*44/12</f>
        <v>25.830396057999657</v>
      </c>
      <c r="AB140" s="21">
        <f>EXP(-LN(2)/2)*AB139+(1-EXP(-LN(2)/2))/(LN(2)/2)*V140*Y140*VLOOKUP('Données projet'!$B$9,Paramètres!$A$1:$I$89,3,0)*0.475*44/12</f>
        <v>5.6133947198251271</v>
      </c>
      <c r="AC140" s="22">
        <f t="shared" si="111"/>
        <v>61.364824208270363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9.1440000000000055</v>
      </c>
      <c r="AI140" s="13">
        <f>IF('Données projet'!$A$62&gt;35,AI139+AH140-AQ139,IF(A140&lt;'Données projet'!$A$62,$AF$205^A140,IF(A140='Données projet'!$A$62,'Données projet'!$B$62,AI139+AH140-AQ139)))</f>
        <v>450.93200000000093</v>
      </c>
      <c r="AJ140" s="13">
        <f>AI140*VLOOKUP('Données projet'!$B$10,Paramètres!$A$1:$I$89,3,0)*VLOOKUP('Données projet'!$B$10,Paramètres!$A$1:$I$89,5,0)</f>
        <v>408.00327360000085</v>
      </c>
      <c r="AK140" s="13">
        <f t="shared" si="143"/>
        <v>93.397330631669121</v>
      </c>
      <c r="AL140" s="20">
        <f t="shared" si="112"/>
        <v>873.27271903682515</v>
      </c>
      <c r="AM140" s="59">
        <f t="shared" si="113"/>
        <v>1166.6060523701585</v>
      </c>
      <c r="AN140" s="59">
        <f ca="1">AVERAGE(OFFSET($AM$3,0,0,'Données projet'!$E$10+1,1))-AVERAGE(OFFSET($H$3,0,0,'Données projet'!$E$10+1,1))</f>
        <v>635.71275911100679</v>
      </c>
      <c r="AO140" s="59">
        <f t="shared" si="144"/>
        <v>281.7776857269169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42.165219289788404</v>
      </c>
      <c r="AV140" s="21">
        <f>EXP(-LN(2)/25)*AV139+(1-EXP(-LN(2)/25))/(LN(2)/25)*Calculateur!AQ140*Calculateur!AS140*VLOOKUP('Données projet'!$B$10,Paramètres!$A$1:$I$89,3,0)*0.475*44/12</f>
        <v>21.871719069880683</v>
      </c>
      <c r="AW140" s="21">
        <f>EXP(-LN(2)/2)*AW139+(1-EXP(-LN(2)/2))/(LN(2)/2)*AQ140*AT140*VLOOKUP('Données projet'!$B$10,Paramètres!$A$1:$I$89,3,0)*0.475*44/12</f>
        <v>5.6413645644825698E-2</v>
      </c>
      <c r="AX140" s="21">
        <f t="shared" si="114"/>
        <v>64.093352005313903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204.11804238362862</v>
      </c>
      <c r="BJ140" s="59">
        <f t="shared" si="146"/>
        <v>185.53854651509408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3.5633764657208973</v>
      </c>
      <c r="BQ140" s="21">
        <f>EXP(-LN(2)/25)*BQ139+(1-EXP(-LN(2)/25))/(LN(2)/25)*Calculateur!BL140*Calculateur!BN140*VLOOKUP('Données projet'!$B$11,Paramètres!$A$1:$I$89,3,0)*0.475*44/12</f>
        <v>14.501926687842003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18.065303153562901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>
        <f>VLOOKUP(A140,'Données projet'!$A$113:$I$133,2,0)</f>
        <v>377.76</v>
      </c>
      <c r="BW140" s="12">
        <f>VLOOKUP(A140,'Données projet'!$A$113:$I$133,9,0)</f>
        <v>7.3924999999999983</v>
      </c>
      <c r="BX140" s="12">
        <f t="array" ref="BX140">INDEX(BW:BW,MIN(IF(ISNUMBER(BW140:BW336),ROW(BW140:BW336),"")))</f>
        <v>7.3924999999999983</v>
      </c>
      <c r="BY140" s="12">
        <f>IF('Données projet'!$A$114&gt;35,BY139+BX140-CG139,IF(A140&lt;'Données projet'!$A$114,$BV$205^A140,IF(A140='Données projet'!$A$114,'Données projet'!$B$114,BY139+BX140-CG139)))</f>
        <v>377.76</v>
      </c>
      <c r="BZ140" s="13">
        <f>BY140*VLOOKUP('Données projet'!$B$12,Paramètres!$A$1:$I$89,3,0)*VLOOKUP('Données projet'!$B$12,Paramètres!$A$1:$I$89,5,0)</f>
        <v>377.15558400000003</v>
      </c>
      <c r="CA140" s="13">
        <f t="shared" si="147"/>
        <v>87.129579053481066</v>
      </c>
      <c r="CB140" s="20">
        <f t="shared" si="118"/>
        <v>808.62999231814626</v>
      </c>
      <c r="CC140" s="59">
        <f t="shared" si="119"/>
        <v>1101.9633256514796</v>
      </c>
      <c r="CD140" s="59">
        <f ca="1">AVERAGE(OFFSET($CC$3,0,0,'Données projet'!$E$12+1,1))-AVERAGE(OFFSET($H$3,0,0,'Données projet'!$E$12+1,1))</f>
        <v>535.99935263833549</v>
      </c>
      <c r="CE140" s="59">
        <f t="shared" si="148"/>
        <v>245.89966477332644</v>
      </c>
      <c r="CF140" s="15">
        <f>IF(ISNA(VLOOKUP(A140,'Données projet'!$A$113:$I$133,3,0)),0,VLOOKUP(A140,'Données projet'!$A$113:$I$133,3,0))</f>
        <v>10</v>
      </c>
      <c r="CG140" s="15">
        <f>IF(ISNA(VLOOKUP(A140,'Données projet'!$A$113:$I$133,4,0)),0,VLOOKUP(A140,'Données projet'!$A$113:$I$133,4,0))</f>
        <v>57.71999999999997</v>
      </c>
      <c r="CH140" s="16">
        <f>IF(ISNA(VLOOKUP(A140,'Données projet'!$A$113:$I$133,5,0)),0%,VLOOKUP(A140,'Données projet'!$A$113:$I$133,5,0)*VLOOKUP('Données projet'!$B$12,Paramètres!$A$1:$I$89,7,0))</f>
        <v>0.1075</v>
      </c>
      <c r="CI140" s="16">
        <f>IF(ISNA(VLOOKUP(A140,'Données projet'!$A$113:$I$133,6,0)),0%,VLOOKUP(A140,'Données projet'!$A$113:$I$133,6,0)*VLOOKUP('Données projet'!$B$12,Paramètres!$A$1:$I$89,7,0))</f>
        <v>0.1075</v>
      </c>
      <c r="CJ140" s="16">
        <f>IF(ISNA(VLOOKUP(A140,'Données projet'!$A$113:$I$133,7,0)),0%,VLOOKUP(A140,'Données projet'!$A$113:$I$133,7,0))</f>
        <v>0.25</v>
      </c>
      <c r="CK140" s="21">
        <f>EXP(-LN(2)/35)*CK139+(1-EXP(-LN(2)/35))/(LN(2)/35)*CG140*CH140*VLOOKUP('Données projet'!$B$12,Paramètres!$A$1:$I$89,3,0)*0.475*44/12</f>
        <v>21.043364170862819</v>
      </c>
      <c r="CL140" s="21">
        <f>EXP(-LN(2)/25)*CL139+(1-EXP(-LN(2)/25))/(LN(2)/25)*Calculateur!CG140*Calculateur!CI140*VLOOKUP('Données projet'!$B$12,Paramètres!$A$1:$I$89,3,0)*0.475*44/12</f>
        <v>21.845551358622387</v>
      </c>
      <c r="CM140" s="21">
        <f>EXP(-LN(2)/2)*CM139+(1-EXP(-LN(2)/2))/(LN(2)/2)*CG140*CJ140*VLOOKUP('Données projet'!$B$12,Paramètres!$A$1:$I$89,3,0)*0.475*44/12</f>
        <v>13.817586930250471</v>
      </c>
      <c r="CN140" s="22">
        <f t="shared" si="120"/>
        <v>56.706502459735674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2.5579538487363607E-13</v>
      </c>
      <c r="CU140" s="17">
        <f>CT140*VLOOKUP('Données projet'!$B$13,Paramètres!$A$1:$I$89,3,0)*VLOOKUP('Données projet'!$B$13,Paramètres!$A$1:$I$89,5,0)</f>
        <v>2.4341488824575211E-13</v>
      </c>
      <c r="CV140" s="13">
        <f t="shared" si="149"/>
        <v>3.2970717324875541E-12</v>
      </c>
      <c r="CW140" s="20">
        <f t="shared" si="121"/>
        <v>6.1663475311105072E-12</v>
      </c>
      <c r="CX140" s="59">
        <f t="shared" si="122"/>
        <v>293.33333333333945</v>
      </c>
      <c r="CY140" s="59">
        <f ca="1">AVERAGE(OFFSET($CX$3,0,0,'Données projet'!$E$13+1,1))-AVERAGE(OFFSET($H$3,0,0,'Données projet'!$E$13+1,1))</f>
        <v>449.28947235329758</v>
      </c>
      <c r="CZ140" s="59">
        <f t="shared" si="150"/>
        <v>289.36994109443964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57.585940891636682</v>
      </c>
      <c r="DG140" s="21">
        <f>EXP(-LN(2)/25)*DG139+(1-EXP(-LN(2)/25))/(LN(2)/25)*Calculateur!DB140*Calculateur!DD140*VLOOKUP('Données projet'!$B$13,Paramètres!$A$1:$I$89,3,0)*0.475*44/12</f>
        <v>49.582895687748952</v>
      </c>
      <c r="DH140" s="21">
        <f>EXP(-LN(2)/2)*DH139+(1-EXP(-LN(2)/2))/(LN(2)/2)*DB140*DE140*VLOOKUP('Données projet'!$B$13,Paramètres!$A$1:$I$89,3,0)*0.475*44/12</f>
        <v>3.1688237484226169</v>
      </c>
      <c r="DI140" s="22">
        <f t="shared" si="123"/>
        <v>110.33766032780825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5.6843418860808015E-14</v>
      </c>
      <c r="DP140" s="17">
        <f>DO140*VLOOKUP('Données projet'!$B$14,Paramètres!$A$1:$I$89,3,0)*VLOOKUP('Données projet'!$B$14,Paramètres!$A$1:$I$89,5,0)</f>
        <v>4.4337866711430253E-14</v>
      </c>
      <c r="DQ140" s="13">
        <f t="shared" si="151"/>
        <v>7.3222115536967035E-13</v>
      </c>
      <c r="DR140" s="20">
        <f t="shared" si="124"/>
        <v>1.3525069634579169E-12</v>
      </c>
      <c r="DS140" s="59">
        <f t="shared" si="125"/>
        <v>293.33333333333468</v>
      </c>
      <c r="DT140" s="59">
        <f ca="1">AVERAGE(OFFSET($DS$3,0,0,'Données projet'!$E$14+1,1))-AVERAGE(OFFSET($H$3,0,0,'Données projet'!$E$14+1,1))</f>
        <v>288.82868507674738</v>
      </c>
      <c r="DU140" s="59">
        <f t="shared" si="152"/>
        <v>283.48738729114024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11.183965979882432</v>
      </c>
      <c r="EB140" s="21">
        <f>EXP(-LN(2)/25)*EB139+(1-EXP(-LN(2)/25))/(LN(2)/25)*Calculateur!DW140*Calculateur!DY140*VLOOKUP('Données projet'!$B$14,Paramètres!$A$1:$I$89,3,0)*0.475*44/12</f>
        <v>6.4253951646587542</v>
      </c>
      <c r="EC140" s="21">
        <f>EXP(-LN(2)/2)*EC139+(1-EXP(-LN(2)/2))/(LN(2)/2)*DW140*DZ140*VLOOKUP('Données projet'!$B$14,Paramètres!$A$1:$I$89,3,0)*0.475*44/12</f>
        <v>3.5364659068456084E-9</v>
      </c>
      <c r="ED140" s="22">
        <f t="shared" si="126"/>
        <v>17.609361148077653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7.3375000000000012</v>
      </c>
      <c r="EJ140" s="12">
        <f>IF('Données projet'!$A$192&gt;35,EJ139+EI140-ER139,IF(A140&lt;'Données projet'!$A$192,$EG$205^A140,IF(A140='Données projet'!$A$192,'Données projet'!$B$192,EJ139+EI140-ER139)))</f>
        <v>328.55749999999995</v>
      </c>
      <c r="EK140" s="17">
        <f>EJ140*VLOOKUP('Données projet'!$B$15,Paramètres!$A$1:$I$89,3,0)*VLOOKUP('Données projet'!$B$15,Paramètres!$A$1:$I$89,5,0)</f>
        <v>317.78081399999996</v>
      </c>
      <c r="EL140" s="13">
        <f t="shared" si="153"/>
        <v>74.891422007628094</v>
      </c>
      <c r="EM140" s="20">
        <f t="shared" si="127"/>
        <v>683.90414437995207</v>
      </c>
      <c r="EN140" s="59">
        <f t="shared" si="128"/>
        <v>977.23747771328544</v>
      </c>
      <c r="EO140" s="59">
        <f ca="1">AVERAGE(OFFSET($EN$3,0,0,'Données projet'!$E$15+1,1))-AVERAGE(OFFSET($H$3,0,0,'Données projet'!$E$15+1,1))</f>
        <v>510.71380643466227</v>
      </c>
      <c r="EP140" s="59">
        <f t="shared" si="154"/>
        <v>252.40654099948841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17.99790171176857</v>
      </c>
      <c r="EW140" s="21">
        <f>EXP(-LN(2)/25)*EW139+(1-EXP(-LN(2)/25))/(LN(2)/25)*Calculateur!ER140*Calculateur!ET140*VLOOKUP('Données projet'!$B$15,Paramètres!$A$1:$I$89,3,0)*0.475*44/12</f>
        <v>17.582393516972438</v>
      </c>
      <c r="EX140" s="21">
        <f>EXP(-LN(2)/2)*EX139+(1-EXP(-LN(2)/2))/(LN(2)/2)*ER140*EU140*VLOOKUP('Données projet'!$B$15,Paramètres!$A$1:$I$89,3,0)*0.475*44/12</f>
        <v>2.0242865618553929</v>
      </c>
      <c r="EY140" s="22">
        <f t="shared" si="129"/>
        <v>37.604581790596399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7.6233333333333304</v>
      </c>
      <c r="N141" s="13">
        <f>IF('Données projet'!$A$36&gt;35,N140+M141-V140,IF(A141&lt;'Données projet'!$A$36,$K$205^A141,IF(A141='Données projet'!$A$36,'Données projet'!$B$36,N140+M141-V140)))</f>
        <v>327.66333333333336</v>
      </c>
      <c r="O141" s="13">
        <f>N141*VLOOKUP('Données projet'!$B$9,Paramètres!$A$1:$I$89,3,0)*VLOOKUP('Données projet'!$B$9,Paramètres!$A$1:$I$89,5,0)</f>
        <v>332.25062000000008</v>
      </c>
      <c r="P141" s="13">
        <f t="shared" si="141"/>
        <v>77.896733376397435</v>
      </c>
      <c r="Q141" s="20">
        <f t="shared" si="108"/>
        <v>714.33997379722575</v>
      </c>
      <c r="R141" s="59">
        <f t="shared" si="109"/>
        <v>1007.6733071305591</v>
      </c>
      <c r="S141" s="59">
        <f ca="1">AVERAGE(OFFSET($R$3,0,0,'Données projet'!$E$9+1,1))-AVERAGE(OFFSET($H$3,0,0,'Données projet'!$E$9+1,1))</f>
        <v>543.67050511722618</v>
      </c>
      <c r="T141" s="59">
        <f t="shared" si="142"/>
        <v>249.0871389941106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29.334300214902889</v>
      </c>
      <c r="AA141" s="21">
        <f>EXP(-LN(2)/25)*AA140+(1-EXP(-LN(2)/25))/(LN(2)/25)*Calculateur!V141*Calculateur!X141*VLOOKUP('Données projet'!$B$9,Paramètres!$A$1:$I$89,3,0)*0.475*44/12</f>
        <v>25.124062519432165</v>
      </c>
      <c r="AB141" s="21">
        <f>EXP(-LN(2)/2)*AB140+(1-EXP(-LN(2)/2))/(LN(2)/2)*V141*Y141*VLOOKUP('Données projet'!$B$9,Paramètres!$A$1:$I$89,3,0)*0.475*44/12</f>
        <v>3.9692694718651076</v>
      </c>
      <c r="AC141" s="22">
        <f t="shared" si="111"/>
        <v>58.427632206200158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9.1440000000000055</v>
      </c>
      <c r="AI141" s="13">
        <f>IF('Données projet'!$A$62&gt;35,AI140+AH141-AQ140,IF(A141&lt;'Données projet'!$A$62,$AF$205^A141,IF(A141='Données projet'!$A$62,'Données projet'!$B$62,AI140+AH141-AQ140)))</f>
        <v>460.07600000000093</v>
      </c>
      <c r="AJ141" s="13">
        <f>AI141*VLOOKUP('Données projet'!$B$10,Paramètres!$A$1:$I$89,3,0)*VLOOKUP('Données projet'!$B$10,Paramètres!$A$1:$I$89,5,0)</f>
        <v>416.27676480000082</v>
      </c>
      <c r="AK141" s="13">
        <f t="shared" si="143"/>
        <v>95.068830381071379</v>
      </c>
      <c r="AL141" s="20">
        <f t="shared" si="112"/>
        <v>890.5935782737007</v>
      </c>
      <c r="AM141" s="59">
        <f t="shared" si="113"/>
        <v>1183.9269116070341</v>
      </c>
      <c r="AN141" s="59">
        <f ca="1">AVERAGE(OFFSET($AM$3,0,0,'Données projet'!$E$10+1,1))-AVERAGE(OFFSET($H$3,0,0,'Données projet'!$E$10+1,1))</f>
        <v>635.71275911100679</v>
      </c>
      <c r="AO141" s="59">
        <f t="shared" si="144"/>
        <v>281.7776857269169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41.338385057759957</v>
      </c>
      <c r="AV141" s="21">
        <f>EXP(-LN(2)/25)*AV140+(1-EXP(-LN(2)/25))/(LN(2)/25)*Calculateur!AQ141*Calculateur!AS141*VLOOKUP('Données projet'!$B$10,Paramètres!$A$1:$I$89,3,0)*0.475*44/12</f>
        <v>21.273635761731079</v>
      </c>
      <c r="AW141" s="21">
        <f>EXP(-LN(2)/2)*AW140+(1-EXP(-LN(2)/2))/(LN(2)/2)*AQ141*AT141*VLOOKUP('Données projet'!$B$10,Paramètres!$A$1:$I$89,3,0)*0.475*44/12</f>
        <v>3.9890471386911194E-2</v>
      </c>
      <c r="AX141" s="21">
        <f t="shared" si="114"/>
        <v>62.651911290877948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204.11804238362862</v>
      </c>
      <c r="BJ141" s="59">
        <f t="shared" si="146"/>
        <v>185.53854651509408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3.4935008266731447</v>
      </c>
      <c r="BQ141" s="21">
        <f>EXP(-LN(2)/25)*BQ140+(1-EXP(-LN(2)/25))/(LN(2)/25)*Calculateur!BL141*Calculateur!BN141*VLOOKUP('Données projet'!$B$11,Paramètres!$A$1:$I$89,3,0)*0.475*44/12</f>
        <v>14.105370739939783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17.598871566612928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7.6233333333333304</v>
      </c>
      <c r="BY141" s="12">
        <f>IF('Données projet'!$A$114&gt;35,BY140+BX141-CG140,IF(A141&lt;'Données projet'!$A$114,$BV$205^A141,IF(A141='Données projet'!$A$114,'Données projet'!$B$114,BY140+BX141-CG140)))</f>
        <v>327.66333333333336</v>
      </c>
      <c r="BZ141" s="13">
        <f>BY141*VLOOKUP('Données projet'!$B$12,Paramètres!$A$1:$I$89,3,0)*VLOOKUP('Données projet'!$B$12,Paramètres!$A$1:$I$89,5,0)</f>
        <v>327.13907200000006</v>
      </c>
      <c r="CA141" s="13">
        <f t="shared" si="147"/>
        <v>76.836863556887351</v>
      </c>
      <c r="CB141" s="20">
        <f t="shared" si="118"/>
        <v>703.59142109491222</v>
      </c>
      <c r="CC141" s="59">
        <f t="shared" si="119"/>
        <v>996.92475442824548</v>
      </c>
      <c r="CD141" s="59">
        <f ca="1">AVERAGE(OFFSET($CC$3,0,0,'Données projet'!$E$12+1,1))-AVERAGE(OFFSET($H$3,0,0,'Données projet'!$E$12+1,1))</f>
        <v>535.99935263833549</v>
      </c>
      <c r="CE141" s="59">
        <f t="shared" si="148"/>
        <v>245.89966477332644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20.630716634656974</v>
      </c>
      <c r="CL141" s="21">
        <f>EXP(-LN(2)/25)*CL140+(1-EXP(-LN(2)/25))/(LN(2)/25)*Calculateur!CG141*Calculateur!CI141*VLOOKUP('Données projet'!$B$12,Paramètres!$A$1:$I$89,3,0)*0.475*44/12</f>
        <v>21.248183607913241</v>
      </c>
      <c r="CM141" s="21">
        <f>EXP(-LN(2)/2)*CM140+(1-EXP(-LN(2)/2))/(LN(2)/2)*CG141*CJ141*VLOOKUP('Données projet'!$B$12,Paramètres!$A$1:$I$89,3,0)*0.475*44/12</f>
        <v>9.7705094180147185</v>
      </c>
      <c r="CN141" s="22">
        <f t="shared" si="120"/>
        <v>51.649409660584929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2.5579538487363607E-13</v>
      </c>
      <c r="CU141" s="17">
        <f>CT141*VLOOKUP('Données projet'!$B$13,Paramètres!$A$1:$I$89,3,0)*VLOOKUP('Données projet'!$B$13,Paramètres!$A$1:$I$89,5,0)</f>
        <v>2.4341488824575211E-13</v>
      </c>
      <c r="CV141" s="13">
        <f t="shared" si="149"/>
        <v>3.2970717324875541E-12</v>
      </c>
      <c r="CW141" s="20">
        <f t="shared" si="121"/>
        <v>6.1663475311105072E-12</v>
      </c>
      <c r="CX141" s="59">
        <f t="shared" si="122"/>
        <v>293.33333333333945</v>
      </c>
      <c r="CY141" s="59">
        <f ca="1">AVERAGE(OFFSET($CX$3,0,0,'Données projet'!$E$13+1,1))-AVERAGE(OFFSET($H$3,0,0,'Données projet'!$E$13+1,1))</f>
        <v>449.28947235329758</v>
      </c>
      <c r="CZ141" s="59">
        <f t="shared" si="150"/>
        <v>289.36994109443964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56.456715714707428</v>
      </c>
      <c r="DG141" s="21">
        <f>EXP(-LN(2)/25)*DG140+(1-EXP(-LN(2)/25))/(LN(2)/25)*Calculateur!DB141*Calculateur!DD141*VLOOKUP('Données projet'!$B$13,Paramètres!$A$1:$I$89,3,0)*0.475*44/12</f>
        <v>48.227048797716293</v>
      </c>
      <c r="DH141" s="21">
        <f>EXP(-LN(2)/2)*DH140+(1-EXP(-LN(2)/2))/(LN(2)/2)*DB141*DE141*VLOOKUP('Données projet'!$B$13,Paramètres!$A$1:$I$89,3,0)*0.475*44/12</f>
        <v>2.2406967608946067</v>
      </c>
      <c r="DI141" s="22">
        <f t="shared" si="123"/>
        <v>106.92446127331833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5.6843418860808015E-14</v>
      </c>
      <c r="DP141" s="17">
        <f>DO141*VLOOKUP('Données projet'!$B$14,Paramètres!$A$1:$I$89,3,0)*VLOOKUP('Données projet'!$B$14,Paramètres!$A$1:$I$89,5,0)</f>
        <v>4.4337866711430253E-14</v>
      </c>
      <c r="DQ141" s="13">
        <f t="shared" si="151"/>
        <v>7.3222115536967035E-13</v>
      </c>
      <c r="DR141" s="20">
        <f t="shared" si="124"/>
        <v>1.3525069634579169E-12</v>
      </c>
      <c r="DS141" s="59">
        <f t="shared" si="125"/>
        <v>293.33333333333468</v>
      </c>
      <c r="DT141" s="59">
        <f ca="1">AVERAGE(OFFSET($DS$3,0,0,'Données projet'!$E$14+1,1))-AVERAGE(OFFSET($H$3,0,0,'Données projet'!$E$14+1,1))</f>
        <v>288.82868507674738</v>
      </c>
      <c r="DU141" s="59">
        <f t="shared" si="152"/>
        <v>283.48738729114024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10.964655228562613</v>
      </c>
      <c r="EB141" s="21">
        <f>EXP(-LN(2)/25)*EB140+(1-EXP(-LN(2)/25))/(LN(2)/25)*Calculateur!DW141*Calculateur!DY141*VLOOKUP('Données projet'!$B$14,Paramètres!$A$1:$I$89,3,0)*0.475*44/12</f>
        <v>6.2496923959843143</v>
      </c>
      <c r="EC141" s="21">
        <f>EXP(-LN(2)/2)*EC140+(1-EXP(-LN(2)/2))/(LN(2)/2)*DW141*DZ141*VLOOKUP('Données projet'!$B$14,Paramètres!$A$1:$I$89,3,0)*0.475*44/12</f>
        <v>2.500659024165563E-9</v>
      </c>
      <c r="ED141" s="22">
        <f t="shared" si="126"/>
        <v>17.214347627047587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7.3375000000000012</v>
      </c>
      <c r="EJ141" s="12">
        <f>IF('Données projet'!$A$192&gt;35,EJ140+EI141-ER140,IF(A141&lt;'Données projet'!$A$192,$EG$205^A141,IF(A141='Données projet'!$A$192,'Données projet'!$B$192,EJ140+EI141-ER140)))</f>
        <v>335.89499999999992</v>
      </c>
      <c r="EK141" s="17">
        <f>EJ141*VLOOKUP('Données projet'!$B$15,Paramètres!$A$1:$I$89,3,0)*VLOOKUP('Données projet'!$B$15,Paramètres!$A$1:$I$89,5,0)</f>
        <v>324.87764399999998</v>
      </c>
      <c r="EL141" s="13">
        <f t="shared" si="153"/>
        <v>76.367347093032635</v>
      </c>
      <c r="EM141" s="20">
        <f t="shared" si="127"/>
        <v>698.83502615369832</v>
      </c>
      <c r="EN141" s="59">
        <f t="shared" si="128"/>
        <v>992.16835948703169</v>
      </c>
      <c r="EO141" s="59">
        <f ca="1">AVERAGE(OFFSET($EN$3,0,0,'Données projet'!$E$15+1,1))-AVERAGE(OFFSET($H$3,0,0,'Données projet'!$E$15+1,1))</f>
        <v>510.71380643466227</v>
      </c>
      <c r="EP141" s="59">
        <f t="shared" si="154"/>
        <v>252.40654099948841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17.644973836836883</v>
      </c>
      <c r="EW141" s="21">
        <f>EXP(-LN(2)/25)*EW140+(1-EXP(-LN(2)/25))/(LN(2)/25)*Calculateur!ER141*Calculateur!ET141*VLOOKUP('Données projet'!$B$15,Paramètres!$A$1:$I$89,3,0)*0.475*44/12</f>
        <v>17.101602041632937</v>
      </c>
      <c r="EX141" s="21">
        <f>EXP(-LN(2)/2)*EX140+(1-EXP(-LN(2)/2))/(LN(2)/2)*ER141*EU141*VLOOKUP('Données projet'!$B$15,Paramètres!$A$1:$I$89,3,0)*0.475*44/12</f>
        <v>1.4313867549527499</v>
      </c>
      <c r="EY141" s="22">
        <f t="shared" si="129"/>
        <v>36.177962633422567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7.6233333333333304</v>
      </c>
      <c r="N142" s="13">
        <f>IF('Données projet'!$A$36&gt;35,N141+M142-V141,IF(A142&lt;'Données projet'!$A$36,$K$205^A142,IF(A142='Données projet'!$A$36,'Données projet'!$B$36,N141+M142-V141)))</f>
        <v>335.28666666666669</v>
      </c>
      <c r="O142" s="13">
        <f>N142*VLOOKUP('Données projet'!$B$9,Paramètres!$A$1:$I$89,3,0)*VLOOKUP('Données projet'!$B$9,Paramètres!$A$1:$I$89,5,0)</f>
        <v>339.98068000000006</v>
      </c>
      <c r="P142" s="13">
        <f t="shared" si="141"/>
        <v>79.495954774272647</v>
      </c>
      <c r="Q142" s="20">
        <f t="shared" si="108"/>
        <v>730.5884722318583</v>
      </c>
      <c r="R142" s="59">
        <f t="shared" si="109"/>
        <v>1023.9218055651916</v>
      </c>
      <c r="S142" s="59">
        <f ca="1">AVERAGE(OFFSET($R$3,0,0,'Données projet'!$E$9+1,1))-AVERAGE(OFFSET($H$3,0,0,'Données projet'!$E$9+1,1))</f>
        <v>543.67050511722618</v>
      </c>
      <c r="T142" s="59">
        <f t="shared" si="142"/>
        <v>249.0871389941106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28.75907247984507</v>
      </c>
      <c r="AA142" s="21">
        <f>EXP(-LN(2)/25)*AA141+(1-EXP(-LN(2)/25))/(LN(2)/25)*Calculateur!V142*Calculateur!X142*VLOOKUP('Données projet'!$B$9,Paramètres!$A$1:$I$89,3,0)*0.475*44/12</f>
        <v>24.437043708621268</v>
      </c>
      <c r="AB142" s="21">
        <f>EXP(-LN(2)/2)*AB141+(1-EXP(-LN(2)/2))/(LN(2)/2)*V142*Y142*VLOOKUP('Données projet'!$B$9,Paramètres!$A$1:$I$89,3,0)*0.475*44/12</f>
        <v>2.806697359912564</v>
      </c>
      <c r="AC142" s="22">
        <f t="shared" si="111"/>
        <v>56.002813548378896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9.1440000000000055</v>
      </c>
      <c r="AI142" s="13">
        <f>IF('Données projet'!$A$62&gt;35,AI141+AH142-AQ141,IF(A142&lt;'Données projet'!$A$62,$AF$205^A142,IF(A142='Données projet'!$A$62,'Données projet'!$B$62,AI141+AH142-AQ141)))</f>
        <v>469.22000000000094</v>
      </c>
      <c r="AJ142" s="13">
        <f>AI142*VLOOKUP('Données projet'!$B$10,Paramètres!$A$1:$I$89,3,0)*VLOOKUP('Données projet'!$B$10,Paramètres!$A$1:$I$89,5,0)</f>
        <v>424.55025600000084</v>
      </c>
      <c r="AK142" s="13">
        <f t="shared" si="143"/>
        <v>96.736467404516418</v>
      </c>
      <c r="AL142" s="20">
        <f t="shared" si="112"/>
        <v>907.90770992953412</v>
      </c>
      <c r="AM142" s="59">
        <f t="shared" si="113"/>
        <v>1201.2410432628674</v>
      </c>
      <c r="AN142" s="59">
        <f ca="1">AVERAGE(OFFSET($AM$3,0,0,'Données projet'!$E$10+1,1))-AVERAGE(OFFSET($H$3,0,0,'Données projet'!$E$10+1,1))</f>
        <v>635.71275911100679</v>
      </c>
      <c r="AO142" s="59">
        <f t="shared" si="144"/>
        <v>281.7776857269169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40.527764540702499</v>
      </c>
      <c r="AV142" s="21">
        <f>EXP(-LN(2)/25)*AV141+(1-EXP(-LN(2)/25))/(LN(2)/25)*Calculateur!AQ142*Calculateur!AS142*VLOOKUP('Données projet'!$B$10,Paramètres!$A$1:$I$89,3,0)*0.475*44/12</f>
        <v>20.691907073094658</v>
      </c>
      <c r="AW142" s="21">
        <f>EXP(-LN(2)/2)*AW141+(1-EXP(-LN(2)/2))/(LN(2)/2)*AQ142*AT142*VLOOKUP('Données projet'!$B$10,Paramètres!$A$1:$I$89,3,0)*0.475*44/12</f>
        <v>2.8206822822412849E-2</v>
      </c>
      <c r="AX142" s="21">
        <f t="shared" si="114"/>
        <v>61.247878436619573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204.11804238362862</v>
      </c>
      <c r="BJ142" s="59">
        <f t="shared" si="146"/>
        <v>185.53854651509408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3.424995406287187</v>
      </c>
      <c r="BQ142" s="21">
        <f>EXP(-LN(2)/25)*BQ141+(1-EXP(-LN(2)/25))/(LN(2)/25)*Calculateur!BL142*Calculateur!BN142*VLOOKUP('Données projet'!$B$11,Paramètres!$A$1:$I$89,3,0)*0.475*44/12</f>
        <v>13.719658635286921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17.144654041574107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7.6233333333333304</v>
      </c>
      <c r="BY142" s="12">
        <f>IF('Données projet'!$A$114&gt;35,BY141+BX142-CG141,IF(A142&lt;'Données projet'!$A$114,$BV$205^A142,IF(A142='Données projet'!$A$114,'Données projet'!$B$114,BY141+BX142-CG141)))</f>
        <v>335.28666666666669</v>
      </c>
      <c r="BZ142" s="13">
        <f>BY142*VLOOKUP('Données projet'!$B$12,Paramètres!$A$1:$I$89,3,0)*VLOOKUP('Données projet'!$B$12,Paramètres!$A$1:$I$89,5,0)</f>
        <v>334.75020800000004</v>
      </c>
      <c r="CA142" s="13">
        <f t="shared" si="147"/>
        <v>78.41432580748058</v>
      </c>
      <c r="CB142" s="20">
        <f t="shared" si="118"/>
        <v>719.5948963813621</v>
      </c>
      <c r="CC142" s="59">
        <f t="shared" si="119"/>
        <v>1012.9282297146954</v>
      </c>
      <c r="CD142" s="59">
        <f ca="1">AVERAGE(OFFSET($CC$3,0,0,'Données projet'!$E$12+1,1))-AVERAGE(OFFSET($H$3,0,0,'Données projet'!$E$12+1,1))</f>
        <v>535.99935263833549</v>
      </c>
      <c r="CE142" s="59">
        <f t="shared" si="148"/>
        <v>245.89966477332644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20.226160864945982</v>
      </c>
      <c r="CL142" s="21">
        <f>EXP(-LN(2)/25)*CL141+(1-EXP(-LN(2)/25))/(LN(2)/25)*Calculateur!CG142*Calculateur!CI142*VLOOKUP('Données projet'!$B$12,Paramètres!$A$1:$I$89,3,0)*0.475*44/12</f>
        <v>20.667150909761439</v>
      </c>
      <c r="CM142" s="21">
        <f>EXP(-LN(2)/2)*CM141+(1-EXP(-LN(2)/2))/(LN(2)/2)*CG142*CJ142*VLOOKUP('Données projet'!$B$12,Paramètres!$A$1:$I$89,3,0)*0.475*44/12</f>
        <v>6.9087934651252354</v>
      </c>
      <c r="CN142" s="22">
        <f t="shared" si="120"/>
        <v>47.802105239832656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2.5579538487363607E-13</v>
      </c>
      <c r="CU142" s="17">
        <f>CT142*VLOOKUP('Données projet'!$B$13,Paramètres!$A$1:$I$89,3,0)*VLOOKUP('Données projet'!$B$13,Paramètres!$A$1:$I$89,5,0)</f>
        <v>2.4341488824575211E-13</v>
      </c>
      <c r="CV142" s="13">
        <f t="shared" si="149"/>
        <v>3.2970717324875541E-12</v>
      </c>
      <c r="CW142" s="20">
        <f t="shared" si="121"/>
        <v>6.1663475311105072E-12</v>
      </c>
      <c r="CX142" s="59">
        <f t="shared" si="122"/>
        <v>293.33333333333945</v>
      </c>
      <c r="CY142" s="59">
        <f ca="1">AVERAGE(OFFSET($CX$3,0,0,'Données projet'!$E$13+1,1))-AVERAGE(OFFSET($H$3,0,0,'Données projet'!$E$13+1,1))</f>
        <v>449.28947235329758</v>
      </c>
      <c r="CZ142" s="59">
        <f t="shared" si="150"/>
        <v>289.36994109443964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55.349633954738408</v>
      </c>
      <c r="DG142" s="21">
        <f>EXP(-LN(2)/25)*DG141+(1-EXP(-LN(2)/25))/(LN(2)/25)*Calculateur!DB142*Calculateur!DD142*VLOOKUP('Données projet'!$B$13,Paramètres!$A$1:$I$89,3,0)*0.475*44/12</f>
        <v>46.908277612192471</v>
      </c>
      <c r="DH142" s="21">
        <f>EXP(-LN(2)/2)*DH141+(1-EXP(-LN(2)/2))/(LN(2)/2)*DB142*DE142*VLOOKUP('Données projet'!$B$13,Paramètres!$A$1:$I$89,3,0)*0.475*44/12</f>
        <v>1.5844118742113085</v>
      </c>
      <c r="DI142" s="22">
        <f t="shared" si="123"/>
        <v>103.8423234411422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5.6843418860808015E-14</v>
      </c>
      <c r="DP142" s="17">
        <f>DO142*VLOOKUP('Données projet'!$B$14,Paramètres!$A$1:$I$89,3,0)*VLOOKUP('Données projet'!$B$14,Paramètres!$A$1:$I$89,5,0)</f>
        <v>4.4337866711430253E-14</v>
      </c>
      <c r="DQ142" s="13">
        <f t="shared" si="151"/>
        <v>7.3222115536967035E-13</v>
      </c>
      <c r="DR142" s="20">
        <f t="shared" si="124"/>
        <v>1.3525069634579169E-12</v>
      </c>
      <c r="DS142" s="59">
        <f t="shared" si="125"/>
        <v>293.33333333333468</v>
      </c>
      <c r="DT142" s="59">
        <f ca="1">AVERAGE(OFFSET($DS$3,0,0,'Données projet'!$E$14+1,1))-AVERAGE(OFFSET($H$3,0,0,'Données projet'!$E$14+1,1))</f>
        <v>288.82868507674738</v>
      </c>
      <c r="DU142" s="59">
        <f t="shared" si="152"/>
        <v>283.48738729114024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10.749645027309827</v>
      </c>
      <c r="EB142" s="21">
        <f>EXP(-LN(2)/25)*EB141+(1-EXP(-LN(2)/25))/(LN(2)/25)*Calculateur!DW142*Calculateur!DY142*VLOOKUP('Données projet'!$B$14,Paramètres!$A$1:$I$89,3,0)*0.475*44/12</f>
        <v>6.0787942287590839</v>
      </c>
      <c r="EC142" s="21">
        <f>EXP(-LN(2)/2)*EC141+(1-EXP(-LN(2)/2))/(LN(2)/2)*DW142*DZ142*VLOOKUP('Données projet'!$B$14,Paramètres!$A$1:$I$89,3,0)*0.475*44/12</f>
        <v>1.7682329534228042E-9</v>
      </c>
      <c r="ED142" s="22">
        <f t="shared" si="126"/>
        <v>16.828439257837143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7.3375000000000012</v>
      </c>
      <c r="EJ142" s="12">
        <f>IF('Données projet'!$A$192&gt;35,EJ141+EI142-ER141,IF(A142&lt;'Données projet'!$A$192,$EG$205^A142,IF(A142='Données projet'!$A$192,'Données projet'!$B$192,EJ141+EI142-ER141)))</f>
        <v>343.2324999999999</v>
      </c>
      <c r="EK142" s="17">
        <f>EJ142*VLOOKUP('Données projet'!$B$15,Paramètres!$A$1:$I$89,3,0)*VLOOKUP('Données projet'!$B$15,Paramètres!$A$1:$I$89,5,0)</f>
        <v>331.97447399999993</v>
      </c>
      <c r="EL142" s="13">
        <f t="shared" si="153"/>
        <v>77.839523774781142</v>
      </c>
      <c r="EM142" s="20">
        <f t="shared" si="127"/>
        <v>713.75937945774365</v>
      </c>
      <c r="EN142" s="59">
        <f t="shared" si="128"/>
        <v>1007.092712791077</v>
      </c>
      <c r="EO142" s="59">
        <f ca="1">AVERAGE(OFFSET($EN$3,0,0,'Données projet'!$E$15+1,1))-AVERAGE(OFFSET($H$3,0,0,'Données projet'!$E$15+1,1))</f>
        <v>510.71380643466227</v>
      </c>
      <c r="EP142" s="59">
        <f t="shared" si="154"/>
        <v>252.40654099948841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17.298966662267855</v>
      </c>
      <c r="EW142" s="21">
        <f>EXP(-LN(2)/25)*EW141+(1-EXP(-LN(2)/25))/(LN(2)/25)*Calculateur!ER142*Calculateur!ET142*VLOOKUP('Données projet'!$B$15,Paramètres!$A$1:$I$89,3,0)*0.475*44/12</f>
        <v>16.633957834470319</v>
      </c>
      <c r="EX142" s="21">
        <f>EXP(-LN(2)/2)*EX141+(1-EXP(-LN(2)/2))/(LN(2)/2)*ER142*EU142*VLOOKUP('Données projet'!$B$15,Paramètres!$A$1:$I$89,3,0)*0.475*44/12</f>
        <v>1.0121432809276965</v>
      </c>
      <c r="EY142" s="22">
        <f t="shared" si="129"/>
        <v>34.945067777665869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7.6233333333333304</v>
      </c>
      <c r="N143" s="13">
        <f>IF('Données projet'!$A$36&gt;35,N142+M143-V142,IF(A143&lt;'Données projet'!$A$36,$K$205^A143,IF(A143='Données projet'!$A$36,'Données projet'!$B$36,N142+M143-V142)))</f>
        <v>342.91</v>
      </c>
      <c r="O143" s="13">
        <f>N143*VLOOKUP('Données projet'!$B$9,Paramètres!$A$1:$I$89,3,0)*VLOOKUP('Données projet'!$B$9,Paramètres!$A$1:$I$89,5,0)</f>
        <v>347.71074000000004</v>
      </c>
      <c r="P143" s="13">
        <f t="shared" si="141"/>
        <v>81.090948948905393</v>
      </c>
      <c r="Q143" s="20">
        <f t="shared" si="108"/>
        <v>746.82960825267685</v>
      </c>
      <c r="R143" s="59">
        <f t="shared" si="109"/>
        <v>1040.1629415860102</v>
      </c>
      <c r="S143" s="59">
        <f ca="1">AVERAGE(OFFSET($R$3,0,0,'Données projet'!$E$9+1,1))-AVERAGE(OFFSET($H$3,0,0,'Données projet'!$E$9+1,1))</f>
        <v>543.67050511722618</v>
      </c>
      <c r="T143" s="59">
        <f t="shared" si="142"/>
        <v>249.0871389941106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28.195124609817462</v>
      </c>
      <c r="AA143" s="21">
        <f>EXP(-LN(2)/25)*AA142+(1-EXP(-LN(2)/25))/(LN(2)/25)*Calculateur!V143*Calculateur!X143*VLOOKUP('Données projet'!$B$9,Paramètres!$A$1:$I$89,3,0)*0.475*44/12</f>
        <v>23.768811463320741</v>
      </c>
      <c r="AB143" s="21">
        <f>EXP(-LN(2)/2)*AB142+(1-EXP(-LN(2)/2))/(LN(2)/2)*V143*Y143*VLOOKUP('Données projet'!$B$9,Paramètres!$A$1:$I$89,3,0)*0.475*44/12</f>
        <v>1.9846347359325542</v>
      </c>
      <c r="AC143" s="22">
        <f t="shared" si="111"/>
        <v>53.948570809070752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9.1440000000000055</v>
      </c>
      <c r="AI143" s="13">
        <f>IF('Données projet'!$A$62&gt;35,AI142+AH143-AQ142,IF(A143&lt;'Données projet'!$A$62,$AF$205^A143,IF(A143='Données projet'!$A$62,'Données projet'!$B$62,AI142+AH143-AQ142)))</f>
        <v>478.36400000000094</v>
      </c>
      <c r="AJ143" s="13">
        <f>AI143*VLOOKUP('Données projet'!$B$10,Paramètres!$A$1:$I$89,3,0)*VLOOKUP('Données projet'!$B$10,Paramètres!$A$1:$I$89,5,0)</f>
        <v>432.82374720000081</v>
      </c>
      <c r="AK143" s="13">
        <f t="shared" si="143"/>
        <v>98.400325655042849</v>
      </c>
      <c r="AL143" s="20">
        <f t="shared" si="112"/>
        <v>925.21526022253431</v>
      </c>
      <c r="AM143" s="59">
        <f t="shared" si="113"/>
        <v>1218.5485935558677</v>
      </c>
      <c r="AN143" s="59">
        <f ca="1">AVERAGE(OFFSET($AM$3,0,0,'Données projet'!$E$10+1,1))-AVERAGE(OFFSET($H$3,0,0,'Données projet'!$E$10+1,1))</f>
        <v>635.71275911100679</v>
      </c>
      <c r="AO143" s="59">
        <f t="shared" si="144"/>
        <v>281.7776857269169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39.733039797554845</v>
      </c>
      <c r="AV143" s="21">
        <f>EXP(-LN(2)/25)*AV142+(1-EXP(-LN(2)/25))/(LN(2)/25)*Calculateur!AQ143*Calculateur!AS143*VLOOKUP('Données projet'!$B$10,Paramètres!$A$1:$I$89,3,0)*0.475*44/12</f>
        <v>20.126085786040782</v>
      </c>
      <c r="AW143" s="21">
        <f>EXP(-LN(2)/2)*AW142+(1-EXP(-LN(2)/2))/(LN(2)/2)*AQ143*AT143*VLOOKUP('Données projet'!$B$10,Paramètres!$A$1:$I$89,3,0)*0.475*44/12</f>
        <v>1.9945235693455597E-2</v>
      </c>
      <c r="AX143" s="21">
        <f t="shared" si="114"/>
        <v>59.879070819289083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204.11804238362862</v>
      </c>
      <c r="BJ143" s="59">
        <f t="shared" si="146"/>
        <v>185.53854651509408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3.3578333354108176</v>
      </c>
      <c r="BQ143" s="21">
        <f>EXP(-LN(2)/25)*BQ142+(1-EXP(-LN(2)/25))/(LN(2)/25)*Calculateur!BL143*Calculateur!BN143*VLOOKUP('Données projet'!$B$11,Paramètres!$A$1:$I$89,3,0)*0.475*44/12</f>
        <v>13.344493848419509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16.702327183830327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7.6233333333333304</v>
      </c>
      <c r="BY143" s="12">
        <f>IF('Données projet'!$A$114&gt;35,BY142+BX143-CG142,IF(A143&lt;'Données projet'!$A$114,$BV$205^A143,IF(A143='Données projet'!$A$114,'Données projet'!$B$114,BY142+BX143-CG142)))</f>
        <v>342.91</v>
      </c>
      <c r="BZ143" s="13">
        <f>BY143*VLOOKUP('Données projet'!$B$12,Paramètres!$A$1:$I$89,3,0)*VLOOKUP('Données projet'!$B$12,Paramètres!$A$1:$I$89,5,0)</f>
        <v>342.36134400000009</v>
      </c>
      <c r="CA143" s="13">
        <f t="shared" si="147"/>
        <v>79.987618350803331</v>
      </c>
      <c r="CB143" s="20">
        <f t="shared" si="118"/>
        <v>735.59110942764926</v>
      </c>
      <c r="CC143" s="59">
        <f t="shared" si="119"/>
        <v>1028.9244427609826</v>
      </c>
      <c r="CD143" s="59">
        <f ca="1">AVERAGE(OFFSET($CC$3,0,0,'Données projet'!$E$12+1,1))-AVERAGE(OFFSET($H$3,0,0,'Données projet'!$E$12+1,1))</f>
        <v>535.99935263833549</v>
      </c>
      <c r="CE143" s="59">
        <f t="shared" si="148"/>
        <v>245.89966477332644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19.829538187124367</v>
      </c>
      <c r="CL143" s="21">
        <f>EXP(-LN(2)/25)*CL142+(1-EXP(-LN(2)/25))/(LN(2)/25)*Calculateur!CG143*Calculateur!CI143*VLOOKUP('Données projet'!$B$12,Paramètres!$A$1:$I$89,3,0)*0.475*44/12</f>
        <v>20.102006581295782</v>
      </c>
      <c r="CM143" s="21">
        <f>EXP(-LN(2)/2)*CM142+(1-EXP(-LN(2)/2))/(LN(2)/2)*CG143*CJ143*VLOOKUP('Données projet'!$B$12,Paramètres!$A$1:$I$89,3,0)*0.475*44/12</f>
        <v>4.8852547090073593</v>
      </c>
      <c r="CN143" s="22">
        <f t="shared" si="120"/>
        <v>44.816799477427509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2.5579538487363607E-13</v>
      </c>
      <c r="CU143" s="17">
        <f>CT143*VLOOKUP('Données projet'!$B$13,Paramètres!$A$1:$I$89,3,0)*VLOOKUP('Données projet'!$B$13,Paramètres!$A$1:$I$89,5,0)</f>
        <v>2.4341488824575211E-13</v>
      </c>
      <c r="CV143" s="13">
        <f t="shared" si="149"/>
        <v>3.2970717324875541E-12</v>
      </c>
      <c r="CW143" s="20">
        <f t="shared" si="121"/>
        <v>6.1663475311105072E-12</v>
      </c>
      <c r="CX143" s="59">
        <f t="shared" si="122"/>
        <v>293.33333333333945</v>
      </c>
      <c r="CY143" s="59">
        <f ca="1">AVERAGE(OFFSET($CX$3,0,0,'Données projet'!$E$13+1,1))-AVERAGE(OFFSET($H$3,0,0,'Données projet'!$E$13+1,1))</f>
        <v>449.28947235329758</v>
      </c>
      <c r="CZ143" s="59">
        <f t="shared" si="150"/>
        <v>289.36994109443964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54.264261392829184</v>
      </c>
      <c r="DG143" s="21">
        <f>EXP(-LN(2)/25)*DG142+(1-EXP(-LN(2)/25))/(LN(2)/25)*Calculateur!DB143*Calculateur!DD143*VLOOKUP('Données projet'!$B$13,Paramètres!$A$1:$I$89,3,0)*0.475*44/12</f>
        <v>45.625568294087955</v>
      </c>
      <c r="DH143" s="21">
        <f>EXP(-LN(2)/2)*DH142+(1-EXP(-LN(2)/2))/(LN(2)/2)*DB143*DE143*VLOOKUP('Données projet'!$B$13,Paramètres!$A$1:$I$89,3,0)*0.475*44/12</f>
        <v>1.1203483804473033</v>
      </c>
      <c r="DI143" s="22">
        <f t="shared" si="123"/>
        <v>101.01017806736444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5.6843418860808015E-14</v>
      </c>
      <c r="DP143" s="17">
        <f>DO143*VLOOKUP('Données projet'!$B$14,Paramètres!$A$1:$I$89,3,0)*VLOOKUP('Données projet'!$B$14,Paramètres!$A$1:$I$89,5,0)</f>
        <v>4.4337866711430253E-14</v>
      </c>
      <c r="DQ143" s="13">
        <f t="shared" si="151"/>
        <v>7.3222115536967035E-13</v>
      </c>
      <c r="DR143" s="20">
        <f t="shared" si="124"/>
        <v>1.3525069634579169E-12</v>
      </c>
      <c r="DS143" s="59">
        <f t="shared" si="125"/>
        <v>293.33333333333468</v>
      </c>
      <c r="DT143" s="59">
        <f ca="1">AVERAGE(OFFSET($DS$3,0,0,'Données projet'!$E$14+1,1))-AVERAGE(OFFSET($H$3,0,0,'Données projet'!$E$14+1,1))</f>
        <v>288.82868507674738</v>
      </c>
      <c r="DU143" s="59">
        <f t="shared" si="152"/>
        <v>283.48738729114024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10.538851044960333</v>
      </c>
      <c r="EB143" s="21">
        <f>EXP(-LN(2)/25)*EB142+(1-EXP(-LN(2)/25))/(LN(2)/25)*Calculateur!DW143*Calculateur!DY143*VLOOKUP('Données projet'!$B$14,Paramètres!$A$1:$I$89,3,0)*0.475*44/12</f>
        <v>5.9125692809037718</v>
      </c>
      <c r="EC143" s="21">
        <f>EXP(-LN(2)/2)*EC142+(1-EXP(-LN(2)/2))/(LN(2)/2)*DW143*DZ143*VLOOKUP('Données projet'!$B$14,Paramètres!$A$1:$I$89,3,0)*0.475*44/12</f>
        <v>1.2503295120827815E-9</v>
      </c>
      <c r="ED143" s="22">
        <f t="shared" si="126"/>
        <v>16.451420327114434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7.3375000000000012</v>
      </c>
      <c r="EJ143" s="12">
        <f>IF('Données projet'!$A$192&gt;35,EJ142+EI143-ER142,IF(A143&lt;'Données projet'!$A$192,$EG$205^A143,IF(A143='Données projet'!$A$192,'Données projet'!$B$192,EJ142+EI143-ER142)))</f>
        <v>350.56999999999988</v>
      </c>
      <c r="EK143" s="17">
        <f>EJ143*VLOOKUP('Données projet'!$B$15,Paramètres!$A$1:$I$89,3,0)*VLOOKUP('Données projet'!$B$15,Paramètres!$A$1:$I$89,5,0)</f>
        <v>339.07130399999994</v>
      </c>
      <c r="EL143" s="13">
        <f t="shared" si="153"/>
        <v>79.308041414789827</v>
      </c>
      <c r="EM143" s="20">
        <f t="shared" si="127"/>
        <v>728.67735993075883</v>
      </c>
      <c r="EN143" s="59">
        <f t="shared" si="128"/>
        <v>1022.0106932640922</v>
      </c>
      <c r="EO143" s="59">
        <f ca="1">AVERAGE(OFFSET($EN$3,0,0,'Données projet'!$E$15+1,1))-AVERAGE(OFFSET($H$3,0,0,'Données projet'!$E$15+1,1))</f>
        <v>510.71380643466227</v>
      </c>
      <c r="EP143" s="59">
        <f t="shared" si="154"/>
        <v>252.40654099948841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16.95974447734859</v>
      </c>
      <c r="EW143" s="21">
        <f>EXP(-LN(2)/25)*EW142+(1-EXP(-LN(2)/25))/(LN(2)/25)*Calculateur!ER143*Calculateur!ET143*VLOOKUP('Données projet'!$B$15,Paramètres!$A$1:$I$89,3,0)*0.475*44/12</f>
        <v>16.179101382744904</v>
      </c>
      <c r="EX143" s="21">
        <f>EXP(-LN(2)/2)*EX142+(1-EXP(-LN(2)/2))/(LN(2)/2)*ER143*EU143*VLOOKUP('Données projet'!$B$15,Paramètres!$A$1:$I$89,3,0)*0.475*44/12</f>
        <v>0.71569337747637496</v>
      </c>
      <c r="EY143" s="22">
        <f t="shared" si="129"/>
        <v>33.854539237569874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7.6233333333333304</v>
      </c>
      <c r="N144" s="13">
        <f>IF('Données projet'!$A$36&gt;35,N143+M144-V143,IF(A144&lt;'Données projet'!$A$36,$K$205^A144,IF(A144='Données projet'!$A$36,'Données projet'!$B$36,N143+M144-V143)))</f>
        <v>350.53333333333336</v>
      </c>
      <c r="O144" s="13">
        <f>N144*VLOOKUP('Données projet'!$B$9,Paramètres!$A$1:$I$89,3,0)*VLOOKUP('Données projet'!$B$9,Paramètres!$A$1:$I$89,5,0)</f>
        <v>355.44080000000002</v>
      </c>
      <c r="P144" s="13">
        <f t="shared" si="141"/>
        <v>82.681820697635175</v>
      </c>
      <c r="Q144" s="20">
        <f t="shared" si="108"/>
        <v>763.06356438171463</v>
      </c>
      <c r="R144" s="59">
        <f t="shared" si="109"/>
        <v>1056.396897715048</v>
      </c>
      <c r="S144" s="59">
        <f ca="1">AVERAGE(OFFSET($R$3,0,0,'Données projet'!$E$9+1,1))-AVERAGE(OFFSET($H$3,0,0,'Données projet'!$E$9+1,1))</f>
        <v>543.67050511722618</v>
      </c>
      <c r="T144" s="59">
        <f t="shared" si="142"/>
        <v>249.0871389941106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27.64223541354686</v>
      </c>
      <c r="AA144" s="21">
        <f>EXP(-LN(2)/25)*AA143+(1-EXP(-LN(2)/25))/(LN(2)/25)*Calculateur!V144*Calculateur!X144*VLOOKUP('Données projet'!$B$9,Paramètres!$A$1:$I$89,3,0)*0.475*44/12</f>
        <v>23.118852063908765</v>
      </c>
      <c r="AB144" s="21">
        <f>EXP(-LN(2)/2)*AB143+(1-EXP(-LN(2)/2))/(LN(2)/2)*V144*Y144*VLOOKUP('Données projet'!$B$9,Paramètres!$A$1:$I$89,3,0)*0.475*44/12</f>
        <v>1.4033486799562822</v>
      </c>
      <c r="AC144" s="22">
        <f t="shared" si="111"/>
        <v>52.164436157411906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9.1440000000000055</v>
      </c>
      <c r="AI144" s="13">
        <f>IF('Données projet'!$A$62&gt;35,AI143+AH144-AQ143,IF(A144&lt;'Données projet'!$A$62,$AF$205^A144,IF(A144='Données projet'!$A$62,'Données projet'!$B$62,AI143+AH144-AQ143)))</f>
        <v>487.50800000000095</v>
      </c>
      <c r="AJ144" s="13">
        <f>AI144*VLOOKUP('Données projet'!$B$10,Paramètres!$A$1:$I$89,3,0)*VLOOKUP('Données projet'!$B$10,Paramètres!$A$1:$I$89,5,0)</f>
        <v>441.09723840000083</v>
      </c>
      <c r="AK144" s="13">
        <f t="shared" si="143"/>
        <v>100.06048569250036</v>
      </c>
      <c r="AL144" s="20">
        <f t="shared" si="112"/>
        <v>942.51636946110614</v>
      </c>
      <c r="AM144" s="59">
        <f t="shared" si="113"/>
        <v>1235.8497027944395</v>
      </c>
      <c r="AN144" s="59">
        <f ca="1">AVERAGE(OFFSET($AM$3,0,0,'Données projet'!$E$10+1,1))-AVERAGE(OFFSET($H$3,0,0,'Données projet'!$E$10+1,1))</f>
        <v>635.71275911100679</v>
      </c>
      <c r="AO144" s="59">
        <f t="shared" si="144"/>
        <v>281.7776857269169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38.953899121886089</v>
      </c>
      <c r="AV144" s="21">
        <f>EXP(-LN(2)/25)*AV143+(1-EXP(-LN(2)/25))/(LN(2)/25)*Calculateur!AQ144*Calculateur!AS144*VLOOKUP('Données projet'!$B$10,Paramètres!$A$1:$I$89,3,0)*0.475*44/12</f>
        <v>19.575736911836646</v>
      </c>
      <c r="AW144" s="21">
        <f>EXP(-LN(2)/2)*AW143+(1-EXP(-LN(2)/2))/(LN(2)/2)*AQ144*AT144*VLOOKUP('Données projet'!$B$10,Paramètres!$A$1:$I$89,3,0)*0.475*44/12</f>
        <v>1.4103411411206425E-2</v>
      </c>
      <c r="AX144" s="21">
        <f t="shared" si="114"/>
        <v>58.543739445133944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204.11804238362862</v>
      </c>
      <c r="BJ144" s="59">
        <f t="shared" si="146"/>
        <v>185.53854651509408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3.2919882717795153</v>
      </c>
      <c r="BQ144" s="21">
        <f>EXP(-LN(2)/25)*BQ143+(1-EXP(-LN(2)/25))/(LN(2)/25)*Calculateur!BL144*Calculateur!BN144*VLOOKUP('Données projet'!$B$11,Paramètres!$A$1:$I$89,3,0)*0.475*44/12</f>
        <v>12.979587962378044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16.27157623415756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7.6233333333333304</v>
      </c>
      <c r="BY144" s="12">
        <f>IF('Données projet'!$A$114&gt;35,BY143+BX144-CG143,IF(A144&lt;'Données projet'!$A$114,$BV$205^A144,IF(A144='Données projet'!$A$114,'Données projet'!$B$114,BY143+BX144-CG143)))</f>
        <v>350.53333333333336</v>
      </c>
      <c r="BZ144" s="13">
        <f>BY144*VLOOKUP('Données projet'!$B$12,Paramètres!$A$1:$I$89,3,0)*VLOOKUP('Données projet'!$B$12,Paramètres!$A$1:$I$89,5,0)</f>
        <v>349.97248000000002</v>
      </c>
      <c r="CA144" s="13">
        <f t="shared" si="147"/>
        <v>81.556844558313202</v>
      </c>
      <c r="CB144" s="20">
        <f t="shared" si="118"/>
        <v>751.58024027239537</v>
      </c>
      <c r="CC144" s="59">
        <f t="shared" si="119"/>
        <v>1044.9135736057287</v>
      </c>
      <c r="CD144" s="59">
        <f ca="1">AVERAGE(OFFSET($CC$3,0,0,'Données projet'!$E$12+1,1))-AVERAGE(OFFSET($H$3,0,0,'Données projet'!$E$12+1,1))</f>
        <v>535.99935263833549</v>
      </c>
      <c r="CE144" s="59">
        <f t="shared" si="148"/>
        <v>245.89966477332644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19.440693038098889</v>
      </c>
      <c r="CL144" s="21">
        <f>EXP(-LN(2)/25)*CL143+(1-EXP(-LN(2)/25))/(LN(2)/25)*Calculateur!CG144*Calculateur!CI144*VLOOKUP('Données projet'!$B$12,Paramètres!$A$1:$I$89,3,0)*0.475*44/12</f>
        <v>19.552316154211667</v>
      </c>
      <c r="CM144" s="21">
        <f>EXP(-LN(2)/2)*CM143+(1-EXP(-LN(2)/2))/(LN(2)/2)*CG144*CJ144*VLOOKUP('Données projet'!$B$12,Paramètres!$A$1:$I$89,3,0)*0.475*44/12</f>
        <v>3.4543967325626177</v>
      </c>
      <c r="CN144" s="22">
        <f t="shared" si="120"/>
        <v>42.447405924873166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2.5579538487363607E-13</v>
      </c>
      <c r="CU144" s="17">
        <f>CT144*VLOOKUP('Données projet'!$B$13,Paramètres!$A$1:$I$89,3,0)*VLOOKUP('Données projet'!$B$13,Paramètres!$A$1:$I$89,5,0)</f>
        <v>2.4341488824575211E-13</v>
      </c>
      <c r="CV144" s="13">
        <f t="shared" si="149"/>
        <v>3.2970717324875541E-12</v>
      </c>
      <c r="CW144" s="20">
        <f t="shared" si="121"/>
        <v>6.1663475311105072E-12</v>
      </c>
      <c r="CX144" s="59">
        <f t="shared" si="122"/>
        <v>293.33333333333945</v>
      </c>
      <c r="CY144" s="59">
        <f ca="1">AVERAGE(OFFSET($CX$3,0,0,'Données projet'!$E$13+1,1))-AVERAGE(OFFSET($H$3,0,0,'Données projet'!$E$13+1,1))</f>
        <v>449.28947235329758</v>
      </c>
      <c r="CZ144" s="59">
        <f t="shared" si="150"/>
        <v>289.36994109443964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53.200172324847102</v>
      </c>
      <c r="DG144" s="21">
        <f>EXP(-LN(2)/25)*DG143+(1-EXP(-LN(2)/25))/(LN(2)/25)*Calculateur!DB144*Calculateur!DD144*VLOOKUP('Données projet'!$B$13,Paramètres!$A$1:$I$89,3,0)*0.475*44/12</f>
        <v>44.37793472974176</v>
      </c>
      <c r="DH144" s="21">
        <f>EXP(-LN(2)/2)*DH143+(1-EXP(-LN(2)/2))/(LN(2)/2)*DB144*DE144*VLOOKUP('Données projet'!$B$13,Paramètres!$A$1:$I$89,3,0)*0.475*44/12</f>
        <v>0.79220593710565423</v>
      </c>
      <c r="DI144" s="22">
        <f t="shared" si="123"/>
        <v>98.370312991694504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5.6843418860808015E-14</v>
      </c>
      <c r="DP144" s="17">
        <f>DO144*VLOOKUP('Données projet'!$B$14,Paramètres!$A$1:$I$89,3,0)*VLOOKUP('Données projet'!$B$14,Paramètres!$A$1:$I$89,5,0)</f>
        <v>4.4337866711430253E-14</v>
      </c>
      <c r="DQ144" s="13">
        <f t="shared" si="151"/>
        <v>7.3222115536967035E-13</v>
      </c>
      <c r="DR144" s="20">
        <f t="shared" si="124"/>
        <v>1.3525069634579169E-12</v>
      </c>
      <c r="DS144" s="59">
        <f t="shared" si="125"/>
        <v>293.33333333333468</v>
      </c>
      <c r="DT144" s="59">
        <f ca="1">AVERAGE(OFFSET($DS$3,0,0,'Données projet'!$E$14+1,1))-AVERAGE(OFFSET($H$3,0,0,'Données projet'!$E$14+1,1))</f>
        <v>288.82868507674738</v>
      </c>
      <c r="DU144" s="59">
        <f t="shared" si="152"/>
        <v>283.48738729114024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10.33219060403308</v>
      </c>
      <c r="EB144" s="21">
        <f>EXP(-LN(2)/25)*EB143+(1-EXP(-LN(2)/25))/(LN(2)/25)*Calculateur!DW144*Calculateur!DY144*VLOOKUP('Données projet'!$B$14,Paramètres!$A$1:$I$89,3,0)*0.475*44/12</f>
        <v>5.7508897629889528</v>
      </c>
      <c r="EC144" s="21">
        <f>EXP(-LN(2)/2)*EC143+(1-EXP(-LN(2)/2))/(LN(2)/2)*DW144*DZ144*VLOOKUP('Données projet'!$B$14,Paramètres!$A$1:$I$89,3,0)*0.475*44/12</f>
        <v>8.8411647671140211E-10</v>
      </c>
      <c r="ED144" s="22">
        <f t="shared" si="126"/>
        <v>16.083080367906152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7.3375000000000012</v>
      </c>
      <c r="EJ144" s="12">
        <f>IF('Données projet'!$A$192&gt;35,EJ143+EI144-ER143,IF(A144&lt;'Données projet'!$A$192,$EG$205^A144,IF(A144='Données projet'!$A$192,'Données projet'!$B$192,EJ143+EI144-ER143)))</f>
        <v>357.90749999999986</v>
      </c>
      <c r="EK144" s="17">
        <f>EJ144*VLOOKUP('Données projet'!$B$15,Paramètres!$A$1:$I$89,3,0)*VLOOKUP('Données projet'!$B$15,Paramètres!$A$1:$I$89,5,0)</f>
        <v>346.1681339999999</v>
      </c>
      <c r="EL144" s="13">
        <f t="shared" si="153"/>
        <v>80.772985420490727</v>
      </c>
      <c r="EM144" s="20">
        <f t="shared" si="127"/>
        <v>743.58911632402123</v>
      </c>
      <c r="EN144" s="59">
        <f t="shared" si="128"/>
        <v>1036.9224496573545</v>
      </c>
      <c r="EO144" s="59">
        <f ca="1">AVERAGE(OFFSET($EN$3,0,0,'Données projet'!$E$15+1,1))-AVERAGE(OFFSET($H$3,0,0,'Données projet'!$E$15+1,1))</f>
        <v>510.71380643466227</v>
      </c>
      <c r="EP144" s="59">
        <f t="shared" si="154"/>
        <v>252.40654099948841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16.627174232570489</v>
      </c>
      <c r="EW144" s="21">
        <f>EXP(-LN(2)/25)*EW143+(1-EXP(-LN(2)/25))/(LN(2)/25)*Calculateur!ER144*Calculateur!ET144*VLOOKUP('Données projet'!$B$15,Paramètres!$A$1:$I$89,3,0)*0.475*44/12</f>
        <v>15.73668300461178</v>
      </c>
      <c r="EX144" s="21">
        <f>EXP(-LN(2)/2)*EX143+(1-EXP(-LN(2)/2))/(LN(2)/2)*ER144*EU144*VLOOKUP('Données projet'!$B$15,Paramètres!$A$1:$I$89,3,0)*0.475*44/12</f>
        <v>0.50607164046384823</v>
      </c>
      <c r="EY144" s="22">
        <f t="shared" si="129"/>
        <v>32.869928877646124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7.6233333333333304</v>
      </c>
      <c r="N145" s="13">
        <f>IF('Données projet'!$A$36&gt;35,N144+M145-V144,IF(A145&lt;'Données projet'!$A$36,$K$205^A145,IF(A145='Données projet'!$A$36,'Données projet'!$B$36,N144+M145-V144)))</f>
        <v>358.15666666666669</v>
      </c>
      <c r="O145" s="13">
        <f>N145*VLOOKUP('Données projet'!$B$9,Paramètres!$A$1:$I$89,3,0)*VLOOKUP('Données projet'!$B$9,Paramètres!$A$1:$I$89,5,0)</f>
        <v>363.17086000000006</v>
      </c>
      <c r="P145" s="13">
        <f t="shared" si="141"/>
        <v>84.268669999245589</v>
      </c>
      <c r="Q145" s="20">
        <f t="shared" si="108"/>
        <v>779.29051474868618</v>
      </c>
      <c r="R145" s="59">
        <f t="shared" si="109"/>
        <v>1072.6238480820195</v>
      </c>
      <c r="S145" s="59">
        <f ca="1">AVERAGE(OFFSET($R$3,0,0,'Données projet'!$E$9+1,1))-AVERAGE(OFFSET($H$3,0,0,'Données projet'!$E$9+1,1))</f>
        <v>543.67050511722618</v>
      </c>
      <c r="T145" s="59">
        <f t="shared" si="142"/>
        <v>249.0871389941106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27.100188037186012</v>
      </c>
      <c r="AA145" s="21">
        <f>EXP(-LN(2)/25)*AA144+(1-EXP(-LN(2)/25))/(LN(2)/25)*Calculateur!V145*Calculateur!X145*VLOOKUP('Données projet'!$B$9,Paramètres!$A$1:$I$89,3,0)*0.475*44/12</f>
        <v>22.48666583845359</v>
      </c>
      <c r="AB145" s="21">
        <f>EXP(-LN(2)/2)*AB144+(1-EXP(-LN(2)/2))/(LN(2)/2)*V145*Y145*VLOOKUP('Données projet'!$B$9,Paramètres!$A$1:$I$89,3,0)*0.475*44/12</f>
        <v>0.99231736796627723</v>
      </c>
      <c r="AC145" s="22">
        <f t="shared" si="111"/>
        <v>50.579171243605884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9.1440000000000055</v>
      </c>
      <c r="AI145" s="13">
        <f>IF('Données projet'!$A$62&gt;35,AI144+AH145-AQ144,IF(A145&lt;'Données projet'!$A$62,$AF$205^A145,IF(A145='Données projet'!$A$62,'Données projet'!$B$62,AI144+AH145-AQ144)))</f>
        <v>496.65200000000095</v>
      </c>
      <c r="AJ145" s="13">
        <f>AI145*VLOOKUP('Données projet'!$B$10,Paramètres!$A$1:$I$89,3,0)*VLOOKUP('Données projet'!$B$10,Paramètres!$A$1:$I$89,5,0)</f>
        <v>449.37072960000086</v>
      </c>
      <c r="AK145" s="13">
        <f t="shared" si="143"/>
        <v>101.71702488172154</v>
      </c>
      <c r="AL145" s="20">
        <f t="shared" si="112"/>
        <v>959.81117238899981</v>
      </c>
      <c r="AM145" s="59">
        <f t="shared" si="113"/>
        <v>1253.1445057223332</v>
      </c>
      <c r="AN145" s="59">
        <f ca="1">AVERAGE(OFFSET($AM$3,0,0,'Données projet'!$E$10+1,1))-AVERAGE(OFFSET($H$3,0,0,'Données projet'!$E$10+1,1))</f>
        <v>635.71275911100679</v>
      </c>
      <c r="AO145" s="59">
        <f t="shared" si="144"/>
        <v>281.7776857269169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38.19003691963831</v>
      </c>
      <c r="AV145" s="21">
        <f>EXP(-LN(2)/25)*AV144+(1-EXP(-LN(2)/25))/(LN(2)/25)*Calculateur!AQ145*Calculateur!AS145*VLOOKUP('Données projet'!$B$10,Paramètres!$A$1:$I$89,3,0)*0.475*44/12</f>
        <v>19.040437356539211</v>
      </c>
      <c r="AW145" s="21">
        <f>EXP(-LN(2)/2)*AW144+(1-EXP(-LN(2)/2))/(LN(2)/2)*AQ145*AT145*VLOOKUP('Données projet'!$B$10,Paramètres!$A$1:$I$89,3,0)*0.475*44/12</f>
        <v>9.9726178467277986E-3</v>
      </c>
      <c r="AX145" s="21">
        <f t="shared" si="114"/>
        <v>57.240446894024245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204.11804238362862</v>
      </c>
      <c r="BJ145" s="59">
        <f t="shared" si="146"/>
        <v>185.53854651509408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3.2274343896844995</v>
      </c>
      <c r="BQ145" s="21">
        <f>EXP(-LN(2)/25)*BQ144+(1-EXP(-LN(2)/25))/(LN(2)/25)*Calculateur!BL145*Calculateur!BN145*VLOOKUP('Données projet'!$B$11,Paramètres!$A$1:$I$89,3,0)*0.475*44/12</f>
        <v>12.62466044697995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15.852094836664449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7.6233333333333304</v>
      </c>
      <c r="BY145" s="12">
        <f>IF('Données projet'!$A$114&gt;35,BY144+BX145-CG144,IF(A145&lt;'Données projet'!$A$114,$BV$205^A145,IF(A145='Données projet'!$A$114,'Données projet'!$B$114,BY144+BX145-CG144)))</f>
        <v>358.15666666666669</v>
      </c>
      <c r="BZ145" s="13">
        <f>BY145*VLOOKUP('Données projet'!$B$12,Paramètres!$A$1:$I$89,3,0)*VLOOKUP('Données projet'!$B$12,Paramètres!$A$1:$I$89,5,0)</f>
        <v>357.58361600000006</v>
      </c>
      <c r="CA145" s="13">
        <f t="shared" si="147"/>
        <v>83.122103048473846</v>
      </c>
      <c r="CB145" s="20">
        <f t="shared" si="118"/>
        <v>767.56246067609209</v>
      </c>
      <c r="CC145" s="59">
        <f t="shared" si="119"/>
        <v>1060.8957940094253</v>
      </c>
      <c r="CD145" s="59">
        <f ca="1">AVERAGE(OFFSET($CC$3,0,0,'Données projet'!$E$12+1,1))-AVERAGE(OFFSET($H$3,0,0,'Données projet'!$E$12+1,1))</f>
        <v>535.99935263833549</v>
      </c>
      <c r="CE145" s="59">
        <f t="shared" si="148"/>
        <v>245.89966477332644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19.059472905273676</v>
      </c>
      <c r="CL145" s="21">
        <f>EXP(-LN(2)/25)*CL144+(1-EXP(-LN(2)/25))/(LN(2)/25)*Calculateur!CG145*Calculateur!CI145*VLOOKUP('Données projet'!$B$12,Paramètres!$A$1:$I$89,3,0)*0.475*44/12</f>
        <v>19.01765704076313</v>
      </c>
      <c r="CM145" s="21">
        <f>EXP(-LN(2)/2)*CM144+(1-EXP(-LN(2)/2))/(LN(2)/2)*CG145*CJ145*VLOOKUP('Données projet'!$B$12,Paramètres!$A$1:$I$89,3,0)*0.475*44/12</f>
        <v>2.4426273545036796</v>
      </c>
      <c r="CN145" s="22">
        <f t="shared" si="120"/>
        <v>40.519757300540483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2.5579538487363607E-13</v>
      </c>
      <c r="CU145" s="17">
        <f>CT145*VLOOKUP('Données projet'!$B$13,Paramètres!$A$1:$I$89,3,0)*VLOOKUP('Données projet'!$B$13,Paramètres!$A$1:$I$89,5,0)</f>
        <v>2.4341488824575211E-13</v>
      </c>
      <c r="CV145" s="13">
        <f t="shared" si="149"/>
        <v>3.2970717324875541E-12</v>
      </c>
      <c r="CW145" s="20">
        <f t="shared" si="121"/>
        <v>6.1663475311105072E-12</v>
      </c>
      <c r="CX145" s="59">
        <f t="shared" si="122"/>
        <v>293.33333333333945</v>
      </c>
      <c r="CY145" s="59">
        <f ca="1">AVERAGE(OFFSET($CX$3,0,0,'Données projet'!$E$13+1,1))-AVERAGE(OFFSET($H$3,0,0,'Données projet'!$E$13+1,1))</f>
        <v>449.28947235329758</v>
      </c>
      <c r="CZ145" s="59">
        <f t="shared" si="150"/>
        <v>289.36994109443964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52.156949394457904</v>
      </c>
      <c r="DG145" s="21">
        <f>EXP(-LN(2)/25)*DG144+(1-EXP(-LN(2)/25))/(LN(2)/25)*Calculateur!DB145*Calculateur!DD145*VLOOKUP('Données projet'!$B$13,Paramètres!$A$1:$I$89,3,0)*0.475*44/12</f>
        <v>43.164417770822809</v>
      </c>
      <c r="DH145" s="21">
        <f>EXP(-LN(2)/2)*DH144+(1-EXP(-LN(2)/2))/(LN(2)/2)*DB145*DE145*VLOOKUP('Données projet'!$B$13,Paramètres!$A$1:$I$89,3,0)*0.475*44/12</f>
        <v>0.56017419022365167</v>
      </c>
      <c r="DI145" s="22">
        <f t="shared" si="123"/>
        <v>95.881541355504368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5.6843418860808015E-14</v>
      </c>
      <c r="DP145" s="17">
        <f>DO145*VLOOKUP('Données projet'!$B$14,Paramètres!$A$1:$I$89,3,0)*VLOOKUP('Données projet'!$B$14,Paramètres!$A$1:$I$89,5,0)</f>
        <v>4.4337866711430253E-14</v>
      </c>
      <c r="DQ145" s="13">
        <f t="shared" si="151"/>
        <v>7.3222115536967035E-13</v>
      </c>
      <c r="DR145" s="20">
        <f t="shared" si="124"/>
        <v>1.3525069634579169E-12</v>
      </c>
      <c r="DS145" s="59">
        <f t="shared" si="125"/>
        <v>293.33333333333468</v>
      </c>
      <c r="DT145" s="59">
        <f ca="1">AVERAGE(OFFSET($DS$3,0,0,'Données projet'!$E$14+1,1))-AVERAGE(OFFSET($H$3,0,0,'Données projet'!$E$14+1,1))</f>
        <v>288.82868507674738</v>
      </c>
      <c r="DU145" s="59">
        <f t="shared" si="152"/>
        <v>283.48738729114024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10.129582648301987</v>
      </c>
      <c r="EB145" s="21">
        <f>EXP(-LN(2)/25)*EB144+(1-EXP(-LN(2)/25))/(LN(2)/25)*Calculateur!DW145*Calculateur!DY145*VLOOKUP('Données projet'!$B$14,Paramètres!$A$1:$I$89,3,0)*0.475*44/12</f>
        <v>5.5936313799938713</v>
      </c>
      <c r="EC145" s="21">
        <f>EXP(-LN(2)/2)*EC144+(1-EXP(-LN(2)/2))/(LN(2)/2)*DW145*DZ145*VLOOKUP('Données projet'!$B$14,Paramètres!$A$1:$I$89,3,0)*0.475*44/12</f>
        <v>6.2516475604139074E-10</v>
      </c>
      <c r="ED145" s="22">
        <f t="shared" si="126"/>
        <v>15.723214028921022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7.3375000000000012</v>
      </c>
      <c r="EJ145" s="12">
        <f>IF('Données projet'!$A$192&gt;35,EJ144+EI145-ER144,IF(A145&lt;'Données projet'!$A$192,$EG$205^A145,IF(A145='Données projet'!$A$192,'Données projet'!$B$192,EJ144+EI145-ER144)))</f>
        <v>365.24499999999983</v>
      </c>
      <c r="EK145" s="17">
        <f>EJ145*VLOOKUP('Données projet'!$B$15,Paramètres!$A$1:$I$89,3,0)*VLOOKUP('Données projet'!$B$15,Paramètres!$A$1:$I$89,5,0)</f>
        <v>353.26496399999985</v>
      </c>
      <c r="EL145" s="13">
        <f t="shared" si="153"/>
        <v>82.234437497251108</v>
      </c>
      <c r="EM145" s="20">
        <f t="shared" si="127"/>
        <v>758.49479094104538</v>
      </c>
      <c r="EN145" s="59">
        <f t="shared" si="128"/>
        <v>1051.8281242743788</v>
      </c>
      <c r="EO145" s="59">
        <f ca="1">AVERAGE(OFFSET($EN$3,0,0,'Données projet'!$E$15+1,1))-AVERAGE(OFFSET($H$3,0,0,'Données projet'!$E$15+1,1))</f>
        <v>510.71380643466227</v>
      </c>
      <c r="EP145" s="59">
        <f t="shared" si="154"/>
        <v>252.40654099948841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16.301125487444665</v>
      </c>
      <c r="EW145" s="21">
        <f>EXP(-LN(2)/25)*EW144+(1-EXP(-LN(2)/25))/(LN(2)/25)*Calculateur!ER145*Calculateur!ET145*VLOOKUP('Données projet'!$B$15,Paramètres!$A$1:$I$89,3,0)*0.475*44/12</f>
        <v>15.306362580294479</v>
      </c>
      <c r="EX145" s="21">
        <f>EXP(-LN(2)/2)*EX144+(1-EXP(-LN(2)/2))/(LN(2)/2)*ER145*EU145*VLOOKUP('Données projet'!$B$15,Paramètres!$A$1:$I$89,3,0)*0.475*44/12</f>
        <v>0.35784668873818748</v>
      </c>
      <c r="EY145" s="22">
        <f t="shared" si="129"/>
        <v>31.965334756477333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7.6233333333333304</v>
      </c>
      <c r="N146" s="13">
        <f>IF('Données projet'!$A$36&gt;35,N145+M146-V145,IF(A146&lt;'Données projet'!$A$36,$K$205^A146,IF(A146='Données projet'!$A$36,'Données projet'!$B$36,N145+M146-V145)))</f>
        <v>365.78000000000003</v>
      </c>
      <c r="O146" s="13">
        <f>N146*VLOOKUP('Données projet'!$B$9,Paramètres!$A$1:$I$89,3,0)*VLOOKUP('Données projet'!$B$9,Paramètres!$A$1:$I$89,5,0)</f>
        <v>370.90092000000004</v>
      </c>
      <c r="P146" s="13">
        <f t="shared" si="141"/>
        <v>85.851592333291563</v>
      </c>
      <c r="Q146" s="20">
        <f t="shared" si="108"/>
        <v>795.5106256471496</v>
      </c>
      <c r="R146" s="59">
        <f t="shared" si="109"/>
        <v>1088.843958980483</v>
      </c>
      <c r="S146" s="59">
        <f ca="1">AVERAGE(OFFSET($R$3,0,0,'Données projet'!$E$9+1,1))-AVERAGE(OFFSET($H$3,0,0,'Données projet'!$E$9+1,1))</f>
        <v>543.67050511722618</v>
      </c>
      <c r="T146" s="59">
        <f t="shared" si="142"/>
        <v>249.0871389941106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26.568769879259346</v>
      </c>
      <c r="AA146" s="21">
        <f>EXP(-LN(2)/25)*AA145+(1-EXP(-LN(2)/25))/(LN(2)/25)*Calculateur!V146*Calculateur!X146*VLOOKUP('Données projet'!$B$9,Paramètres!$A$1:$I$89,3,0)*0.475*44/12</f>
        <v>21.871766778578714</v>
      </c>
      <c r="AB146" s="21">
        <f>EXP(-LN(2)/2)*AB145+(1-EXP(-LN(2)/2))/(LN(2)/2)*V146*Y146*VLOOKUP('Données projet'!$B$9,Paramètres!$A$1:$I$89,3,0)*0.475*44/12</f>
        <v>0.70167433997814121</v>
      </c>
      <c r="AC146" s="22">
        <f t="shared" si="111"/>
        <v>49.1422109978162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9.1440000000000055</v>
      </c>
      <c r="AI146" s="13">
        <f>IF('Données projet'!$A$62&gt;35,AI145+AH146-AQ145,IF(A146&lt;'Données projet'!$A$62,$AF$205^A146,IF(A146='Données projet'!$A$62,'Données projet'!$B$62,AI145+AH146-AQ145)))</f>
        <v>505.79600000000096</v>
      </c>
      <c r="AJ146" s="13">
        <f>AI146*VLOOKUP('Données projet'!$B$10,Paramètres!$A$1:$I$89,3,0)*VLOOKUP('Données projet'!$B$10,Paramètres!$A$1:$I$89,5,0)</f>
        <v>457.64422080000088</v>
      </c>
      <c r="AK146" s="13">
        <f t="shared" si="143"/>
        <v>103.37001757568726</v>
      </c>
      <c r="AL146" s="20">
        <f t="shared" si="112"/>
        <v>977.0997985043233</v>
      </c>
      <c r="AM146" s="59">
        <f t="shared" si="113"/>
        <v>1270.4331318376567</v>
      </c>
      <c r="AN146" s="59">
        <f ca="1">AVERAGE(OFFSET($AM$3,0,0,'Données projet'!$E$10+1,1))-AVERAGE(OFFSET($H$3,0,0,'Données projet'!$E$10+1,1))</f>
        <v>635.71275911100679</v>
      </c>
      <c r="AO146" s="59">
        <f t="shared" si="144"/>
        <v>281.7776857269169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37.441153589266669</v>
      </c>
      <c r="AV146" s="21">
        <f>EXP(-LN(2)/25)*AV145+(1-EXP(-LN(2)/25))/(LN(2)/25)*Calculateur!AQ146*Calculateur!AS146*VLOOKUP('Données projet'!$B$10,Paramètres!$A$1:$I$89,3,0)*0.475*44/12</f>
        <v>18.519775595731563</v>
      </c>
      <c r="AW146" s="21">
        <f>EXP(-LN(2)/2)*AW145+(1-EXP(-LN(2)/2))/(LN(2)/2)*AQ146*AT146*VLOOKUP('Données projet'!$B$10,Paramètres!$A$1:$I$89,3,0)*0.475*44/12</f>
        <v>7.0517057056032123E-3</v>
      </c>
      <c r="AX146" s="21">
        <f t="shared" si="114"/>
        <v>55.967980890703842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204.11804238362862</v>
      </c>
      <c r="BJ146" s="59">
        <f t="shared" si="146"/>
        <v>185.53854651509408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3.1641463698433867</v>
      </c>
      <c r="BQ146" s="21">
        <f>EXP(-LN(2)/25)*BQ145+(1-EXP(-LN(2)/25))/(LN(2)/25)*Calculateur!BL146*Calculateur!BN146*VLOOKUP('Données projet'!$B$11,Paramètres!$A$1:$I$89,3,0)*0.475*44/12</f>
        <v>12.279438443155245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15.443584812998632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7.6233333333333304</v>
      </c>
      <c r="BY146" s="12">
        <f>IF('Données projet'!$A$114&gt;35,BY145+BX146-CG145,IF(A146&lt;'Données projet'!$A$114,$BV$205^A146,IF(A146='Données projet'!$A$114,'Données projet'!$B$114,BY145+BX146-CG145)))</f>
        <v>365.78000000000003</v>
      </c>
      <c r="BZ146" s="13">
        <f>BY146*VLOOKUP('Données projet'!$B$12,Paramètres!$A$1:$I$89,3,0)*VLOOKUP('Données projet'!$B$12,Paramètres!$A$1:$I$89,5,0)</f>
        <v>365.19475200000005</v>
      </c>
      <c r="CA146" s="13">
        <f t="shared" si="147"/>
        <v>84.683488001736777</v>
      </c>
      <c r="CB146" s="20">
        <f t="shared" si="118"/>
        <v>783.53793466969148</v>
      </c>
      <c r="CC146" s="59">
        <f t="shared" si="119"/>
        <v>1076.8712680030249</v>
      </c>
      <c r="CD146" s="59">
        <f ca="1">AVERAGE(OFFSET($CC$3,0,0,'Données projet'!$E$12+1,1))-AVERAGE(OFFSET($H$3,0,0,'Données projet'!$E$12+1,1))</f>
        <v>535.99935263833549</v>
      </c>
      <c r="CE146" s="59">
        <f t="shared" si="148"/>
        <v>245.89966477332644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18.685728266731847</v>
      </c>
      <c r="CL146" s="21">
        <f>EXP(-LN(2)/25)*CL145+(1-EXP(-LN(2)/25))/(LN(2)/25)*Calculateur!CG146*Calculateur!CI146*VLOOKUP('Données projet'!$B$12,Paramètres!$A$1:$I$89,3,0)*0.475*44/12</f>
        <v>18.497618208888344</v>
      </c>
      <c r="CM146" s="21">
        <f>EXP(-LN(2)/2)*CM145+(1-EXP(-LN(2)/2))/(LN(2)/2)*CG146*CJ146*VLOOKUP('Données projet'!$B$12,Paramètres!$A$1:$I$89,3,0)*0.475*44/12</f>
        <v>1.7271983662813089</v>
      </c>
      <c r="CN146" s="22">
        <f t="shared" si="120"/>
        <v>38.910544841901498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2.5579538487363607E-13</v>
      </c>
      <c r="CU146" s="17">
        <f>CT146*VLOOKUP('Données projet'!$B$13,Paramètres!$A$1:$I$89,3,0)*VLOOKUP('Données projet'!$B$13,Paramètres!$A$1:$I$89,5,0)</f>
        <v>2.4341488824575211E-13</v>
      </c>
      <c r="CV146" s="13">
        <f t="shared" si="149"/>
        <v>3.2970717324875541E-12</v>
      </c>
      <c r="CW146" s="20">
        <f t="shared" si="121"/>
        <v>6.1663475311105072E-12</v>
      </c>
      <c r="CX146" s="59">
        <f t="shared" si="122"/>
        <v>293.33333333333945</v>
      </c>
      <c r="CY146" s="59">
        <f ca="1">AVERAGE(OFFSET($CX$3,0,0,'Données projet'!$E$13+1,1))-AVERAGE(OFFSET($H$3,0,0,'Données projet'!$E$13+1,1))</f>
        <v>449.28947235329758</v>
      </c>
      <c r="CZ146" s="59">
        <f t="shared" si="150"/>
        <v>289.36994109443964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51.134183429430479</v>
      </c>
      <c r="DG146" s="21">
        <f>EXP(-LN(2)/25)*DG145+(1-EXP(-LN(2)/25))/(LN(2)/25)*Calculateur!DB146*Calculateur!DD146*VLOOKUP('Données projet'!$B$13,Paramètres!$A$1:$I$89,3,0)*0.475*44/12</f>
        <v>41.984084496961579</v>
      </c>
      <c r="DH146" s="21">
        <f>EXP(-LN(2)/2)*DH145+(1-EXP(-LN(2)/2))/(LN(2)/2)*DB146*DE146*VLOOKUP('Données projet'!$B$13,Paramètres!$A$1:$I$89,3,0)*0.475*44/12</f>
        <v>0.39610296855282712</v>
      </c>
      <c r="DI146" s="22">
        <f t="shared" si="123"/>
        <v>93.514370894944889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5.6843418860808015E-14</v>
      </c>
      <c r="DP146" s="17">
        <f>DO146*VLOOKUP('Données projet'!$B$14,Paramètres!$A$1:$I$89,3,0)*VLOOKUP('Données projet'!$B$14,Paramètres!$A$1:$I$89,5,0)</f>
        <v>4.4337866711430253E-14</v>
      </c>
      <c r="DQ146" s="13">
        <f t="shared" si="151"/>
        <v>7.3222115536967035E-13</v>
      </c>
      <c r="DR146" s="20">
        <f t="shared" si="124"/>
        <v>1.3525069634579169E-12</v>
      </c>
      <c r="DS146" s="59">
        <f t="shared" si="125"/>
        <v>293.33333333333468</v>
      </c>
      <c r="DT146" s="59">
        <f ca="1">AVERAGE(OFFSET($DS$3,0,0,'Données projet'!$E$14+1,1))-AVERAGE(OFFSET($H$3,0,0,'Données projet'!$E$14+1,1))</f>
        <v>288.82868507674738</v>
      </c>
      <c r="DU146" s="59">
        <f t="shared" si="152"/>
        <v>283.48738729114024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9.9309477110041318</v>
      </c>
      <c r="EB146" s="21">
        <f>EXP(-LN(2)/25)*EB145+(1-EXP(-LN(2)/25))/(LN(2)/25)*Calculateur!DW146*Calculateur!DY146*VLOOKUP('Données projet'!$B$14,Paramètres!$A$1:$I$89,3,0)*0.475*44/12</f>
        <v>5.4406732357516487</v>
      </c>
      <c r="EC146" s="21">
        <f>EXP(-LN(2)/2)*EC145+(1-EXP(-LN(2)/2))/(LN(2)/2)*DW146*DZ146*VLOOKUP('Données projet'!$B$14,Paramètres!$A$1:$I$89,3,0)*0.475*44/12</f>
        <v>4.4205823835570105E-10</v>
      </c>
      <c r="ED146" s="22">
        <f t="shared" si="126"/>
        <v>15.371620947197838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7.3375000000000012</v>
      </c>
      <c r="EJ146" s="12">
        <f>IF('Données projet'!$A$192&gt;35,EJ145+EI146-ER145,IF(A146&lt;'Données projet'!$A$192,$EG$205^A146,IF(A146='Données projet'!$A$192,'Données projet'!$B$192,EJ145+EI146-ER145)))</f>
        <v>372.58249999999981</v>
      </c>
      <c r="EK146" s="17">
        <f>EJ146*VLOOKUP('Données projet'!$B$15,Paramètres!$A$1:$I$89,3,0)*VLOOKUP('Données projet'!$B$15,Paramètres!$A$1:$I$89,5,0)</f>
        <v>360.3617939999998</v>
      </c>
      <c r="EL146" s="13">
        <f t="shared" si="153"/>
        <v>83.69247587993793</v>
      </c>
      <c r="EM146" s="20">
        <f t="shared" si="127"/>
        <v>773.39452004089162</v>
      </c>
      <c r="EN146" s="59">
        <f t="shared" si="128"/>
        <v>1066.7278533742249</v>
      </c>
      <c r="EO146" s="59">
        <f ca="1">AVERAGE(OFFSET($EN$3,0,0,'Données projet'!$E$15+1,1))-AVERAGE(OFFSET($H$3,0,0,'Données projet'!$E$15+1,1))</f>
        <v>510.71380643466227</v>
      </c>
      <c r="EP146" s="59">
        <f t="shared" si="154"/>
        <v>252.40654099948841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15.981470359340662</v>
      </c>
      <c r="EW146" s="21">
        <f>EXP(-LN(2)/25)*EW145+(1-EXP(-LN(2)/25))/(LN(2)/25)*Calculateur!ER146*Calculateur!ET146*VLOOKUP('Données projet'!$B$15,Paramètres!$A$1:$I$89,3,0)*0.475*44/12</f>
        <v>14.887809290609702</v>
      </c>
      <c r="EX146" s="21">
        <f>EXP(-LN(2)/2)*EX145+(1-EXP(-LN(2)/2))/(LN(2)/2)*ER146*EU146*VLOOKUP('Données projet'!$B$15,Paramètres!$A$1:$I$89,3,0)*0.475*44/12</f>
        <v>0.25303582023192411</v>
      </c>
      <c r="EY146" s="22">
        <f t="shared" si="129"/>
        <v>31.12231547018229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7.6233333333333304</v>
      </c>
      <c r="N147" s="13">
        <f>IF('Données projet'!$A$36&gt;35,N146+M147-V146,IF(A147&lt;'Données projet'!$A$36,$K$205^A147,IF(A147='Données projet'!$A$36,'Données projet'!$B$36,N146+M147-V146)))</f>
        <v>373.40333333333336</v>
      </c>
      <c r="O147" s="13">
        <f>N147*VLOOKUP('Données projet'!$B$9,Paramètres!$A$1:$I$89,3,0)*VLOOKUP('Données projet'!$B$9,Paramètres!$A$1:$I$89,5,0)</f>
        <v>378.63098000000002</v>
      </c>
      <c r="P147" s="13">
        <f t="shared" si="141"/>
        <v>87.430678972053656</v>
      </c>
      <c r="Q147" s="20">
        <f t="shared" si="108"/>
        <v>811.72405604299354</v>
      </c>
      <c r="R147" s="59">
        <f t="shared" si="109"/>
        <v>1105.0573893763269</v>
      </c>
      <c r="S147" s="59">
        <f ca="1">AVERAGE(OFFSET($R$3,0,0,'Données projet'!$E$9+1,1))-AVERAGE(OFFSET($H$3,0,0,'Données projet'!$E$9+1,1))</f>
        <v>543.67050511722618</v>
      </c>
      <c r="T147" s="59">
        <f t="shared" si="142"/>
        <v>249.0871389941106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26.047772507276552</v>
      </c>
      <c r="AA147" s="21">
        <f>EXP(-LN(2)/25)*AA146+(1-EXP(-LN(2)/25))/(LN(2)/25)*Calculateur!V147*Calculateur!X147*VLOOKUP('Données projet'!$B$9,Paramètres!$A$1:$I$89,3,0)*0.475*44/12</f>
        <v>21.273682165832252</v>
      </c>
      <c r="AB147" s="21">
        <f>EXP(-LN(2)/2)*AB146+(1-EXP(-LN(2)/2))/(LN(2)/2)*V147*Y147*VLOOKUP('Données projet'!$B$9,Paramètres!$A$1:$I$89,3,0)*0.475*44/12</f>
        <v>0.49615868398313867</v>
      </c>
      <c r="AC147" s="22">
        <f t="shared" si="111"/>
        <v>47.817613357091943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9.1440000000000055</v>
      </c>
      <c r="AH147" s="12">
        <f t="array" ref="AH147">INDEX(AG:AG,MIN(IF(ISNUMBER(AG147:AG343),ROW(AG147:AG343),"")))</f>
        <v>9.1440000000000055</v>
      </c>
      <c r="AI147" s="13">
        <f>IF('Données projet'!$A$62&gt;35,AI146+AH147-AQ146,IF(A147&lt;'Données projet'!$A$62,$AF$205^A147,IF(A147='Données projet'!$A$62,'Données projet'!$B$62,AI146+AH147-AQ146)))</f>
        <v>514.94000000000096</v>
      </c>
      <c r="AJ147" s="13">
        <f>AI147*VLOOKUP('Données projet'!$B$10,Paramètres!$A$1:$I$89,3,0)*VLOOKUP('Données projet'!$B$10,Paramètres!$A$1:$I$89,5,0)</f>
        <v>465.91771200000085</v>
      </c>
      <c r="AK147" s="13">
        <f t="shared" si="143"/>
        <v>105.01953528507198</v>
      </c>
      <c r="AL147" s="20">
        <f t="shared" si="112"/>
        <v>994.38237235483496</v>
      </c>
      <c r="AM147" s="59">
        <f t="shared" si="113"/>
        <v>1287.7157056881683</v>
      </c>
      <c r="AN147" s="59">
        <f ca="1">AVERAGE(OFFSET($AM$3,0,0,'Données projet'!$E$10+1,1))-AVERAGE(OFFSET($H$3,0,0,'Données projet'!$E$10+1,1))</f>
        <v>635.71275911100679</v>
      </c>
      <c r="AO147" s="59">
        <f t="shared" si="144"/>
        <v>281.7776857269169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61.800000000000068</v>
      </c>
      <c r="AR147" s="16">
        <f>IF(ISNA(VLOOKUP(A147,'Données projet'!$A$61:$I$81,5,0)),0%,VLOOKUP(A147,'Données projet'!$A$61:$I$81,5,0)*VLOOKUP('Données projet'!$B$10,Paramètres!$A$1:$I$89,7,0))</f>
        <v>0.215</v>
      </c>
      <c r="AS147" s="16">
        <f>IF(ISNA(VLOOKUP(A147,'Données projet'!$A$61:$I$81,6,0)),0%,VLOOKUP(A147,'Données projet'!$A$61:$I$81,6,0)*VLOOKUP('Données projet'!$B$10,Paramètres!$A$1:$I$89,7,0))</f>
        <v>8.6000000000000007E-2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49.997006091476479</v>
      </c>
      <c r="AV147" s="21">
        <f>EXP(-LN(2)/25)*AV146+(1-EXP(-LN(2)/25))/(LN(2)/25)*Calculateur!AQ147*Calculateur!AS147*VLOOKUP('Données projet'!$B$10,Paramètres!$A$1:$I$89,3,0)*0.475*44/12</f>
        <v>23.30844043566745</v>
      </c>
      <c r="AW147" s="21">
        <f>EXP(-LN(2)/2)*AW146+(1-EXP(-LN(2)/2))/(LN(2)/2)*AQ147*AT147*VLOOKUP('Données projet'!$B$10,Paramètres!$A$1:$I$89,3,0)*0.475*44/12</f>
        <v>4.9863089233638993E-3</v>
      </c>
      <c r="AX147" s="21">
        <f t="shared" si="114"/>
        <v>73.310432836067292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204.11804238362862</v>
      </c>
      <c r="BJ147" s="59">
        <f t="shared" si="146"/>
        <v>185.53854651509408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3.1020993894694779</v>
      </c>
      <c r="BQ147" s="21">
        <f>EXP(-LN(2)/25)*BQ146+(1-EXP(-LN(2)/25))/(LN(2)/25)*Calculateur!BL147*Calculateur!BN147*VLOOKUP('Données projet'!$B$11,Paramètres!$A$1:$I$89,3,0)*0.475*44/12</f>
        <v>11.943656553179562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15.045755942649039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7.6233333333333304</v>
      </c>
      <c r="BY147" s="12">
        <f>IF('Données projet'!$A$114&gt;35,BY146+BX147-CG146,IF(A147&lt;'Données projet'!$A$114,$BV$205^A147,IF(A147='Données projet'!$A$114,'Données projet'!$B$114,BY146+BX147-CG146)))</f>
        <v>373.40333333333336</v>
      </c>
      <c r="BZ147" s="13">
        <f>BY147*VLOOKUP('Données projet'!$B$12,Paramètres!$A$1:$I$89,3,0)*VLOOKUP('Données projet'!$B$12,Paramètres!$A$1:$I$89,5,0)</f>
        <v>372.80588800000004</v>
      </c>
      <c r="CA147" s="13">
        <f t="shared" si="147"/>
        <v>86.241089448523894</v>
      </c>
      <c r="CB147" s="20">
        <f t="shared" si="118"/>
        <v>799.5068190561791</v>
      </c>
      <c r="CC147" s="59">
        <f t="shared" si="119"/>
        <v>1092.8401523895125</v>
      </c>
      <c r="CD147" s="59">
        <f ca="1">AVERAGE(OFFSET($CC$3,0,0,'Données projet'!$E$12+1,1))-AVERAGE(OFFSET($H$3,0,0,'Données projet'!$E$12+1,1))</f>
        <v>535.99935263833549</v>
      </c>
      <c r="CE147" s="59">
        <f t="shared" si="148"/>
        <v>245.89966477332644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18.3193125325901</v>
      </c>
      <c r="CL147" s="21">
        <f>EXP(-LN(2)/25)*CL146+(1-EXP(-LN(2)/25))/(LN(2)/25)*Calculateur!CG147*Calculateur!CI147*VLOOKUP('Données projet'!$B$12,Paramètres!$A$1:$I$89,3,0)*0.475*44/12</f>
        <v>17.991799866218827</v>
      </c>
      <c r="CM147" s="21">
        <f>EXP(-LN(2)/2)*CM146+(1-EXP(-LN(2)/2))/(LN(2)/2)*CG147*CJ147*VLOOKUP('Données projet'!$B$12,Paramètres!$A$1:$I$89,3,0)*0.475*44/12</f>
        <v>1.2213136772518398</v>
      </c>
      <c r="CN147" s="22">
        <f t="shared" si="120"/>
        <v>37.532426076060773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2.5579538487363607E-13</v>
      </c>
      <c r="CU147" s="17">
        <f>CT147*VLOOKUP('Données projet'!$B$13,Paramètres!$A$1:$I$89,3,0)*VLOOKUP('Données projet'!$B$13,Paramètres!$A$1:$I$89,5,0)</f>
        <v>2.4341488824575211E-13</v>
      </c>
      <c r="CV147" s="13">
        <f t="shared" si="149"/>
        <v>3.2970717324875541E-12</v>
      </c>
      <c r="CW147" s="20">
        <f t="shared" si="121"/>
        <v>6.1663475311105072E-12</v>
      </c>
      <c r="CX147" s="59">
        <f t="shared" si="122"/>
        <v>293.33333333333945</v>
      </c>
      <c r="CY147" s="59">
        <f ca="1">AVERAGE(OFFSET($CX$3,0,0,'Données projet'!$E$13+1,1))-AVERAGE(OFFSET($H$3,0,0,'Données projet'!$E$13+1,1))</f>
        <v>449.28947235329758</v>
      </c>
      <c r="CZ147" s="59">
        <f t="shared" si="150"/>
        <v>289.36994109443964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50.131473281151607</v>
      </c>
      <c r="DG147" s="21">
        <f>EXP(-LN(2)/25)*DG146+(1-EXP(-LN(2)/25))/(LN(2)/25)*Calculateur!DB147*Calculateur!DD147*VLOOKUP('Données projet'!$B$13,Paramètres!$A$1:$I$89,3,0)*0.475*44/12</f>
        <v>40.836027498545114</v>
      </c>
      <c r="DH147" s="21">
        <f>EXP(-LN(2)/2)*DH146+(1-EXP(-LN(2)/2))/(LN(2)/2)*DB147*DE147*VLOOKUP('Données projet'!$B$13,Paramètres!$A$1:$I$89,3,0)*0.475*44/12</f>
        <v>0.28008709511182583</v>
      </c>
      <c r="DI147" s="22">
        <f t="shared" si="123"/>
        <v>91.247587874808545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5.6843418860808015E-14</v>
      </c>
      <c r="DP147" s="17">
        <f>DO147*VLOOKUP('Données projet'!$B$14,Paramètres!$A$1:$I$89,3,0)*VLOOKUP('Données projet'!$B$14,Paramètres!$A$1:$I$89,5,0)</f>
        <v>4.4337866711430253E-14</v>
      </c>
      <c r="DQ147" s="13">
        <f t="shared" si="151"/>
        <v>7.3222115536967035E-13</v>
      </c>
      <c r="DR147" s="20">
        <f t="shared" si="124"/>
        <v>1.3525069634579169E-12</v>
      </c>
      <c r="DS147" s="59">
        <f t="shared" si="125"/>
        <v>293.33333333333468</v>
      </c>
      <c r="DT147" s="59">
        <f ca="1">AVERAGE(OFFSET($DS$3,0,0,'Données projet'!$E$14+1,1))-AVERAGE(OFFSET($H$3,0,0,'Données projet'!$E$14+1,1))</f>
        <v>288.82868507674738</v>
      </c>
      <c r="DU147" s="59">
        <f t="shared" si="152"/>
        <v>283.48738729114024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9.7362078836713373</v>
      </c>
      <c r="EB147" s="21">
        <f>EXP(-LN(2)/25)*EB146+(1-EXP(-LN(2)/25))/(LN(2)/25)*Calculateur!DW147*Calculateur!DY147*VLOOKUP('Données projet'!$B$14,Paramètres!$A$1:$I$89,3,0)*0.475*44/12</f>
        <v>5.2918977400074496</v>
      </c>
      <c r="EC147" s="21">
        <f>EXP(-LN(2)/2)*EC146+(1-EXP(-LN(2)/2))/(LN(2)/2)*DW147*DZ147*VLOOKUP('Données projet'!$B$14,Paramètres!$A$1:$I$89,3,0)*0.475*44/12</f>
        <v>3.1258237802069537E-10</v>
      </c>
      <c r="ED147" s="22">
        <f t="shared" si="126"/>
        <v>15.028105623991369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>
        <f>VLOOKUP(A147,'Données projet'!$A$191:$I$211,2,0)</f>
        <v>379.92</v>
      </c>
      <c r="EH147" s="12">
        <f>VLOOKUP(A147,'Données projet'!$A$191:$I$211,9,0)</f>
        <v>7.3375000000000012</v>
      </c>
      <c r="EI147" s="12">
        <f t="array" ref="EI147">INDEX(EH:EH,MIN(IF(ISNUMBER(EH147:EH343),ROW(EH147:EH343),"")))</f>
        <v>7.3375000000000012</v>
      </c>
      <c r="EJ147" s="12">
        <f>IF('Données projet'!$A$192&gt;35,EJ146+EI147-ER146,IF(A147&lt;'Données projet'!$A$192,$EG$205^A147,IF(A147='Données projet'!$A$192,'Données projet'!$B$192,EJ146+EI147-ER146)))</f>
        <v>379.91999999999979</v>
      </c>
      <c r="EK147" s="17">
        <f>EJ147*VLOOKUP('Données projet'!$B$15,Paramètres!$A$1:$I$89,3,0)*VLOOKUP('Données projet'!$B$15,Paramètres!$A$1:$I$89,5,0)</f>
        <v>367.45862399999976</v>
      </c>
      <c r="EL147" s="13">
        <f t="shared" si="153"/>
        <v>85.147175545724309</v>
      </c>
      <c r="EM147" s="20">
        <f t="shared" si="127"/>
        <v>788.28843420880264</v>
      </c>
      <c r="EN147" s="59">
        <f t="shared" si="128"/>
        <v>1081.621767542136</v>
      </c>
      <c r="EO147" s="59">
        <f ca="1">AVERAGE(OFFSET($EN$3,0,0,'Données projet'!$E$15+1,1))-AVERAGE(OFFSET($H$3,0,0,'Données projet'!$E$15+1,1))</f>
        <v>510.71380643466227</v>
      </c>
      <c r="EP147" s="59">
        <f t="shared" si="154"/>
        <v>252.40654099948841</v>
      </c>
      <c r="EQ147" s="15">
        <f>IF(ISNA(VLOOKUP(A147,'Données projet'!$A$191:$I$211,3,0)),0,VLOOKUP(A147,'Données projet'!$A$191:$I$211,3,0))</f>
        <v>10</v>
      </c>
      <c r="ER147" s="15">
        <f>IF(ISNA(VLOOKUP(A147,'Données projet'!$A$191:$I$211,4,0)),0,VLOOKUP(A147,'Données projet'!$A$191:$I$211,4,0))</f>
        <v>60.949999999999989</v>
      </c>
      <c r="ES147" s="16">
        <f>IF(ISNA(VLOOKUP(A147,'Données projet'!$A$191:$I$211,5,0)),0%,VLOOKUP(A147,'Données projet'!$A$191:$I$211,5,0)*VLOOKUP('Données projet'!$B$15,Paramètres!$A$1:$I$89,7,0))</f>
        <v>0.1075</v>
      </c>
      <c r="ET147" s="16">
        <f>IF(ISNA(VLOOKUP(A147,'Données projet'!$A$191:$I$211,6,0)),0%,VLOOKUP(A147,'Données projet'!$A$191:$I$211,6,0)*VLOOKUP('Données projet'!$B$15,Paramètres!$A$1:$I$89,7,0))</f>
        <v>0.1075</v>
      </c>
      <c r="EU147" s="16">
        <f>IF(ISNA(VLOOKUP(A147,'Données projet'!$A$191:$I$211,7,0)),0%,VLOOKUP(A147,'Données projet'!$A$191:$I$211,7,0))</f>
        <v>0.25</v>
      </c>
      <c r="EV147" s="21">
        <f>EXP(-LN(2)/35)*EV146+(1-EXP(-LN(2)/35))/(LN(2)/35)*ER147*ES147*VLOOKUP('Données projet'!$B$15,Paramètres!$A$1:$I$89,3,0)*0.475*44/12</f>
        <v>22.673687276201417</v>
      </c>
      <c r="EW147" s="21">
        <f>EXP(-LN(2)/25)*EW146+(1-EXP(-LN(2)/25))/(LN(2)/25)*Calculateur!ER147*Calculateur!ET147*VLOOKUP('Données projet'!$B$15,Paramètres!$A$1:$I$89,3,0)*0.475*44/12</f>
        <v>21.4587214339989</v>
      </c>
      <c r="EX147" s="21">
        <f>EXP(-LN(2)/2)*EX146+(1-EXP(-LN(2)/2))/(LN(2)/2)*ER147*EU147*VLOOKUP('Données projet'!$B$15,Paramètres!$A$1:$I$89,3,0)*0.475*44/12</f>
        <v>14.084349389018065</v>
      </c>
      <c r="EY147" s="22">
        <f t="shared" si="129"/>
        <v>58.216758099218382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7.6233333333333304</v>
      </c>
      <c r="N148" s="13">
        <f>IF('Données projet'!$A$36&gt;35,N147+M148-V147,IF(A148&lt;'Données projet'!$A$36,$K$205^A148,IF(A148='Données projet'!$A$36,'Données projet'!$B$36,N147+M148-V147)))</f>
        <v>381.0266666666667</v>
      </c>
      <c r="O148" s="13">
        <f>N148*VLOOKUP('Données projet'!$B$9,Paramètres!$A$1:$I$89,3,0)*VLOOKUP('Données projet'!$B$9,Paramètres!$A$1:$I$89,5,0)</f>
        <v>386.36104000000006</v>
      </c>
      <c r="P148" s="13">
        <f t="shared" si="141"/>
        <v>89.006017247978107</v>
      </c>
      <c r="Q148" s="20">
        <f t="shared" si="108"/>
        <v>827.93095804022857</v>
      </c>
      <c r="R148" s="59">
        <f t="shared" si="109"/>
        <v>1121.2642913735619</v>
      </c>
      <c r="S148" s="59">
        <f ca="1">AVERAGE(OFFSET($R$3,0,0,'Données projet'!$E$9+1,1))-AVERAGE(OFFSET($H$3,0,0,'Données projet'!$E$9+1,1))</f>
        <v>543.67050511722618</v>
      </c>
      <c r="T148" s="59">
        <f t="shared" si="142"/>
        <v>249.0871389941106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25.536991575981322</v>
      </c>
      <c r="AA148" s="21">
        <f>EXP(-LN(2)/25)*AA147+(1-EXP(-LN(2)/25))/(LN(2)/25)*Calculateur!V148*Calculateur!X148*VLOOKUP('Données projet'!$B$9,Paramètres!$A$1:$I$89,3,0)*0.475*44/12</f>
        <v>20.691952208273246</v>
      </c>
      <c r="AB148" s="21">
        <f>EXP(-LN(2)/2)*AB147+(1-EXP(-LN(2)/2))/(LN(2)/2)*V148*Y148*VLOOKUP('Données projet'!$B$9,Paramètres!$A$1:$I$89,3,0)*0.475*44/12</f>
        <v>0.35083716998907066</v>
      </c>
      <c r="AC148" s="22">
        <f t="shared" si="111"/>
        <v>46.579780954243638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9.3350000000000026</v>
      </c>
      <c r="AI148" s="13">
        <f>IF('Données projet'!$A$62&gt;35,AI147+AH148-AQ147,IF(A148&lt;'Données projet'!$A$62,$AF$205^A148,IF(A148='Données projet'!$A$62,'Données projet'!$B$62,AI147+AH148-AQ147)))</f>
        <v>462.47500000000093</v>
      </c>
      <c r="AJ148" s="13">
        <f>AI148*VLOOKUP('Données projet'!$B$10,Paramètres!$A$1:$I$89,3,0)*VLOOKUP('Données projet'!$B$10,Paramètres!$A$1:$I$89,5,0)</f>
        <v>418.44738000000081</v>
      </c>
      <c r="AK148" s="13">
        <f t="shared" si="143"/>
        <v>95.506718301246906</v>
      </c>
      <c r="AL148" s="20">
        <f t="shared" si="112"/>
        <v>895.13672120800663</v>
      </c>
      <c r="AM148" s="59">
        <f t="shared" si="113"/>
        <v>1188.47005454134</v>
      </c>
      <c r="AN148" s="59">
        <f ca="1">AVERAGE(OFFSET($AM$3,0,0,'Données projet'!$E$10+1,1))-AVERAGE(OFFSET($H$3,0,0,'Données projet'!$E$10+1,1))</f>
        <v>635.71275911100679</v>
      </c>
      <c r="AO148" s="59">
        <f t="shared" si="144"/>
        <v>281.7776857269169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49.016595297185191</v>
      </c>
      <c r="AV148" s="21">
        <f>EXP(-LN(2)/25)*AV147+(1-EXP(-LN(2)/25))/(LN(2)/25)*Calculateur!AQ148*Calculateur!AS148*VLOOKUP('Données projet'!$B$10,Paramètres!$A$1:$I$89,3,0)*0.475*44/12</f>
        <v>22.671069906216513</v>
      </c>
      <c r="AW148" s="21">
        <f>EXP(-LN(2)/2)*AW147+(1-EXP(-LN(2)/2))/(LN(2)/2)*AQ148*AT148*VLOOKUP('Données projet'!$B$10,Paramètres!$A$1:$I$89,3,0)*0.475*44/12</f>
        <v>3.5258528528016061E-3</v>
      </c>
      <c r="AX148" s="21">
        <f t="shared" si="114"/>
        <v>71.69119105625451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204.11804238362862</v>
      </c>
      <c r="BJ148" s="59">
        <f t="shared" si="146"/>
        <v>185.53854651509408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3.0412691125357805</v>
      </c>
      <c r="BQ148" s="21">
        <f>EXP(-LN(2)/25)*BQ147+(1-EXP(-LN(2)/25))/(LN(2)/25)*Calculateur!BL148*Calculateur!BN148*VLOOKUP('Données projet'!$B$11,Paramètres!$A$1:$I$89,3,0)*0.475*44/12</f>
        <v>11.617056636643266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14.658325749179046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7.6233333333333304</v>
      </c>
      <c r="BY148" s="12">
        <f>IF('Données projet'!$A$114&gt;35,BY147+BX148-CG147,IF(A148&lt;'Données projet'!$A$114,$BV$205^A148,IF(A148='Données projet'!$A$114,'Données projet'!$B$114,BY147+BX148-CG147)))</f>
        <v>381.0266666666667</v>
      </c>
      <c r="BZ148" s="13">
        <f>BY148*VLOOKUP('Données projet'!$B$12,Paramètres!$A$1:$I$89,3,0)*VLOOKUP('Données projet'!$B$12,Paramètres!$A$1:$I$89,5,0)</f>
        <v>380.41702400000008</v>
      </c>
      <c r="CA148" s="13">
        <f t="shared" si="147"/>
        <v>87.794993533028403</v>
      </c>
      <c r="CB148" s="20">
        <f t="shared" si="118"/>
        <v>815.46926387002452</v>
      </c>
      <c r="CC148" s="59">
        <f t="shared" si="119"/>
        <v>1108.8025972033579</v>
      </c>
      <c r="CD148" s="59">
        <f ca="1">AVERAGE(OFFSET($CC$3,0,0,'Données projet'!$E$12+1,1))-AVERAGE(OFFSET($H$3,0,0,'Données projet'!$E$12+1,1))</f>
        <v>535.99935263833549</v>
      </c>
      <c r="CE148" s="59">
        <f t="shared" si="148"/>
        <v>245.89966477332644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17.960081987503344</v>
      </c>
      <c r="CL148" s="21">
        <f>EXP(-LN(2)/25)*CL147+(1-EXP(-LN(2)/25))/(LN(2)/25)*Calculateur!CG148*Calculateur!CI148*VLOOKUP('Données projet'!$B$12,Paramètres!$A$1:$I$89,3,0)*0.475*44/12</f>
        <v>17.499813152729438</v>
      </c>
      <c r="CM148" s="21">
        <f>EXP(-LN(2)/2)*CM147+(1-EXP(-LN(2)/2))/(LN(2)/2)*CG148*CJ148*VLOOKUP('Données projet'!$B$12,Paramètres!$A$1:$I$89,3,0)*0.475*44/12</f>
        <v>0.86359918314065443</v>
      </c>
      <c r="CN148" s="22">
        <f t="shared" si="120"/>
        <v>36.323494323373438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2.5579538487363607E-13</v>
      </c>
      <c r="CU148" s="17">
        <f>CT148*VLOOKUP('Données projet'!$B$13,Paramètres!$A$1:$I$89,3,0)*VLOOKUP('Données projet'!$B$13,Paramètres!$A$1:$I$89,5,0)</f>
        <v>2.4341488824575211E-13</v>
      </c>
      <c r="CV148" s="13">
        <f t="shared" si="149"/>
        <v>3.2970717324875541E-12</v>
      </c>
      <c r="CW148" s="20">
        <f t="shared" si="121"/>
        <v>6.1663475311105072E-12</v>
      </c>
      <c r="CX148" s="59">
        <f t="shared" si="122"/>
        <v>293.33333333333945</v>
      </c>
      <c r="CY148" s="59">
        <f ca="1">AVERAGE(OFFSET($CX$3,0,0,'Données projet'!$E$13+1,1))-AVERAGE(OFFSET($H$3,0,0,'Données projet'!$E$13+1,1))</f>
        <v>449.28947235329758</v>
      </c>
      <c r="CZ148" s="59">
        <f t="shared" si="150"/>
        <v>289.36994109443964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49.148425667287682</v>
      </c>
      <c r="DG148" s="21">
        <f>EXP(-LN(2)/25)*DG147+(1-EXP(-LN(2)/25))/(LN(2)/25)*Calculateur!DB148*Calculateur!DD148*VLOOKUP('Données projet'!$B$13,Paramètres!$A$1:$I$89,3,0)*0.475*44/12</f>
        <v>39.719364179124042</v>
      </c>
      <c r="DH148" s="21">
        <f>EXP(-LN(2)/2)*DH147+(1-EXP(-LN(2)/2))/(LN(2)/2)*DB148*DE148*VLOOKUP('Données projet'!$B$13,Paramètres!$A$1:$I$89,3,0)*0.475*44/12</f>
        <v>0.19805148427641356</v>
      </c>
      <c r="DI148" s="22">
        <f t="shared" si="123"/>
        <v>89.065841330688144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5.6843418860808015E-14</v>
      </c>
      <c r="DP148" s="17">
        <f>DO148*VLOOKUP('Données projet'!$B$14,Paramètres!$A$1:$I$89,3,0)*VLOOKUP('Données projet'!$B$14,Paramètres!$A$1:$I$89,5,0)</f>
        <v>4.4337866711430253E-14</v>
      </c>
      <c r="DQ148" s="13">
        <f t="shared" si="151"/>
        <v>7.3222115536967035E-13</v>
      </c>
      <c r="DR148" s="20">
        <f t="shared" si="124"/>
        <v>1.3525069634579169E-12</v>
      </c>
      <c r="DS148" s="59">
        <f t="shared" si="125"/>
        <v>293.33333333333468</v>
      </c>
      <c r="DT148" s="59">
        <f ca="1">AVERAGE(OFFSET($DS$3,0,0,'Données projet'!$E$14+1,1))-AVERAGE(OFFSET($H$3,0,0,'Données projet'!$E$14+1,1))</f>
        <v>288.82868507674738</v>
      </c>
      <c r="DU148" s="59">
        <f t="shared" si="152"/>
        <v>283.48738729114024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9.5452867855729728</v>
      </c>
      <c r="EB148" s="21">
        <f>EXP(-LN(2)/25)*EB147+(1-EXP(-LN(2)/25))/(LN(2)/25)*Calculateur!DW148*Calculateur!DY148*VLOOKUP('Données projet'!$B$14,Paramètres!$A$1:$I$89,3,0)*0.475*44/12</f>
        <v>5.1471905180181388</v>
      </c>
      <c r="EC148" s="21">
        <f>EXP(-LN(2)/2)*EC147+(1-EXP(-LN(2)/2))/(LN(2)/2)*DW148*DZ148*VLOOKUP('Données projet'!$B$14,Paramètres!$A$1:$I$89,3,0)*0.475*44/12</f>
        <v>2.2102911917785053E-10</v>
      </c>
      <c r="ED148" s="22">
        <f t="shared" si="126"/>
        <v>14.69247730381214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7.5191666666666634</v>
      </c>
      <c r="EJ148" s="12">
        <f>IF('Données projet'!$A$192&gt;35,EJ147+EI148-ER147,IF(A148&lt;'Données projet'!$A$192,$EG$205^A148,IF(A148='Données projet'!$A$192,'Données projet'!$B$192,EJ147+EI148-ER147)))</f>
        <v>326.48916666666645</v>
      </c>
      <c r="EK148" s="17">
        <f>EJ148*VLOOKUP('Données projet'!$B$15,Paramètres!$A$1:$I$89,3,0)*VLOOKUP('Données projet'!$B$15,Paramètres!$A$1:$I$89,5,0)</f>
        <v>315.78032199999979</v>
      </c>
      <c r="EL148" s="13">
        <f t="shared" si="153"/>
        <v>74.474690447846996</v>
      </c>
      <c r="EM148" s="20">
        <f t="shared" si="127"/>
        <v>679.69414667999979</v>
      </c>
      <c r="EN148" s="59">
        <f t="shared" si="128"/>
        <v>973.02748001333316</v>
      </c>
      <c r="EO148" s="59">
        <f ca="1">AVERAGE(OFFSET($EN$3,0,0,'Données projet'!$E$15+1,1))-AVERAGE(OFFSET($H$3,0,0,'Données projet'!$E$15+1,1))</f>
        <v>510.71380643466227</v>
      </c>
      <c r="EP148" s="59">
        <f t="shared" si="154"/>
        <v>252.40654099948841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22.229070098298788</v>
      </c>
      <c r="EW148" s="21">
        <f>EXP(-LN(2)/25)*EW147+(1-EXP(-LN(2)/25))/(LN(2)/25)*Calculateur!ER148*Calculateur!ET148*VLOOKUP('Données projet'!$B$15,Paramètres!$A$1:$I$89,3,0)*0.475*44/12</f>
        <v>20.871931567921084</v>
      </c>
      <c r="EX148" s="21">
        <f>EXP(-LN(2)/2)*EX147+(1-EXP(-LN(2)/2))/(LN(2)/2)*ER148*EU148*VLOOKUP('Données projet'!$B$15,Paramètres!$A$1:$I$89,3,0)*0.475*44/12</f>
        <v>9.9591389615752828</v>
      </c>
      <c r="EY148" s="22">
        <f t="shared" si="129"/>
        <v>53.060140627795157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7.6233333333333304</v>
      </c>
      <c r="N149" s="13">
        <f>IF('Données projet'!$A$36&gt;35,N148+M149-V148,IF(A149&lt;'Données projet'!$A$36,$K$205^A149,IF(A149='Données projet'!$A$36,'Données projet'!$B$36,N148+M149-V148)))</f>
        <v>388.65000000000003</v>
      </c>
      <c r="O149" s="13">
        <f>N149*VLOOKUP('Données projet'!$B$9,Paramètres!$A$1:$I$89,3,0)*VLOOKUP('Données projet'!$B$9,Paramètres!$A$1:$I$89,5,0)</f>
        <v>394.09110000000004</v>
      </c>
      <c r="P149" s="13">
        <f t="shared" si="141"/>
        <v>90.57769079910814</v>
      </c>
      <c r="Q149" s="20">
        <f t="shared" si="108"/>
        <v>844.13147730844673</v>
      </c>
      <c r="R149" s="59">
        <f t="shared" si="109"/>
        <v>1137.4648106417801</v>
      </c>
      <c r="S149" s="59">
        <f ca="1">AVERAGE(OFFSET($R$3,0,0,'Données projet'!$E$9+1,1))-AVERAGE(OFFSET($H$3,0,0,'Données projet'!$E$9+1,1))</f>
        <v>543.67050511722618</v>
      </c>
      <c r="T149" s="59">
        <f t="shared" si="142"/>
        <v>249.0871389941106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25.036226747203184</v>
      </c>
      <c r="AA149" s="21">
        <f>EXP(-LN(2)/25)*AA148+(1-EXP(-LN(2)/25))/(LN(2)/25)*Calculateur!V149*Calculateur!X149*VLOOKUP('Données projet'!$B$9,Paramètres!$A$1:$I$89,3,0)*0.475*44/12</f>
        <v>20.12612968699554</v>
      </c>
      <c r="AB149" s="21">
        <f>EXP(-LN(2)/2)*AB148+(1-EXP(-LN(2)/2))/(LN(2)/2)*V149*Y149*VLOOKUP('Données projet'!$B$9,Paramètres!$A$1:$I$89,3,0)*0.475*44/12</f>
        <v>0.24807934199156939</v>
      </c>
      <c r="AC149" s="22">
        <f t="shared" si="111"/>
        <v>45.410435776190297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9.3350000000000026</v>
      </c>
      <c r="AI149" s="13">
        <f>IF('Données projet'!$A$62&gt;35,AI148+AH149-AQ148,IF(A149&lt;'Données projet'!$A$62,$AF$205^A149,IF(A149='Données projet'!$A$62,'Données projet'!$B$62,AI148+AH149-AQ148)))</f>
        <v>471.81000000000091</v>
      </c>
      <c r="AJ149" s="13">
        <f>AI149*VLOOKUP('Données projet'!$B$10,Paramètres!$A$1:$I$89,3,0)*VLOOKUP('Données projet'!$B$10,Paramètres!$A$1:$I$89,5,0)</f>
        <v>426.89368800000079</v>
      </c>
      <c r="AK149" s="13">
        <f t="shared" si="143"/>
        <v>97.208128358788159</v>
      </c>
      <c r="AL149" s="20">
        <f t="shared" si="112"/>
        <v>912.81066349155742</v>
      </c>
      <c r="AM149" s="59">
        <f t="shared" si="113"/>
        <v>1206.1439968248908</v>
      </c>
      <c r="AN149" s="59">
        <f ca="1">AVERAGE(OFFSET($AM$3,0,0,'Données projet'!$E$10+1,1))-AVERAGE(OFFSET($H$3,0,0,'Données projet'!$E$10+1,1))</f>
        <v>635.71275911100679</v>
      </c>
      <c r="AO149" s="59">
        <f t="shared" si="144"/>
        <v>281.7776857269169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48.055409760578421</v>
      </c>
      <c r="AV149" s="21">
        <f>EXP(-LN(2)/25)*AV148+(1-EXP(-LN(2)/25))/(LN(2)/25)*Calculateur!AQ149*Calculateur!AS149*VLOOKUP('Données projet'!$B$10,Paramètres!$A$1:$I$89,3,0)*0.475*44/12</f>
        <v>22.051128307411272</v>
      </c>
      <c r="AW149" s="21">
        <f>EXP(-LN(2)/2)*AW148+(1-EXP(-LN(2)/2))/(LN(2)/2)*AQ149*AT149*VLOOKUP('Données projet'!$B$10,Paramètres!$A$1:$I$89,3,0)*0.475*44/12</f>
        <v>2.4931544616819496E-3</v>
      </c>
      <c r="AX149" s="21">
        <f t="shared" si="114"/>
        <v>70.109031222451364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204.11804238362862</v>
      </c>
      <c r="BJ149" s="59">
        <f t="shared" si="146"/>
        <v>185.53854651509408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2.9816316802299472</v>
      </c>
      <c r="BQ149" s="21">
        <f>EXP(-LN(2)/25)*BQ148+(1-EXP(-LN(2)/25))/(LN(2)/25)*Calculateur!BL149*Calculateur!BN149*VLOOKUP('Données projet'!$B$11,Paramètres!$A$1:$I$89,3,0)*0.475*44/12</f>
        <v>11.299387611999798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14.281019292229745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7.6233333333333304</v>
      </c>
      <c r="BY149" s="12">
        <f>IF('Données projet'!$A$114&gt;35,BY148+BX149-CG148,IF(A149&lt;'Données projet'!$A$114,$BV$205^A149,IF(A149='Données projet'!$A$114,'Données projet'!$B$114,BY148+BX149-CG148)))</f>
        <v>388.65000000000003</v>
      </c>
      <c r="BZ149" s="13">
        <f>BY149*VLOOKUP('Données projet'!$B$12,Paramètres!$A$1:$I$89,3,0)*VLOOKUP('Données projet'!$B$12,Paramètres!$A$1:$I$89,5,0)</f>
        <v>388.02816000000001</v>
      </c>
      <c r="CA149" s="13">
        <f t="shared" si="147"/>
        <v>89.34528275530711</v>
      </c>
      <c r="CB149" s="20">
        <f t="shared" si="118"/>
        <v>831.42541279882653</v>
      </c>
      <c r="CC149" s="59">
        <f t="shared" si="119"/>
        <v>1124.7587461321598</v>
      </c>
      <c r="CD149" s="59">
        <f ca="1">AVERAGE(OFFSET($CC$3,0,0,'Données projet'!$E$12+1,1))-AVERAGE(OFFSET($H$3,0,0,'Données projet'!$E$12+1,1))</f>
        <v>535.99935263833549</v>
      </c>
      <c r="CE149" s="59">
        <f t="shared" si="148"/>
        <v>245.89966477332644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17.607895734296743</v>
      </c>
      <c r="CL149" s="21">
        <f>EXP(-LN(2)/25)*CL148+(1-EXP(-LN(2)/25))/(LN(2)/25)*Calculateur!CG149*Calculateur!CI149*VLOOKUP('Données projet'!$B$12,Paramètres!$A$1:$I$89,3,0)*0.475*44/12</f>
        <v>17.021279841792875</v>
      </c>
      <c r="CM149" s="21">
        <f>EXP(-LN(2)/2)*CM148+(1-EXP(-LN(2)/2))/(LN(2)/2)*CG149*CJ149*VLOOKUP('Données projet'!$B$12,Paramètres!$A$1:$I$89,3,0)*0.475*44/12</f>
        <v>0.61065683862591991</v>
      </c>
      <c r="CN149" s="22">
        <f t="shared" si="120"/>
        <v>35.239832414715544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2.5579538487363607E-13</v>
      </c>
      <c r="CU149" s="17">
        <f>CT149*VLOOKUP('Données projet'!$B$13,Paramètres!$A$1:$I$89,3,0)*VLOOKUP('Données projet'!$B$13,Paramètres!$A$1:$I$89,5,0)</f>
        <v>2.4341488824575211E-13</v>
      </c>
      <c r="CV149" s="13">
        <f t="shared" si="149"/>
        <v>3.2970717324875541E-12</v>
      </c>
      <c r="CW149" s="20">
        <f t="shared" si="121"/>
        <v>6.1663475311105072E-12</v>
      </c>
      <c r="CX149" s="59">
        <f t="shared" si="122"/>
        <v>293.33333333333945</v>
      </c>
      <c r="CY149" s="59">
        <f ca="1">AVERAGE(OFFSET($CX$3,0,0,'Données projet'!$E$13+1,1))-AVERAGE(OFFSET($H$3,0,0,'Données projet'!$E$13+1,1))</f>
        <v>449.28947235329758</v>
      </c>
      <c r="CZ149" s="59">
        <f t="shared" si="150"/>
        <v>289.36994109443964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48.184655017531789</v>
      </c>
      <c r="DG149" s="21">
        <f>EXP(-LN(2)/25)*DG148+(1-EXP(-LN(2)/25))/(LN(2)/25)*Calculateur!DB149*Calculateur!DD149*VLOOKUP('Données projet'!$B$13,Paramètres!$A$1:$I$89,3,0)*0.475*44/12</f>
        <v>38.633236076895315</v>
      </c>
      <c r="DH149" s="21">
        <f>EXP(-LN(2)/2)*DH148+(1-EXP(-LN(2)/2))/(LN(2)/2)*DB149*DE149*VLOOKUP('Données projet'!$B$13,Paramètres!$A$1:$I$89,3,0)*0.475*44/12</f>
        <v>0.14004354755591292</v>
      </c>
      <c r="DI149" s="22">
        <f t="shared" si="123"/>
        <v>86.957934641983016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5.6843418860808015E-14</v>
      </c>
      <c r="DP149" s="17">
        <f>DO149*VLOOKUP('Données projet'!$B$14,Paramètres!$A$1:$I$89,3,0)*VLOOKUP('Données projet'!$B$14,Paramètres!$A$1:$I$89,5,0)</f>
        <v>4.4337866711430253E-14</v>
      </c>
      <c r="DQ149" s="13">
        <f t="shared" si="151"/>
        <v>7.3222115536967035E-13</v>
      </c>
      <c r="DR149" s="20">
        <f t="shared" si="124"/>
        <v>1.3525069634579169E-12</v>
      </c>
      <c r="DS149" s="59">
        <f t="shared" si="125"/>
        <v>293.33333333333468</v>
      </c>
      <c r="DT149" s="59">
        <f ca="1">AVERAGE(OFFSET($DS$3,0,0,'Données projet'!$E$14+1,1))-AVERAGE(OFFSET($H$3,0,0,'Données projet'!$E$14+1,1))</f>
        <v>288.82868507674738</v>
      </c>
      <c r="DU149" s="59">
        <f t="shared" si="152"/>
        <v>283.48738729114024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9.358109533757947</v>
      </c>
      <c r="EB149" s="21">
        <f>EXP(-LN(2)/25)*EB148+(1-EXP(-LN(2)/25))/(LN(2)/25)*Calculateur!DW149*Calculateur!DY149*VLOOKUP('Données projet'!$B$14,Paramètres!$A$1:$I$89,3,0)*0.475*44/12</f>
        <v>5.0064403226239476</v>
      </c>
      <c r="EC149" s="21">
        <f>EXP(-LN(2)/2)*EC148+(1-EXP(-LN(2)/2))/(LN(2)/2)*DW149*DZ149*VLOOKUP('Données projet'!$B$14,Paramètres!$A$1:$I$89,3,0)*0.475*44/12</f>
        <v>1.5629118901034769E-10</v>
      </c>
      <c r="ED149" s="22">
        <f t="shared" si="126"/>
        <v>14.364549856538186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7.5191666666666634</v>
      </c>
      <c r="EJ149" s="12">
        <f>IF('Données projet'!$A$192&gt;35,EJ148+EI149-ER148,IF(A149&lt;'Données projet'!$A$192,$EG$205^A149,IF(A149='Données projet'!$A$192,'Données projet'!$B$192,EJ148+EI149-ER148)))</f>
        <v>334.0083333333331</v>
      </c>
      <c r="EK149" s="17">
        <f>EJ149*VLOOKUP('Données projet'!$B$15,Paramètres!$A$1:$I$89,3,0)*VLOOKUP('Données projet'!$B$15,Paramètres!$A$1:$I$89,5,0)</f>
        <v>323.05285999999978</v>
      </c>
      <c r="EL149" s="13">
        <f t="shared" si="153"/>
        <v>75.988209111509335</v>
      </c>
      <c r="EM149" s="20">
        <f t="shared" si="127"/>
        <v>694.99652870254488</v>
      </c>
      <c r="EN149" s="59">
        <f t="shared" si="128"/>
        <v>988.32986203587825</v>
      </c>
      <c r="EO149" s="59">
        <f ca="1">AVERAGE(OFFSET($EN$3,0,0,'Données projet'!$E$15+1,1))-AVERAGE(OFFSET($H$3,0,0,'Données projet'!$E$15+1,1))</f>
        <v>510.71380643466227</v>
      </c>
      <c r="EP149" s="59">
        <f t="shared" si="154"/>
        <v>252.40654099948841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21.793171592065129</v>
      </c>
      <c r="EW149" s="21">
        <f>EXP(-LN(2)/25)*EW148+(1-EXP(-LN(2)/25))/(LN(2)/25)*Calculateur!ER149*Calculateur!ET149*VLOOKUP('Données projet'!$B$15,Paramètres!$A$1:$I$89,3,0)*0.475*44/12</f>
        <v>20.301187501589105</v>
      </c>
      <c r="EX149" s="21">
        <f>EXP(-LN(2)/2)*EX148+(1-EXP(-LN(2)/2))/(LN(2)/2)*ER149*EU149*VLOOKUP('Données projet'!$B$15,Paramètres!$A$1:$I$89,3,0)*0.475*44/12</f>
        <v>7.0421746945090344</v>
      </c>
      <c r="EY149" s="22">
        <f t="shared" si="129"/>
        <v>49.13653378816327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7.6233333333333304</v>
      </c>
      <c r="N150" s="13">
        <f>IF('Données projet'!$A$36&gt;35,N149+M150-V149,IF(A150&lt;'Données projet'!$A$36,$K$205^A150,IF(A150='Données projet'!$A$36,'Données projet'!$B$36,N149+M150-V149)))</f>
        <v>396.27333333333337</v>
      </c>
      <c r="O150" s="13">
        <f>N150*VLOOKUP('Données projet'!$B$9,Paramètres!$A$1:$I$89,3,0)*VLOOKUP('Données projet'!$B$9,Paramètres!$A$1:$I$89,5,0)</f>
        <v>401.82116000000002</v>
      </c>
      <c r="P150" s="13">
        <f t="shared" si="141"/>
        <v>92.145779794716063</v>
      </c>
      <c r="Q150" s="20">
        <f t="shared" si="108"/>
        <v>860.32575347579711</v>
      </c>
      <c r="R150" s="59">
        <f t="shared" si="109"/>
        <v>1153.6590868091305</v>
      </c>
      <c r="S150" s="59">
        <f ca="1">AVERAGE(OFFSET($R$3,0,0,'Données projet'!$E$9+1,1))-AVERAGE(OFFSET($H$3,0,0,'Données projet'!$E$9+1,1))</f>
        <v>543.67050511722618</v>
      </c>
      <c r="T150" s="59">
        <f t="shared" si="142"/>
        <v>249.0871389941106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24.545281611280998</v>
      </c>
      <c r="AA150" s="21">
        <f>EXP(-LN(2)/25)*AA149+(1-EXP(-LN(2)/25))/(LN(2)/25)*Calculateur!V150*Calculateur!X150*VLOOKUP('Données projet'!$B$9,Paramètres!$A$1:$I$89,3,0)*0.475*44/12</f>
        <v>19.575779612317486</v>
      </c>
      <c r="AB150" s="21">
        <f>EXP(-LN(2)/2)*AB149+(1-EXP(-LN(2)/2))/(LN(2)/2)*V150*Y150*VLOOKUP('Données projet'!$B$9,Paramètres!$A$1:$I$89,3,0)*0.475*44/12</f>
        <v>0.17541858499453536</v>
      </c>
      <c r="AC150" s="22">
        <f t="shared" si="111"/>
        <v>44.296479808593027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9.3350000000000026</v>
      </c>
      <c r="AI150" s="13">
        <f>IF('Données projet'!$A$62&gt;35,AI149+AH150-AQ149,IF(A150&lt;'Données projet'!$A$62,$AF$205^A150,IF(A150='Données projet'!$A$62,'Données projet'!$B$62,AI149+AH150-AQ149)))</f>
        <v>481.14500000000089</v>
      </c>
      <c r="AJ150" s="13">
        <f>AI150*VLOOKUP('Données projet'!$B$10,Paramètres!$A$1:$I$89,3,0)*VLOOKUP('Données projet'!$B$10,Paramètres!$A$1:$I$89,5,0)</f>
        <v>435.33999600000078</v>
      </c>
      <c r="AK150" s="13">
        <f t="shared" si="143"/>
        <v>98.905624251508897</v>
      </c>
      <c r="AL150" s="20">
        <f t="shared" si="112"/>
        <v>930.4777886047126</v>
      </c>
      <c r="AM150" s="59">
        <f t="shared" si="113"/>
        <v>1223.811121938046</v>
      </c>
      <c r="AN150" s="59">
        <f ca="1">AVERAGE(OFFSET($AM$3,0,0,'Données projet'!$E$10+1,1))-AVERAGE(OFFSET($H$3,0,0,'Données projet'!$E$10+1,1))</f>
        <v>635.71275911100679</v>
      </c>
      <c r="AO150" s="59">
        <f t="shared" si="144"/>
        <v>281.7776857269169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47.113072486079218</v>
      </c>
      <c r="AV150" s="21">
        <f>EXP(-LN(2)/25)*AV149+(1-EXP(-LN(2)/25))/(LN(2)/25)*Calculateur!AQ150*Calculateur!AS150*VLOOKUP('Données projet'!$B$10,Paramètres!$A$1:$I$89,3,0)*0.475*44/12</f>
        <v>21.448139044226672</v>
      </c>
      <c r="AW150" s="21">
        <f>EXP(-LN(2)/2)*AW149+(1-EXP(-LN(2)/2))/(LN(2)/2)*AQ150*AT150*VLOOKUP('Données projet'!$B$10,Paramètres!$A$1:$I$89,3,0)*0.475*44/12</f>
        <v>1.7629264264008031E-3</v>
      </c>
      <c r="AX150" s="21">
        <f t="shared" si="114"/>
        <v>68.562974456732277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204.11804238362862</v>
      </c>
      <c r="BJ150" s="59">
        <f t="shared" si="146"/>
        <v>185.53854651509408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2.9231637015963896</v>
      </c>
      <c r="BQ150" s="21">
        <f>EXP(-LN(2)/25)*BQ149+(1-EXP(-LN(2)/25))/(LN(2)/25)*Calculateur!BL150*Calculateur!BN150*VLOOKUP('Données projet'!$B$11,Paramètres!$A$1:$I$89,3,0)*0.475*44/12</f>
        <v>10.990405263540694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13.913568965137085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7.6233333333333304</v>
      </c>
      <c r="BY150" s="12">
        <f>IF('Données projet'!$A$114&gt;35,BY149+BX150-CG149,IF(A150&lt;'Données projet'!$A$114,$BV$205^A150,IF(A150='Données projet'!$A$114,'Données projet'!$B$114,BY149+BX150-CG149)))</f>
        <v>396.27333333333337</v>
      </c>
      <c r="BZ150" s="13">
        <f>BY150*VLOOKUP('Données projet'!$B$12,Paramètres!$A$1:$I$89,3,0)*VLOOKUP('Données projet'!$B$12,Paramètres!$A$1:$I$89,5,0)</f>
        <v>395.63929600000006</v>
      </c>
      <c r="CA150" s="13">
        <f t="shared" si="147"/>
        <v>90.892036193842131</v>
      </c>
      <c r="CB150" s="20">
        <f t="shared" si="118"/>
        <v>847.37540357094178</v>
      </c>
      <c r="CC150" s="59">
        <f t="shared" si="119"/>
        <v>1140.7087369042752</v>
      </c>
      <c r="CD150" s="59">
        <f ca="1">AVERAGE(OFFSET($CC$3,0,0,'Données projet'!$E$12+1,1))-AVERAGE(OFFSET($H$3,0,0,'Données projet'!$E$12+1,1))</f>
        <v>535.99935263833549</v>
      </c>
      <c r="CE150" s="59">
        <f t="shared" si="148"/>
        <v>245.89966477332644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17.262615638703121</v>
      </c>
      <c r="CL150" s="21">
        <f>EXP(-LN(2)/25)*CL149+(1-EXP(-LN(2)/25))/(LN(2)/25)*Calculateur!CG150*Calculateur!CI150*VLOOKUP('Données projet'!$B$12,Paramètres!$A$1:$I$89,3,0)*0.475*44/12</f>
        <v>16.555832049408846</v>
      </c>
      <c r="CM150" s="21">
        <f>EXP(-LN(2)/2)*CM149+(1-EXP(-LN(2)/2))/(LN(2)/2)*CG150*CJ150*VLOOKUP('Données projet'!$B$12,Paramètres!$A$1:$I$89,3,0)*0.475*44/12</f>
        <v>0.43179959157032721</v>
      </c>
      <c r="CN150" s="22">
        <f t="shared" si="120"/>
        <v>34.250247279682291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2.5579538487363607E-13</v>
      </c>
      <c r="CU150" s="17">
        <f>CT150*VLOOKUP('Données projet'!$B$13,Paramètres!$A$1:$I$89,3,0)*VLOOKUP('Données projet'!$B$13,Paramètres!$A$1:$I$89,5,0)</f>
        <v>2.4341488824575211E-13</v>
      </c>
      <c r="CV150" s="13">
        <f t="shared" si="149"/>
        <v>3.2970717324875541E-12</v>
      </c>
      <c r="CW150" s="20">
        <f t="shared" si="121"/>
        <v>6.1663475311105072E-12</v>
      </c>
      <c r="CX150" s="59">
        <f t="shared" si="122"/>
        <v>293.33333333333945</v>
      </c>
      <c r="CY150" s="59">
        <f ca="1">AVERAGE(OFFSET($CX$3,0,0,'Données projet'!$E$13+1,1))-AVERAGE(OFFSET($H$3,0,0,'Données projet'!$E$13+1,1))</f>
        <v>449.28947235329758</v>
      </c>
      <c r="CZ150" s="59">
        <f t="shared" si="150"/>
        <v>289.36994109443964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47.239783322375558</v>
      </c>
      <c r="DG150" s="21">
        <f>EXP(-LN(2)/25)*DG149+(1-EXP(-LN(2)/25))/(LN(2)/25)*Calculateur!DB150*Calculateur!DD150*VLOOKUP('Données projet'!$B$13,Paramètres!$A$1:$I$89,3,0)*0.475*44/12</f>
        <v>37.576808204739024</v>
      </c>
      <c r="DH150" s="21">
        <f>EXP(-LN(2)/2)*DH149+(1-EXP(-LN(2)/2))/(LN(2)/2)*DB150*DE150*VLOOKUP('Données projet'!$B$13,Paramètres!$A$1:$I$89,3,0)*0.475*44/12</f>
        <v>9.9025742138206779E-2</v>
      </c>
      <c r="DI150" s="22">
        <f t="shared" si="123"/>
        <v>84.915617269252792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5.6843418860808015E-14</v>
      </c>
      <c r="DP150" s="17">
        <f>DO150*VLOOKUP('Données projet'!$B$14,Paramètres!$A$1:$I$89,3,0)*VLOOKUP('Données projet'!$B$14,Paramètres!$A$1:$I$89,5,0)</f>
        <v>4.4337866711430253E-14</v>
      </c>
      <c r="DQ150" s="13">
        <f t="shared" si="151"/>
        <v>7.3222115536967035E-13</v>
      </c>
      <c r="DR150" s="20">
        <f t="shared" si="124"/>
        <v>1.3525069634579169E-12</v>
      </c>
      <c r="DS150" s="59">
        <f t="shared" si="125"/>
        <v>293.33333333333468</v>
      </c>
      <c r="DT150" s="59">
        <f ca="1">AVERAGE(OFFSET($DS$3,0,0,'Données projet'!$E$14+1,1))-AVERAGE(OFFSET($H$3,0,0,'Données projet'!$E$14+1,1))</f>
        <v>288.82868507674738</v>
      </c>
      <c r="DU150" s="59">
        <f t="shared" si="152"/>
        <v>283.48738729114024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9.1746027136841626</v>
      </c>
      <c r="EB150" s="21">
        <f>EXP(-LN(2)/25)*EB149+(1-EXP(-LN(2)/25))/(LN(2)/25)*Calculateur!DW150*Calculateur!DY150*VLOOKUP('Données projet'!$B$14,Paramètres!$A$1:$I$89,3,0)*0.475*44/12</f>
        <v>4.869538948724542</v>
      </c>
      <c r="EC150" s="21">
        <f>EXP(-LN(2)/2)*EC149+(1-EXP(-LN(2)/2))/(LN(2)/2)*DW150*DZ150*VLOOKUP('Données projet'!$B$14,Paramètres!$A$1:$I$89,3,0)*0.475*44/12</f>
        <v>1.1051455958892526E-10</v>
      </c>
      <c r="ED150" s="22">
        <f t="shared" si="126"/>
        <v>14.04414166251922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7.5191666666666634</v>
      </c>
      <c r="EJ150" s="12">
        <f>IF('Données projet'!$A$192&gt;35,EJ149+EI150-ER149,IF(A150&lt;'Données projet'!$A$192,$EG$205^A150,IF(A150='Données projet'!$A$192,'Données projet'!$B$192,EJ149+EI150-ER149)))</f>
        <v>341.52749999999975</v>
      </c>
      <c r="EK150" s="17">
        <f>EJ150*VLOOKUP('Données projet'!$B$15,Paramètres!$A$1:$I$89,3,0)*VLOOKUP('Données projet'!$B$15,Paramètres!$A$1:$I$89,5,0)</f>
        <v>330.32539799999972</v>
      </c>
      <c r="EL150" s="13">
        <f t="shared" si="153"/>
        <v>77.497766609036603</v>
      </c>
      <c r="EM150" s="20">
        <f t="shared" si="127"/>
        <v>710.29201169407168</v>
      </c>
      <c r="EN150" s="59">
        <f t="shared" si="128"/>
        <v>1003.625345027405</v>
      </c>
      <c r="EO150" s="59">
        <f ca="1">AVERAGE(OFFSET($EN$3,0,0,'Données projet'!$E$15+1,1))-AVERAGE(OFFSET($H$3,0,0,'Données projet'!$E$15+1,1))</f>
        <v>510.71380643466227</v>
      </c>
      <c r="EP150" s="59">
        <f t="shared" si="154"/>
        <v>252.40654099948841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21.365820789666873</v>
      </c>
      <c r="EW150" s="21">
        <f>EXP(-LN(2)/25)*EW149+(1-EXP(-LN(2)/25))/(LN(2)/25)*Calculateur!ER150*Calculateur!ET150*VLOOKUP('Données projet'!$B$15,Paramètres!$A$1:$I$89,3,0)*0.475*44/12</f>
        <v>19.746050461765098</v>
      </c>
      <c r="EX150" s="21">
        <f>EXP(-LN(2)/2)*EX149+(1-EXP(-LN(2)/2))/(LN(2)/2)*ER150*EU150*VLOOKUP('Données projet'!$B$15,Paramètres!$A$1:$I$89,3,0)*0.475*44/12</f>
        <v>4.9795694807876423</v>
      </c>
      <c r="EY150" s="22">
        <f t="shared" si="129"/>
        <v>46.09144073221961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7.6233333333333304</v>
      </c>
      <c r="N151" s="13">
        <f>IF('Données projet'!$A$36&gt;35,N150+M151-V150,IF(A151&lt;'Données projet'!$A$36,$K$205^A151,IF(A151='Données projet'!$A$36,'Données projet'!$B$36,N150+M151-V150)))</f>
        <v>403.8966666666667</v>
      </c>
      <c r="O151" s="13">
        <f>N151*VLOOKUP('Données projet'!$B$9,Paramètres!$A$1:$I$89,3,0)*VLOOKUP('Données projet'!$B$9,Paramètres!$A$1:$I$89,5,0)</f>
        <v>409.55122000000006</v>
      </c>
      <c r="P151" s="13">
        <f t="shared" si="141"/>
        <v>93.710361143080775</v>
      </c>
      <c r="Q151" s="20">
        <f t="shared" si="108"/>
        <v>876.51392049086587</v>
      </c>
      <c r="R151" s="59">
        <f t="shared" si="109"/>
        <v>1169.8472538241992</v>
      </c>
      <c r="S151" s="59">
        <f ca="1">AVERAGE(OFFSET($R$3,0,0,'Données projet'!$E$9+1,1))-AVERAGE(OFFSET($H$3,0,0,'Données projet'!$E$9+1,1))</f>
        <v>543.67050511722618</v>
      </c>
      <c r="T151" s="59">
        <f t="shared" si="142"/>
        <v>249.0871389941106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24.063963610027283</v>
      </c>
      <c r="AA151" s="21">
        <f>EXP(-LN(2)/25)*AA150+(1-EXP(-LN(2)/25))/(LN(2)/25)*Calculateur!V151*Calculateur!X151*VLOOKUP('Données projet'!$B$9,Paramètres!$A$1:$I$89,3,0)*0.475*44/12</f>
        <v>19.040478889373155</v>
      </c>
      <c r="AB151" s="21">
        <f>EXP(-LN(2)/2)*AB150+(1-EXP(-LN(2)/2))/(LN(2)/2)*V151*Y151*VLOOKUP('Données projet'!$B$9,Paramètres!$A$1:$I$89,3,0)*0.475*44/12</f>
        <v>0.12403967099578471</v>
      </c>
      <c r="AC151" s="22">
        <f t="shared" si="111"/>
        <v>43.228482170396219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9.3350000000000026</v>
      </c>
      <c r="AI151" s="13">
        <f>IF('Données projet'!$A$62&gt;35,AI150+AH151-AQ150,IF(A151&lt;'Données projet'!$A$62,$AF$205^A151,IF(A151='Données projet'!$A$62,'Données projet'!$B$62,AI150+AH151-AQ150)))</f>
        <v>490.48000000000087</v>
      </c>
      <c r="AJ151" s="13">
        <f>AI151*VLOOKUP('Données projet'!$B$10,Paramètres!$A$1:$I$89,3,0)*VLOOKUP('Données projet'!$B$10,Paramètres!$A$1:$I$89,5,0)</f>
        <v>443.78630400000077</v>
      </c>
      <c r="AK151" s="13">
        <f t="shared" si="143"/>
        <v>100.59929067522565</v>
      </c>
      <c r="AL151" s="20">
        <f t="shared" si="112"/>
        <v>948.13824405935259</v>
      </c>
      <c r="AM151" s="59">
        <f t="shared" si="113"/>
        <v>1241.471577392686</v>
      </c>
      <c r="AN151" s="59">
        <f ca="1">AVERAGE(OFFSET($AM$3,0,0,'Données projet'!$E$10+1,1))-AVERAGE(OFFSET($H$3,0,0,'Données projet'!$E$10+1,1))</f>
        <v>635.71275911100679</v>
      </c>
      <c r="AO151" s="59">
        <f t="shared" si="144"/>
        <v>281.7776857269169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46.189213870763965</v>
      </c>
      <c r="AV151" s="21">
        <f>EXP(-LN(2)/25)*AV150+(1-EXP(-LN(2)/25))/(LN(2)/25)*Calculateur!AQ151*Calculateur!AS151*VLOOKUP('Données projet'!$B$10,Paramètres!$A$1:$I$89,3,0)*0.475*44/12</f>
        <v>20.861638554153682</v>
      </c>
      <c r="AW151" s="21">
        <f>EXP(-LN(2)/2)*AW150+(1-EXP(-LN(2)/2))/(LN(2)/2)*AQ151*AT151*VLOOKUP('Données projet'!$B$10,Paramètres!$A$1:$I$89,3,0)*0.475*44/12</f>
        <v>1.2465772308409748E-3</v>
      </c>
      <c r="AX151" s="21">
        <f t="shared" si="114"/>
        <v>67.052099002148495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204.11804238362862</v>
      </c>
      <c r="BJ151" s="59">
        <f t="shared" si="146"/>
        <v>185.53854651509408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2.8658422443618905</v>
      </c>
      <c r="BQ151" s="21">
        <f>EXP(-LN(2)/25)*BQ150+(1-EXP(-LN(2)/25))/(LN(2)/25)*Calculateur!BL151*Calculateur!BN151*VLOOKUP('Données projet'!$B$11,Paramètres!$A$1:$I$89,3,0)*0.475*44/12</f>
        <v>10.68987205364888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13.55571429801077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7.6233333333333304</v>
      </c>
      <c r="BY151" s="12">
        <f>IF('Données projet'!$A$114&gt;35,BY150+BX151-CG150,IF(A151&lt;'Données projet'!$A$114,$BV$205^A151,IF(A151='Données projet'!$A$114,'Données projet'!$B$114,BY150+BX151-CG150)))</f>
        <v>403.8966666666667</v>
      </c>
      <c r="BZ151" s="13">
        <f>BY151*VLOOKUP('Données projet'!$B$12,Paramètres!$A$1:$I$89,3,0)*VLOOKUP('Données projet'!$B$12,Paramètres!$A$1:$I$89,5,0)</f>
        <v>403.25043200000005</v>
      </c>
      <c r="CA151" s="13">
        <f t="shared" si="147"/>
        <v>92.435329710491317</v>
      </c>
      <c r="CB151" s="20">
        <f t="shared" si="118"/>
        <v>863.31936831243911</v>
      </c>
      <c r="CC151" s="59">
        <f t="shared" si="119"/>
        <v>1156.6527016457724</v>
      </c>
      <c r="CD151" s="59">
        <f ca="1">AVERAGE(OFFSET($CC$3,0,0,'Données projet'!$E$12+1,1))-AVERAGE(OFFSET($H$3,0,0,'Données projet'!$E$12+1,1))</f>
        <v>535.99935263833549</v>
      </c>
      <c r="CE151" s="59">
        <f t="shared" si="148"/>
        <v>245.89966477332644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16.924106275184023</v>
      </c>
      <c r="CL151" s="21">
        <f>EXP(-LN(2)/25)*CL150+(1-EXP(-LN(2)/25))/(LN(2)/25)*Calculateur!CG151*Calculateur!CI151*VLOOKUP('Données projet'!$B$12,Paramètres!$A$1:$I$89,3,0)*0.475*44/12</f>
        <v>16.103111951384392</v>
      </c>
      <c r="CM151" s="21">
        <f>EXP(-LN(2)/2)*CM150+(1-EXP(-LN(2)/2))/(LN(2)/2)*CG151*CJ151*VLOOKUP('Données projet'!$B$12,Paramètres!$A$1:$I$89,3,0)*0.475*44/12</f>
        <v>0.30532841931295995</v>
      </c>
      <c r="CN151" s="22">
        <f t="shared" si="120"/>
        <v>33.332546645881372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2.5579538487363607E-13</v>
      </c>
      <c r="CU151" s="17">
        <f>CT151*VLOOKUP('Données projet'!$B$13,Paramètres!$A$1:$I$89,3,0)*VLOOKUP('Données projet'!$B$13,Paramètres!$A$1:$I$89,5,0)</f>
        <v>2.4341488824575211E-13</v>
      </c>
      <c r="CV151" s="13">
        <f t="shared" si="149"/>
        <v>3.2970717324875541E-12</v>
      </c>
      <c r="CW151" s="20">
        <f t="shared" si="121"/>
        <v>6.1663475311105072E-12</v>
      </c>
      <c r="CX151" s="59">
        <f t="shared" si="122"/>
        <v>293.33333333333945</v>
      </c>
      <c r="CY151" s="59">
        <f ca="1">AVERAGE(OFFSET($CX$3,0,0,'Données projet'!$E$13+1,1))-AVERAGE(OFFSET($H$3,0,0,'Données projet'!$E$13+1,1))</f>
        <v>449.28947235329758</v>
      </c>
      <c r="CZ151" s="59">
        <f t="shared" si="150"/>
        <v>289.36994109443964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46.313439984846511</v>
      </c>
      <c r="DG151" s="21">
        <f>EXP(-LN(2)/25)*DG150+(1-EXP(-LN(2)/25))/(LN(2)/25)*Calculateur!DB151*Calculateur!DD151*VLOOKUP('Données projet'!$B$13,Paramètres!$A$1:$I$89,3,0)*0.475*44/12</f>
        <v>36.549268408301977</v>
      </c>
      <c r="DH151" s="21">
        <f>EXP(-LN(2)/2)*DH150+(1-EXP(-LN(2)/2))/(LN(2)/2)*DB151*DE151*VLOOKUP('Données projet'!$B$13,Paramètres!$A$1:$I$89,3,0)*0.475*44/12</f>
        <v>7.0021773777956459E-2</v>
      </c>
      <c r="DI151" s="22">
        <f t="shared" si="123"/>
        <v>82.932730166926447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5.6843418860808015E-14</v>
      </c>
      <c r="DP151" s="17">
        <f>DO151*VLOOKUP('Données projet'!$B$14,Paramètres!$A$1:$I$89,3,0)*VLOOKUP('Données projet'!$B$14,Paramètres!$A$1:$I$89,5,0)</f>
        <v>4.4337866711430253E-14</v>
      </c>
      <c r="DQ151" s="13">
        <f t="shared" si="151"/>
        <v>7.3222115536967035E-13</v>
      </c>
      <c r="DR151" s="20">
        <f t="shared" si="124"/>
        <v>1.3525069634579169E-12</v>
      </c>
      <c r="DS151" s="59">
        <f t="shared" si="125"/>
        <v>293.33333333333468</v>
      </c>
      <c r="DT151" s="59">
        <f ca="1">AVERAGE(OFFSET($DS$3,0,0,'Données projet'!$E$14+1,1))-AVERAGE(OFFSET($H$3,0,0,'Données projet'!$E$14+1,1))</f>
        <v>288.82868507674738</v>
      </c>
      <c r="DU151" s="59">
        <f t="shared" si="152"/>
        <v>283.48738729114024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8.9946943504239165</v>
      </c>
      <c r="EB151" s="21">
        <f>EXP(-LN(2)/25)*EB150+(1-EXP(-LN(2)/25))/(LN(2)/25)*Calculateur!DW151*Calculateur!DY151*VLOOKUP('Données projet'!$B$14,Paramètres!$A$1:$I$89,3,0)*0.475*44/12</f>
        <v>4.7363811500937452</v>
      </c>
      <c r="EC151" s="21">
        <f>EXP(-LN(2)/2)*EC150+(1-EXP(-LN(2)/2))/(LN(2)/2)*DW151*DZ151*VLOOKUP('Données projet'!$B$14,Paramètres!$A$1:$I$89,3,0)*0.475*44/12</f>
        <v>7.8145594505173843E-11</v>
      </c>
      <c r="ED151" s="22">
        <f t="shared" si="126"/>
        <v>13.731075500595807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7.5191666666666634</v>
      </c>
      <c r="EJ151" s="12">
        <f>IF('Données projet'!$A$192&gt;35,EJ150+EI151-ER150,IF(A151&lt;'Données projet'!$A$192,$EG$205^A151,IF(A151='Données projet'!$A$192,'Données projet'!$B$192,EJ150+EI151-ER150)))</f>
        <v>349.0466666666664</v>
      </c>
      <c r="EK151" s="17">
        <f>EJ151*VLOOKUP('Données projet'!$B$15,Paramètres!$A$1:$I$89,3,0)*VLOOKUP('Données projet'!$B$15,Paramètres!$A$1:$I$89,5,0)</f>
        <v>337.59793599999972</v>
      </c>
      <c r="EL151" s="13">
        <f t="shared" si="153"/>
        <v>79.003460193077288</v>
      </c>
      <c r="EM151" s="20">
        <f t="shared" si="127"/>
        <v>725.58076503627569</v>
      </c>
      <c r="EN151" s="59">
        <f t="shared" si="128"/>
        <v>1018.9140983696091</v>
      </c>
      <c r="EO151" s="59">
        <f ca="1">AVERAGE(OFFSET($EN$3,0,0,'Données projet'!$E$15+1,1))-AVERAGE(OFFSET($H$3,0,0,'Données projet'!$E$15+1,1))</f>
        <v>510.71380643466227</v>
      </c>
      <c r="EP151" s="59">
        <f t="shared" si="154"/>
        <v>252.40654099948841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20.946850075845397</v>
      </c>
      <c r="EW151" s="21">
        <f>EXP(-LN(2)/25)*EW150+(1-EXP(-LN(2)/25))/(LN(2)/25)*Calculateur!ER151*Calculateur!ET151*VLOOKUP('Données projet'!$B$15,Paramètres!$A$1:$I$89,3,0)*0.475*44/12</f>
        <v>19.206093673488468</v>
      </c>
      <c r="EX151" s="21">
        <f>EXP(-LN(2)/2)*EX150+(1-EXP(-LN(2)/2))/(LN(2)/2)*ER151*EU151*VLOOKUP('Données projet'!$B$15,Paramètres!$A$1:$I$89,3,0)*0.475*44/12</f>
        <v>3.5210873472545177</v>
      </c>
      <c r="EY151" s="22">
        <f t="shared" si="129"/>
        <v>43.674031096588379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>
        <f>VLOOKUP(A152,'Données projet'!$A$35:$I$55,2,0)</f>
        <v>411.52</v>
      </c>
      <c r="L152" s="12">
        <f>VLOOKUP(A152,'Données projet'!$A$35:$I$55,9,0)</f>
        <v>7.6233333333333304</v>
      </c>
      <c r="M152" s="12">
        <f t="array" ref="M152">INDEX(L:L,MIN(IF(ISNUMBER(L152:L348),ROW(L152:L348),"")))</f>
        <v>7.6233333333333304</v>
      </c>
      <c r="N152" s="13">
        <f>IF('Données projet'!$A$36&gt;35,N151+M152-V151,IF(A152&lt;'Données projet'!$A$36,$K$205^A152,IF(A152='Données projet'!$A$36,'Données projet'!$B$36,N151+M152-V151)))</f>
        <v>411.52000000000004</v>
      </c>
      <c r="O152" s="13">
        <f>N152*VLOOKUP('Données projet'!$B$9,Paramètres!$A$1:$I$89,3,0)*VLOOKUP('Données projet'!$B$9,Paramètres!$A$1:$I$89,5,0)</f>
        <v>417.28128000000009</v>
      </c>
      <c r="P152" s="13">
        <f t="shared" si="141"/>
        <v>95.271508683135622</v>
      </c>
      <c r="Q152" s="20">
        <f t="shared" si="108"/>
        <v>892.69610695646134</v>
      </c>
      <c r="R152" s="59">
        <f t="shared" si="109"/>
        <v>1186.0294402897946</v>
      </c>
      <c r="S152" s="59">
        <f ca="1">AVERAGE(OFFSET($R$3,0,0,'Données projet'!$E$9+1,1))-AVERAGE(OFFSET($H$3,0,0,'Données projet'!$E$9+1,1))</f>
        <v>543.67050511722618</v>
      </c>
      <c r="T152" s="59">
        <f t="shared" si="142"/>
        <v>249.0871389941106</v>
      </c>
      <c r="U152" s="15">
        <f>IF(ISNA(VLOOKUP(A152,'Données projet'!$A$35:$I$55,3,0)),0,VLOOKUP(A152,'Données projet'!$A$35:$I$55,3,0))</f>
        <v>11</v>
      </c>
      <c r="V152" s="15">
        <f>IF(ISNA(VLOOKUP(A152,'Données projet'!$A$35:$I$55,4,0)),0,VLOOKUP(A152,'Données projet'!$A$35:$I$55,4,0))</f>
        <v>64.63</v>
      </c>
      <c r="W152" s="16">
        <f>IF(ISNA(VLOOKUP(A152,'Données projet'!$A$35:$I$55,5,0)),0%,VLOOKUP(A152,'Données projet'!$A$35:$I$55,5,0)*VLOOKUP('Données projet'!$B$9,Paramètres!$A$1:$I$89,7,0))</f>
        <v>0.15049999999999999</v>
      </c>
      <c r="X152" s="16">
        <f>IF(ISNA(VLOOKUP(A152,'Données projet'!$A$35:$I$55,6,0)),0%,VLOOKUP(A152,'Données projet'!$A$35:$I$55,6,0)*VLOOKUP('Données projet'!$B$9,Paramètres!$A$1:$I$89,7,0))</f>
        <v>8.6000000000000007E-2</v>
      </c>
      <c r="Y152" s="16">
        <f>IF(ISNA(VLOOKUP(A152,'Données projet'!$A$35:$I$55,7,0)),0%,VLOOKUP(A152,'Données projet'!$A$35:$I$55,7,0))</f>
        <v>0.1</v>
      </c>
      <c r="Z152" s="21">
        <f>EXP(-LN(2)/35)*Z151+(1-EXP(-LN(2)/35))/(LN(2)/35)*V152*W152*VLOOKUP('Données projet'!$B$9,Paramètres!$A$1:$I$89,3,0)*0.475*44/12</f>
        <v>34.49532771307571</v>
      </c>
      <c r="AA152" s="21">
        <f>EXP(-LN(2)/25)*AA151+(1-EXP(-LN(2)/25))/(LN(2)/25)*Calculateur!V152*Calculateur!X152*VLOOKUP('Données projet'!$B$9,Paramètres!$A$1:$I$89,3,0)*0.475*44/12</f>
        <v>24.725709436710751</v>
      </c>
      <c r="AB152" s="21">
        <f>EXP(-LN(2)/2)*AB151+(1-EXP(-LN(2)/2))/(LN(2)/2)*V152*Y152*VLOOKUP('Données projet'!$B$9,Paramètres!$A$1:$I$89,3,0)*0.475*44/12</f>
        <v>6.2710959438792164</v>
      </c>
      <c r="AC152" s="22">
        <f t="shared" si="111"/>
        <v>65.492133093665672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9.3350000000000026</v>
      </c>
      <c r="AI152" s="13">
        <f>IF('Données projet'!$A$62&gt;35,AI151+AH152-AQ151,IF(A152&lt;'Données projet'!$A$62,$AF$205^A152,IF(A152='Données projet'!$A$62,'Données projet'!$B$62,AI151+AH152-AQ151)))</f>
        <v>499.81500000000085</v>
      </c>
      <c r="AJ152" s="13">
        <f>AI152*VLOOKUP('Données projet'!$B$10,Paramètres!$A$1:$I$89,3,0)*VLOOKUP('Données projet'!$B$10,Paramètres!$A$1:$I$89,5,0)</f>
        <v>452.2326120000007</v>
      </c>
      <c r="AK152" s="13">
        <f t="shared" si="143"/>
        <v>102.28920891735658</v>
      </c>
      <c r="AL152" s="20">
        <f t="shared" si="112"/>
        <v>965.79217143106382</v>
      </c>
      <c r="AM152" s="59">
        <f t="shared" si="113"/>
        <v>1259.1255047643972</v>
      </c>
      <c r="AN152" s="59">
        <f ca="1">AVERAGE(OFFSET($AM$3,0,0,'Données projet'!$E$10+1,1))-AVERAGE(OFFSET($H$3,0,0,'Données projet'!$E$10+1,1))</f>
        <v>635.71275911100679</v>
      </c>
      <c r="AO152" s="59">
        <f t="shared" si="144"/>
        <v>281.7776857269169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45.283471559396929</v>
      </c>
      <c r="AV152" s="21">
        <f>EXP(-LN(2)/25)*AV151+(1-EXP(-LN(2)/25))/(LN(2)/25)*Calculateur!AQ152*Calculateur!AS152*VLOOKUP('Données projet'!$B$10,Paramètres!$A$1:$I$89,3,0)*0.475*44/12</f>
        <v>20.291175950824456</v>
      </c>
      <c r="AW152" s="21">
        <f>EXP(-LN(2)/2)*AW151+(1-EXP(-LN(2)/2))/(LN(2)/2)*AQ152*AT152*VLOOKUP('Données projet'!$B$10,Paramètres!$A$1:$I$89,3,0)*0.475*44/12</f>
        <v>8.8146321320040153E-4</v>
      </c>
      <c r="AX152" s="21">
        <f t="shared" si="114"/>
        <v>65.575528973434587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204.11804238362862</v>
      </c>
      <c r="BJ152" s="59">
        <f t="shared" si="146"/>
        <v>185.53854651509408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2.8096448259411231</v>
      </c>
      <c r="BQ152" s="21">
        <f>EXP(-LN(2)/25)*BQ151+(1-EXP(-LN(2)/25))/(LN(2)/25)*Calculateur!BL152*Calculateur!BN152*VLOOKUP('Données projet'!$B$11,Paramètres!$A$1:$I$89,3,0)*0.475*44/12</f>
        <v>10.397556940185913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13.207201766127035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>
        <f>VLOOKUP(A152,'Données projet'!$A$113:$I$133,2,0)</f>
        <v>411.52</v>
      </c>
      <c r="BW152" s="12">
        <f>VLOOKUP(A152,'Données projet'!$A$113:$I$133,9,0)</f>
        <v>7.6233333333333304</v>
      </c>
      <c r="BX152" s="12">
        <f t="array" ref="BX152">INDEX(BW:BW,MIN(IF(ISNUMBER(BW152:BW348),ROW(BW152:BW348),"")))</f>
        <v>7.6233333333333304</v>
      </c>
      <c r="BY152" s="12">
        <f>IF('Données projet'!$A$114&gt;35,BY151+BX152-CG151,IF(A152&lt;'Données projet'!$A$114,$BV$205^A152,IF(A152='Données projet'!$A$114,'Données projet'!$B$114,BY151+BX152-CG151)))</f>
        <v>411.52000000000004</v>
      </c>
      <c r="BZ152" s="13">
        <f>BY152*VLOOKUP('Données projet'!$B$12,Paramètres!$A$1:$I$89,3,0)*VLOOKUP('Données projet'!$B$12,Paramètres!$A$1:$I$89,5,0)</f>
        <v>410.86156800000009</v>
      </c>
      <c r="CA152" s="13">
        <f t="shared" si="147"/>
        <v>93.975236139529187</v>
      </c>
      <c r="CB152" s="20">
        <f t="shared" si="118"/>
        <v>879.25743387634668</v>
      </c>
      <c r="CC152" s="59">
        <f t="shared" si="119"/>
        <v>1172.5907672096801</v>
      </c>
      <c r="CD152" s="59">
        <f ca="1">AVERAGE(OFFSET($CC$3,0,0,'Données projet'!$E$12+1,1))-AVERAGE(OFFSET($H$3,0,0,'Données projet'!$E$12+1,1))</f>
        <v>535.99935263833549</v>
      </c>
      <c r="CE152" s="59">
        <f t="shared" si="148"/>
        <v>245.89966477332644</v>
      </c>
      <c r="CF152" s="15">
        <f>IF(ISNA(VLOOKUP(A152,'Données projet'!$A$113:$I$133,3,0)),0,VLOOKUP(A152,'Données projet'!$A$113:$I$133,3,0))</f>
        <v>11</v>
      </c>
      <c r="CG152" s="15">
        <f>IF(ISNA(VLOOKUP(A152,'Données projet'!$A$113:$I$133,4,0)),0,VLOOKUP(A152,'Données projet'!$A$113:$I$133,4,0))</f>
        <v>64.63</v>
      </c>
      <c r="CH152" s="16">
        <f>IF(ISNA(VLOOKUP(A152,'Données projet'!$A$113:$I$133,5,0)),0%,VLOOKUP(A152,'Données projet'!$A$113:$I$133,5,0)*VLOOKUP('Données projet'!$B$12,Paramètres!$A$1:$I$89,7,0))</f>
        <v>0.1075</v>
      </c>
      <c r="CI152" s="16">
        <f>IF(ISNA(VLOOKUP(A152,'Données projet'!$A$113:$I$133,6,0)),0%,VLOOKUP(A152,'Données projet'!$A$113:$I$133,6,0)*VLOOKUP('Données projet'!$B$12,Paramètres!$A$1:$I$89,7,0))</f>
        <v>0.1075</v>
      </c>
      <c r="CJ152" s="16">
        <f>IF(ISNA(VLOOKUP(A152,'Données projet'!$A$113:$I$133,7,0)),0%,VLOOKUP(A152,'Données projet'!$A$113:$I$133,7,0))</f>
        <v>0.25</v>
      </c>
      <c r="CK152" s="21">
        <f>EXP(-LN(2)/35)*CK151+(1-EXP(-LN(2)/35))/(LN(2)/35)*CG152*CH152*VLOOKUP('Données projet'!$B$12,Paramètres!$A$1:$I$89,3,0)*0.475*44/12</f>
        <v>24.26045025974555</v>
      </c>
      <c r="CL152" s="21">
        <f>EXP(-LN(2)/25)*CL151+(1-EXP(-LN(2)/25))/(LN(2)/25)*Calculateur!CG152*Calculateur!CI152*VLOOKUP('Données projet'!$B$12,Paramètres!$A$1:$I$89,3,0)*0.475*44/12</f>
        <v>23.30079420838673</v>
      </c>
      <c r="CM152" s="21">
        <f>EXP(-LN(2)/2)*CM151+(1-EXP(-LN(2)/2))/(LN(2)/2)*CG152*CJ152*VLOOKUP('Données projet'!$B$12,Paramètres!$A$1:$I$89,3,0)*0.475*44/12</f>
        <v>15.436543860725344</v>
      </c>
      <c r="CN152" s="22">
        <f t="shared" si="120"/>
        <v>62.997788328857624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2.5579538487363607E-13</v>
      </c>
      <c r="CU152" s="17">
        <f>CT152*VLOOKUP('Données projet'!$B$13,Paramètres!$A$1:$I$89,3,0)*VLOOKUP('Données projet'!$B$13,Paramètres!$A$1:$I$89,5,0)</f>
        <v>2.4341488824575211E-13</v>
      </c>
      <c r="CV152" s="13">
        <f t="shared" si="149"/>
        <v>3.2970717324875541E-12</v>
      </c>
      <c r="CW152" s="20">
        <f t="shared" si="121"/>
        <v>6.1663475311105072E-12</v>
      </c>
      <c r="CX152" s="59">
        <f t="shared" si="122"/>
        <v>293.33333333333945</v>
      </c>
      <c r="CY152" s="59">
        <f ca="1">AVERAGE(OFFSET($CX$3,0,0,'Données projet'!$E$13+1,1))-AVERAGE(OFFSET($H$3,0,0,'Données projet'!$E$13+1,1))</f>
        <v>449.28947235329758</v>
      </c>
      <c r="CZ152" s="59">
        <f t="shared" si="150"/>
        <v>289.36994109443964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45.405261675152765</v>
      </c>
      <c r="DG152" s="21">
        <f>EXP(-LN(2)/25)*DG151+(1-EXP(-LN(2)/25))/(LN(2)/25)*Calculateur!DB152*Calculateur!DD152*VLOOKUP('Données projet'!$B$13,Paramètres!$A$1:$I$89,3,0)*0.475*44/12</f>
        <v>35.549826741634469</v>
      </c>
      <c r="DH152" s="21">
        <f>EXP(-LN(2)/2)*DH151+(1-EXP(-LN(2)/2))/(LN(2)/2)*DB152*DE152*VLOOKUP('Données projet'!$B$13,Paramètres!$A$1:$I$89,3,0)*0.475*44/12</f>
        <v>4.951287106910339E-2</v>
      </c>
      <c r="DI152" s="22">
        <f t="shared" si="123"/>
        <v>81.004601287856332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5.6843418860808015E-14</v>
      </c>
      <c r="DP152" s="17">
        <f>DO152*VLOOKUP('Données projet'!$B$14,Paramètres!$A$1:$I$89,3,0)*VLOOKUP('Données projet'!$B$14,Paramètres!$A$1:$I$89,5,0)</f>
        <v>4.4337866711430253E-14</v>
      </c>
      <c r="DQ152" s="13">
        <f t="shared" si="151"/>
        <v>7.3222115536967035E-13</v>
      </c>
      <c r="DR152" s="20">
        <f t="shared" si="124"/>
        <v>1.3525069634579169E-12</v>
      </c>
      <c r="DS152" s="59">
        <f t="shared" si="125"/>
        <v>293.33333333333468</v>
      </c>
      <c r="DT152" s="59">
        <f ca="1">AVERAGE(OFFSET($DS$3,0,0,'Données projet'!$E$14+1,1))-AVERAGE(OFFSET($H$3,0,0,'Données projet'!$E$14+1,1))</f>
        <v>288.82868507674738</v>
      </c>
      <c r="DU152" s="59">
        <f t="shared" si="152"/>
        <v>283.48738729114024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8.8183138804339372</v>
      </c>
      <c r="EB152" s="21">
        <f>EXP(-LN(2)/25)*EB151+(1-EXP(-LN(2)/25))/(LN(2)/25)*Calculateur!DW152*Calculateur!DY152*VLOOKUP('Données projet'!$B$14,Paramètres!$A$1:$I$89,3,0)*0.475*44/12</f>
        <v>4.6068645584689722</v>
      </c>
      <c r="EC152" s="21">
        <f>EXP(-LN(2)/2)*EC151+(1-EXP(-LN(2)/2))/(LN(2)/2)*DW152*DZ152*VLOOKUP('Données projet'!$B$14,Paramètres!$A$1:$I$89,3,0)*0.475*44/12</f>
        <v>5.5257279794462632E-11</v>
      </c>
      <c r="ED152" s="22">
        <f t="shared" si="126"/>
        <v>13.425178438958167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7.5191666666666634</v>
      </c>
      <c r="EJ152" s="12">
        <f>IF('Données projet'!$A$192&gt;35,EJ151+EI152-ER151,IF(A152&lt;'Données projet'!$A$192,$EG$205^A152,IF(A152='Données projet'!$A$192,'Données projet'!$B$192,EJ151+EI152-ER151)))</f>
        <v>356.56583333333305</v>
      </c>
      <c r="EK152" s="17">
        <f>EJ152*VLOOKUP('Données projet'!$B$15,Paramètres!$A$1:$I$89,3,0)*VLOOKUP('Données projet'!$B$15,Paramètres!$A$1:$I$89,5,0)</f>
        <v>344.87047399999972</v>
      </c>
      <c r="EL152" s="13">
        <f t="shared" si="153"/>
        <v>80.505382686910082</v>
      </c>
      <c r="EM152" s="20">
        <f t="shared" si="127"/>
        <v>740.86295039636786</v>
      </c>
      <c r="EN152" s="59">
        <f t="shared" si="128"/>
        <v>1034.1962837297012</v>
      </c>
      <c r="EO152" s="59">
        <f ca="1">AVERAGE(OFFSET($EN$3,0,0,'Données projet'!$E$15+1,1))-AVERAGE(OFFSET($H$3,0,0,'Données projet'!$E$15+1,1))</f>
        <v>510.71380643466227</v>
      </c>
      <c r="EP152" s="59">
        <f t="shared" si="154"/>
        <v>252.40654099948841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20.536095122175059</v>
      </c>
      <c r="EW152" s="21">
        <f>EXP(-LN(2)/25)*EW151+(1-EXP(-LN(2)/25))/(LN(2)/25)*Calculateur!ER152*Calculateur!ET152*VLOOKUP('Données projet'!$B$15,Paramètres!$A$1:$I$89,3,0)*0.475*44/12</f>
        <v>18.680902031982356</v>
      </c>
      <c r="EX152" s="21">
        <f>EXP(-LN(2)/2)*EX151+(1-EXP(-LN(2)/2))/(LN(2)/2)*ER152*EU152*VLOOKUP('Données projet'!$B$15,Paramètres!$A$1:$I$89,3,0)*0.475*44/12</f>
        <v>2.4897847403938216</v>
      </c>
      <c r="EY152" s="22">
        <f t="shared" si="129"/>
        <v>41.706781894551234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7.922666666666669</v>
      </c>
      <c r="N153" s="13">
        <f>IF('Données projet'!$A$36&gt;35,N152+M153-V152,IF(A153&lt;'Données projet'!$A$36,$K$205^A153,IF(A153='Données projet'!$A$36,'Données projet'!$B$36,N152+M153-V152)))</f>
        <v>354.8126666666667</v>
      </c>
      <c r="O153" s="13">
        <f>N153*VLOOKUP('Données projet'!$B$9,Paramètres!$A$1:$I$89,3,0)*VLOOKUP('Données projet'!$B$9,Paramètres!$A$1:$I$89,5,0)</f>
        <v>359.78004400000003</v>
      </c>
      <c r="P153" s="13">
        <f t="shared" si="141"/>
        <v>83.573082402529081</v>
      </c>
      <c r="Q153" s="20">
        <f t="shared" si="108"/>
        <v>772.17336181773817</v>
      </c>
      <c r="R153" s="59">
        <f t="shared" si="109"/>
        <v>1065.5066951510714</v>
      </c>
      <c r="S153" s="59">
        <f ca="1">AVERAGE(OFFSET($R$3,0,0,'Données projet'!$E$9+1,1))-AVERAGE(OFFSET($H$3,0,0,'Données projet'!$E$9+1,1))</f>
        <v>543.67050511722618</v>
      </c>
      <c r="T153" s="59">
        <f t="shared" si="142"/>
        <v>249.0871389941106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33.818895376694663</v>
      </c>
      <c r="AA153" s="21">
        <f>EXP(-LN(2)/25)*AA152+(1-EXP(-LN(2)/25))/(LN(2)/25)*Calculateur!V153*Calculateur!X153*VLOOKUP('Données projet'!$B$9,Paramètres!$A$1:$I$89,3,0)*0.475*44/12</f>
        <v>24.049583611895347</v>
      </c>
      <c r="AB153" s="21">
        <f>EXP(-LN(2)/2)*AB152+(1-EXP(-LN(2)/2))/(LN(2)/2)*V153*Y153*VLOOKUP('Données projet'!$B$9,Paramètres!$A$1:$I$89,3,0)*0.475*44/12</f>
        <v>4.4343344673884468</v>
      </c>
      <c r="AC153" s="22">
        <f t="shared" si="111"/>
        <v>62.302813455978459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9.3350000000000026</v>
      </c>
      <c r="AI153" s="13">
        <f>IF('Données projet'!$A$62&gt;35,AI152+AH153-AQ152,IF(A153&lt;'Données projet'!$A$62,$AF$205^A153,IF(A153='Données projet'!$A$62,'Données projet'!$B$62,AI152+AH153-AQ152)))</f>
        <v>509.15000000000083</v>
      </c>
      <c r="AJ153" s="13">
        <f>AI153*VLOOKUP('Données projet'!$B$10,Paramètres!$A$1:$I$89,3,0)*VLOOKUP('Données projet'!$B$10,Paramètres!$A$1:$I$89,5,0)</f>
        <v>460.67892000000074</v>
      </c>
      <c r="AK153" s="13">
        <f t="shared" si="143"/>
        <v>103.97545705513664</v>
      </c>
      <c r="AL153" s="20">
        <f t="shared" si="112"/>
        <v>983.43970670436431</v>
      </c>
      <c r="AM153" s="59">
        <f t="shared" si="113"/>
        <v>1276.7730400376977</v>
      </c>
      <c r="AN153" s="59">
        <f ca="1">AVERAGE(OFFSET($AM$3,0,0,'Données projet'!$E$10+1,1))-AVERAGE(OFFSET($H$3,0,0,'Données projet'!$E$10+1,1))</f>
        <v>635.71275911100679</v>
      </c>
      <c r="AO153" s="59">
        <f t="shared" si="144"/>
        <v>281.7776857269169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44.395490302307536</v>
      </c>
      <c r="AV153" s="21">
        <f>EXP(-LN(2)/25)*AV152+(1-EXP(-LN(2)/25))/(LN(2)/25)*Calculateur!AQ153*Calculateur!AS153*VLOOKUP('Données projet'!$B$10,Paramètres!$A$1:$I$89,3,0)*0.475*44/12</f>
        <v>19.736312677382596</v>
      </c>
      <c r="AW153" s="21">
        <f>EXP(-LN(2)/2)*AW152+(1-EXP(-LN(2)/2))/(LN(2)/2)*AQ153*AT153*VLOOKUP('Données projet'!$B$10,Paramètres!$A$1:$I$89,3,0)*0.475*44/12</f>
        <v>6.2328861542048741E-4</v>
      </c>
      <c r="AX153" s="21">
        <f t="shared" si="114"/>
        <v>64.132426268305551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204.11804238362862</v>
      </c>
      <c r="BJ153" s="59">
        <f t="shared" si="146"/>
        <v>185.53854651509408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2.7545494046185461</v>
      </c>
      <c r="BQ153" s="21">
        <f>EXP(-LN(2)/25)*BQ152+(1-EXP(-LN(2)/25))/(LN(2)/25)*Calculateur!BL153*Calculateur!BN153*VLOOKUP('Données projet'!$B$11,Paramètres!$A$1:$I$89,3,0)*0.475*44/12</f>
        <v>10.113235198872774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12.867784603491319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7.922666666666669</v>
      </c>
      <c r="BY153" s="12">
        <f>IF('Données projet'!$A$114&gt;35,BY152+BX153-CG152,IF(A153&lt;'Données projet'!$A$114,$BV$205^A153,IF(A153='Données projet'!$A$114,'Données projet'!$B$114,BY152+BX153-CG152)))</f>
        <v>354.8126666666667</v>
      </c>
      <c r="BZ153" s="13">
        <f>BY153*VLOOKUP('Données projet'!$B$12,Paramètres!$A$1:$I$89,3,0)*VLOOKUP('Données projet'!$B$12,Paramètres!$A$1:$I$89,5,0)</f>
        <v>354.24496640000007</v>
      </c>
      <c r="CA153" s="13">
        <f t="shared" si="147"/>
        <v>82.435979677901685</v>
      </c>
      <c r="CB153" s="20">
        <f t="shared" si="118"/>
        <v>760.55264775234548</v>
      </c>
      <c r="CC153" s="59">
        <f t="shared" si="119"/>
        <v>1053.8859810856788</v>
      </c>
      <c r="CD153" s="59">
        <f ca="1">AVERAGE(OFFSET($CC$3,0,0,'Données projet'!$E$12+1,1))-AVERAGE(OFFSET($H$3,0,0,'Données projet'!$E$12+1,1))</f>
        <v>535.99935263833549</v>
      </c>
      <c r="CE153" s="59">
        <f t="shared" si="148"/>
        <v>245.89966477332644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23.784717627565474</v>
      </c>
      <c r="CL153" s="21">
        <f>EXP(-LN(2)/25)*CL152+(1-EXP(-LN(2)/25))/(LN(2)/25)*Calculateur!CG153*Calculateur!CI153*VLOOKUP('Données projet'!$B$12,Paramètres!$A$1:$I$89,3,0)*0.475*44/12</f>
        <v>22.663632765422882</v>
      </c>
      <c r="CM153" s="21">
        <f>EXP(-LN(2)/2)*CM152+(1-EXP(-LN(2)/2))/(LN(2)/2)*CG153*CJ153*VLOOKUP('Données projet'!$B$12,Paramètres!$A$1:$I$89,3,0)*0.475*44/12</f>
        <v>10.91528484200246</v>
      </c>
      <c r="CN153" s="22">
        <f t="shared" si="120"/>
        <v>57.363635234990824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2.5579538487363607E-13</v>
      </c>
      <c r="CU153" s="17">
        <f>CT153*VLOOKUP('Données projet'!$B$13,Paramètres!$A$1:$I$89,3,0)*VLOOKUP('Données projet'!$B$13,Paramètres!$A$1:$I$89,5,0)</f>
        <v>2.4341488824575211E-13</v>
      </c>
      <c r="CV153" s="13">
        <f t="shared" si="149"/>
        <v>3.2970717324875541E-12</v>
      </c>
      <c r="CW153" s="20">
        <f t="shared" si="121"/>
        <v>6.1663475311105072E-12</v>
      </c>
      <c r="CX153" s="59">
        <f t="shared" si="122"/>
        <v>293.33333333333945</v>
      </c>
      <c r="CY153" s="59">
        <f ca="1">AVERAGE(OFFSET($CX$3,0,0,'Données projet'!$E$13+1,1))-AVERAGE(OFFSET($H$3,0,0,'Données projet'!$E$13+1,1))</f>
        <v>449.28947235329758</v>
      </c>
      <c r="CZ153" s="59">
        <f t="shared" si="150"/>
        <v>289.36994109443964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44.514892188178038</v>
      </c>
      <c r="DG153" s="21">
        <f>EXP(-LN(2)/25)*DG152+(1-EXP(-LN(2)/25))/(LN(2)/25)*Calculateur!DB153*Calculateur!DD153*VLOOKUP('Données projet'!$B$13,Paramètres!$A$1:$I$89,3,0)*0.475*44/12</f>
        <v>34.57771485990034</v>
      </c>
      <c r="DH153" s="21">
        <f>EXP(-LN(2)/2)*DH152+(1-EXP(-LN(2)/2))/(LN(2)/2)*DB153*DE153*VLOOKUP('Données projet'!$B$13,Paramètres!$A$1:$I$89,3,0)*0.475*44/12</f>
        <v>3.5010886888978229E-2</v>
      </c>
      <c r="DI153" s="22">
        <f t="shared" si="123"/>
        <v>79.127617934967361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5.6843418860808015E-14</v>
      </c>
      <c r="DP153" s="17">
        <f>DO153*VLOOKUP('Données projet'!$B$14,Paramètres!$A$1:$I$89,3,0)*VLOOKUP('Données projet'!$B$14,Paramètres!$A$1:$I$89,5,0)</f>
        <v>4.4337866711430253E-14</v>
      </c>
      <c r="DQ153" s="13">
        <f t="shared" si="151"/>
        <v>7.3222115536967035E-13</v>
      </c>
      <c r="DR153" s="20">
        <f t="shared" si="124"/>
        <v>1.3525069634579169E-12</v>
      </c>
      <c r="DS153" s="59">
        <f t="shared" si="125"/>
        <v>293.33333333333468</v>
      </c>
      <c r="DT153" s="59">
        <f ca="1">AVERAGE(OFFSET($DS$3,0,0,'Données projet'!$E$14+1,1))-AVERAGE(OFFSET($H$3,0,0,'Données projet'!$E$14+1,1))</f>
        <v>288.82868507674738</v>
      </c>
      <c r="DU153" s="59">
        <f t="shared" si="152"/>
        <v>283.48738729114024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8.6453921238789988</v>
      </c>
      <c r="EB153" s="21">
        <f>EXP(-LN(2)/25)*EB152+(1-EXP(-LN(2)/25))/(LN(2)/25)*Calculateur!DW153*Calculateur!DY153*VLOOKUP('Données projet'!$B$14,Paramètres!$A$1:$I$89,3,0)*0.475*44/12</f>
        <v>4.4808896048531599</v>
      </c>
      <c r="EC153" s="21">
        <f>EXP(-LN(2)/2)*EC152+(1-EXP(-LN(2)/2))/(LN(2)/2)*DW153*DZ153*VLOOKUP('Données projet'!$B$14,Paramètres!$A$1:$I$89,3,0)*0.475*44/12</f>
        <v>3.9072797252586921E-11</v>
      </c>
      <c r="ED153" s="22">
        <f t="shared" si="126"/>
        <v>13.126281728771232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7.5191666666666634</v>
      </c>
      <c r="EJ153" s="12">
        <f>IF('Données projet'!$A$192&gt;35,EJ152+EI153-ER152,IF(A153&lt;'Données projet'!$A$192,$EG$205^A153,IF(A153='Données projet'!$A$192,'Données projet'!$B$192,EJ152+EI153-ER152)))</f>
        <v>364.0849999999997</v>
      </c>
      <c r="EK153" s="17">
        <f>EJ153*VLOOKUP('Données projet'!$B$15,Paramètres!$A$1:$I$89,3,0)*VLOOKUP('Données projet'!$B$15,Paramètres!$A$1:$I$89,5,0)</f>
        <v>352.14301199999971</v>
      </c>
      <c r="EL153" s="13">
        <f t="shared" si="153"/>
        <v>82.003622775261761</v>
      </c>
      <c r="EM153" s="20">
        <f t="shared" si="127"/>
        <v>756.13872223358032</v>
      </c>
      <c r="EN153" s="59">
        <f t="shared" si="128"/>
        <v>1049.4720555669137</v>
      </c>
      <c r="EO153" s="59">
        <f ca="1">AVERAGE(OFFSET($EN$3,0,0,'Données projet'!$E$15+1,1))-AVERAGE(OFFSET($H$3,0,0,'Données projet'!$E$15+1,1))</f>
        <v>510.71380643466227</v>
      </c>
      <c r="EP153" s="59">
        <f t="shared" si="154"/>
        <v>252.40654099948841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20.133394822610413</v>
      </c>
      <c r="EW153" s="21">
        <f>EXP(-LN(2)/25)*EW152+(1-EXP(-LN(2)/25))/(LN(2)/25)*Calculateur!ER153*Calculateur!ET153*VLOOKUP('Données projet'!$B$15,Paramètres!$A$1:$I$89,3,0)*0.475*44/12</f>
        <v>18.170071783531856</v>
      </c>
      <c r="EX153" s="21">
        <f>EXP(-LN(2)/2)*EX152+(1-EXP(-LN(2)/2))/(LN(2)/2)*ER153*EU153*VLOOKUP('Données projet'!$B$15,Paramètres!$A$1:$I$89,3,0)*0.475*44/12</f>
        <v>1.7605436736272591</v>
      </c>
      <c r="EY153" s="22">
        <f t="shared" si="129"/>
        <v>40.064010279769526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7.922666666666669</v>
      </c>
      <c r="N154" s="13">
        <f>IF('Données projet'!$A$36&gt;35,N153+M154-V153,IF(A154&lt;'Données projet'!$A$36,$K$205^A154,IF(A154='Données projet'!$A$36,'Données projet'!$B$36,N153+M154-V153)))</f>
        <v>362.73533333333336</v>
      </c>
      <c r="O154" s="13">
        <f>N154*VLOOKUP('Données projet'!$B$9,Paramètres!$A$1:$I$89,3,0)*VLOOKUP('Données projet'!$B$9,Paramètres!$A$1:$I$89,5,0)</f>
        <v>367.81362800000005</v>
      </c>
      <c r="P154" s="13">
        <f t="shared" si="141"/>
        <v>85.219857457885254</v>
      </c>
      <c r="Q154" s="20">
        <f t="shared" ref="Q154:Q203" si="162">(O154+P154)*0.475*44/12</f>
        <v>789.03332050581685</v>
      </c>
      <c r="R154" s="59">
        <f t="shared" si="109"/>
        <v>1082.3666538391501</v>
      </c>
      <c r="S154" s="59">
        <f ca="1">AVERAGE(OFFSET($R$3,0,0,'Données projet'!$E$9+1,1))-AVERAGE(OFFSET($H$3,0,0,'Données projet'!$E$9+1,1))</f>
        <v>543.67050511722618</v>
      </c>
      <c r="T154" s="59">
        <f t="shared" si="142"/>
        <v>249.0871389941106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33.155727465847065</v>
      </c>
      <c r="AA154" s="21">
        <f>EXP(-LN(2)/25)*AA153+(1-EXP(-LN(2)/25))/(LN(2)/25)*Calculateur!V154*Calculateur!X154*VLOOKUP('Données projet'!$B$9,Paramètres!$A$1:$I$89,3,0)*0.475*44/12</f>
        <v>23.391946483315433</v>
      </c>
      <c r="AB154" s="21">
        <f>EXP(-LN(2)/2)*AB153+(1-EXP(-LN(2)/2))/(LN(2)/2)*V154*Y154*VLOOKUP('Données projet'!$B$9,Paramètres!$A$1:$I$89,3,0)*0.475*44/12</f>
        <v>3.1355479719396087</v>
      </c>
      <c r="AC154" s="22">
        <f t="shared" ref="AC154:AC203" si="163">SUM(Z154:AB154)</f>
        <v>59.68322192110211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9.3350000000000026</v>
      </c>
      <c r="AI154" s="13">
        <f>IF('Données projet'!$A$62&gt;35,AI153+AH154-AQ153,IF(A154&lt;'Données projet'!$A$62,$AF$205^A154,IF(A154='Données projet'!$A$62,'Données projet'!$B$62,AI153+AH154-AQ153)))</f>
        <v>518.48500000000081</v>
      </c>
      <c r="AJ154" s="13">
        <f>AI154*VLOOKUP('Données projet'!$B$10,Paramètres!$A$1:$I$89,3,0)*VLOOKUP('Données projet'!$B$10,Paramètres!$A$1:$I$89,5,0)</f>
        <v>469.12522800000067</v>
      </c>
      <c r="AK154" s="13">
        <f t="shared" ref="AK154:AK203" si="164">EXP(-1.0587+0.8836*LN(AJ154)+0.284)</f>
        <v>105.65811013888603</v>
      </c>
      <c r="AL154" s="20">
        <f t="shared" ref="AL154:AL203" si="165">(AJ154+AK154)*0.475*44/12</f>
        <v>1001.0809805918944</v>
      </c>
      <c r="AM154" s="59">
        <f t="shared" si="113"/>
        <v>1294.4143139252278</v>
      </c>
      <c r="AN154" s="59">
        <f ca="1">AVERAGE(OFFSET($AM$3,0,0,'Données projet'!$E$10+1,1))-AVERAGE(OFFSET($H$3,0,0,'Données projet'!$E$10+1,1))</f>
        <v>635.71275911100679</v>
      </c>
      <c r="AO154" s="59">
        <f t="shared" si="144"/>
        <v>281.7776857269169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43.524921816054579</v>
      </c>
      <c r="AV154" s="21">
        <f>EXP(-LN(2)/25)*AV153+(1-EXP(-LN(2)/25))/(LN(2)/25)*Calculateur!AQ154*Calculateur!AS154*VLOOKUP('Données projet'!$B$10,Paramètres!$A$1:$I$89,3,0)*0.475*44/12</f>
        <v>19.196622169331992</v>
      </c>
      <c r="AW154" s="21">
        <f>EXP(-LN(2)/2)*AW153+(1-EXP(-LN(2)/2))/(LN(2)/2)*AQ154*AT154*VLOOKUP('Données projet'!$B$10,Paramètres!$A$1:$I$89,3,0)*0.475*44/12</f>
        <v>4.4073160660020077E-4</v>
      </c>
      <c r="AX154" s="21">
        <f t="shared" ref="AX154:AX203" si="166">SUM(AU154:AW154)</f>
        <v>62.721984716993177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204.11804238362862</v>
      </c>
      <c r="BJ154" s="59">
        <f t="shared" si="146"/>
        <v>185.53854651509408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2.7005343709032164</v>
      </c>
      <c r="BQ154" s="21">
        <f>EXP(-LN(2)/25)*BQ153+(1-EXP(-LN(2)/25))/(LN(2)/25)*Calculateur!BL154*Calculateur!BN154*VLOOKUP('Données projet'!$B$11,Paramètres!$A$1:$I$89,3,0)*0.475*44/12</f>
        <v>9.836688250527672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12.537222621430889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7.922666666666669</v>
      </c>
      <c r="BY154" s="12">
        <f>IF('Données projet'!$A$114&gt;35,BY153+BX154-CG153,IF(A154&lt;'Données projet'!$A$114,$BV$205^A154,IF(A154='Données projet'!$A$114,'Données projet'!$B$114,BY153+BX154-CG153)))</f>
        <v>362.73533333333336</v>
      </c>
      <c r="BZ154" s="13">
        <f>BY154*VLOOKUP('Données projet'!$B$12,Paramètres!$A$1:$I$89,3,0)*VLOOKUP('Données projet'!$B$12,Paramètres!$A$1:$I$89,5,0)</f>
        <v>362.15495680000004</v>
      </c>
      <c r="CA154" s="13">
        <f t="shared" ref="CA154:CA203" si="170">EXP(-1.0587+0.8836*LN(BZ154)+0.284)</f>
        <v>84.060348566721203</v>
      </c>
      <c r="CB154" s="20">
        <f t="shared" ref="CB154:CB203" si="171">(BZ154+CA154)*0.475*44/12</f>
        <v>777.15832351370602</v>
      </c>
      <c r="CC154" s="59">
        <f t="shared" si="119"/>
        <v>1070.4916568470394</v>
      </c>
      <c r="CD154" s="59">
        <f ca="1">AVERAGE(OFFSET($CC$3,0,0,'Données projet'!$E$12+1,1))-AVERAGE(OFFSET($H$3,0,0,'Données projet'!$E$12+1,1))</f>
        <v>535.99935263833549</v>
      </c>
      <c r="CE154" s="59">
        <f t="shared" si="148"/>
        <v>245.89966477332644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23.318313822134197</v>
      </c>
      <c r="CL154" s="21">
        <f>EXP(-LN(2)/25)*CL153+(1-EXP(-LN(2)/25))/(LN(2)/25)*Calculateur!CG154*Calculateur!CI154*VLOOKUP('Données projet'!$B$12,Paramètres!$A$1:$I$89,3,0)*0.475*44/12</f>
        <v>22.043894535623746</v>
      </c>
      <c r="CM154" s="21">
        <f>EXP(-LN(2)/2)*CM153+(1-EXP(-LN(2)/2))/(LN(2)/2)*CG154*CJ154*VLOOKUP('Données projet'!$B$12,Paramètres!$A$1:$I$89,3,0)*0.475*44/12</f>
        <v>7.7182719303626737</v>
      </c>
      <c r="CN154" s="22">
        <f t="shared" ref="CN154:CN203" si="172">SUM(CK154:CM154)</f>
        <v>53.080480288120619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2.5579538487363607E-13</v>
      </c>
      <c r="CU154" s="17">
        <f>CT154*VLOOKUP('Données projet'!$B$13,Paramètres!$A$1:$I$89,3,0)*VLOOKUP('Données projet'!$B$13,Paramètres!$A$1:$I$89,5,0)</f>
        <v>2.4341488824575211E-13</v>
      </c>
      <c r="CV154" s="13">
        <f t="shared" ref="CV154:CV203" si="173">EXP(-1.0587+0.8836*LN(CU154)+0.284)</f>
        <v>3.2970717324875541E-12</v>
      </c>
      <c r="CW154" s="20">
        <f t="shared" ref="CW154:CW203" si="174">(CU154+CV154)*0.475*44/12</f>
        <v>6.1663475311105072E-12</v>
      </c>
      <c r="CX154" s="59">
        <f t="shared" si="122"/>
        <v>293.33333333333945</v>
      </c>
      <c r="CY154" s="59">
        <f ca="1">AVERAGE(OFFSET($CX$3,0,0,'Données projet'!$E$13+1,1))-AVERAGE(OFFSET($H$3,0,0,'Données projet'!$E$13+1,1))</f>
        <v>449.28947235329758</v>
      </c>
      <c r="CZ154" s="59">
        <f t="shared" si="150"/>
        <v>289.36994109443964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43.641982303771123</v>
      </c>
      <c r="DG154" s="21">
        <f>EXP(-LN(2)/25)*DG153+(1-EXP(-LN(2)/25))/(LN(2)/25)*Calculateur!DB154*Calculateur!DD154*VLOOKUP('Données projet'!$B$13,Paramètres!$A$1:$I$89,3,0)*0.475*44/12</f>
        <v>33.632185428693369</v>
      </c>
      <c r="DH154" s="21">
        <f>EXP(-LN(2)/2)*DH153+(1-EXP(-LN(2)/2))/(LN(2)/2)*DB154*DE154*VLOOKUP('Données projet'!$B$13,Paramètres!$A$1:$I$89,3,0)*0.475*44/12</f>
        <v>2.4756435534551695E-2</v>
      </c>
      <c r="DI154" s="22">
        <f t="shared" ref="DI154:DI203" si="175">SUM(DF154:DH154)</f>
        <v>77.298924167999047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5.6843418860808015E-14</v>
      </c>
      <c r="DP154" s="17">
        <f>DO154*VLOOKUP('Données projet'!$B$14,Paramètres!$A$1:$I$89,3,0)*VLOOKUP('Données projet'!$B$14,Paramètres!$A$1:$I$89,5,0)</f>
        <v>4.4337866711430253E-14</v>
      </c>
      <c r="DQ154" s="13">
        <f t="shared" ref="DQ154:DQ203" si="176">EXP(-1.0587+0.8836*LN(DP154)+0.284)</f>
        <v>7.3222115536967035E-13</v>
      </c>
      <c r="DR154" s="20">
        <f t="shared" ref="DR154:DR203" si="177">(DP154+DQ154)*0.475*44/12</f>
        <v>1.3525069634579169E-12</v>
      </c>
      <c r="DS154" s="59">
        <f t="shared" si="125"/>
        <v>293.33333333333468</v>
      </c>
      <c r="DT154" s="59">
        <f ca="1">AVERAGE(OFFSET($DS$3,0,0,'Données projet'!$E$14+1,1))-AVERAGE(OFFSET($H$3,0,0,'Données projet'!$E$14+1,1))</f>
        <v>288.82868507674738</v>
      </c>
      <c r="DU154" s="59">
        <f t="shared" si="152"/>
        <v>283.48738729114024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8.475861257498245</v>
      </c>
      <c r="EB154" s="21">
        <f>EXP(-LN(2)/25)*EB153+(1-EXP(-LN(2)/25))/(LN(2)/25)*Calculateur!DW154*Calculateur!DY154*VLOOKUP('Données projet'!$B$14,Paramètres!$A$1:$I$89,3,0)*0.475*44/12</f>
        <v>4.3583594429687071</v>
      </c>
      <c r="EC154" s="21">
        <f>EXP(-LN(2)/2)*EC153+(1-EXP(-LN(2)/2))/(LN(2)/2)*DW154*DZ154*VLOOKUP('Données projet'!$B$14,Paramètres!$A$1:$I$89,3,0)*0.475*44/12</f>
        <v>2.7628639897231316E-11</v>
      </c>
      <c r="ED154" s="22">
        <f t="shared" ref="ED154:ED203" si="178">SUM(EA154:EC154)</f>
        <v>12.834220700494582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7.5191666666666634</v>
      </c>
      <c r="EJ154" s="12">
        <f>IF('Données projet'!$A$192&gt;35,EJ153+EI154-ER153,IF(A154&lt;'Données projet'!$A$192,$EG$205^A154,IF(A154='Données projet'!$A$192,'Données projet'!$B$192,EJ153+EI154-ER153)))</f>
        <v>371.60416666666634</v>
      </c>
      <c r="EK154" s="17">
        <f>EJ154*VLOOKUP('Données projet'!$B$15,Paramètres!$A$1:$I$89,3,0)*VLOOKUP('Données projet'!$B$15,Paramètres!$A$1:$I$89,5,0)</f>
        <v>359.41554999999971</v>
      </c>
      <c r="EL154" s="13">
        <f t="shared" ref="EL154:EL203" si="179">EXP(-1.0587+0.8836*LN(EK154)+0.284)</f>
        <v>83.498265270422635</v>
      </c>
      <c r="EM154" s="20">
        <f t="shared" ref="EM154:EM203" si="180">(EK154+EL154)*0.475*44/12</f>
        <v>771.40822826265219</v>
      </c>
      <c r="EN154" s="59">
        <f t="shared" si="128"/>
        <v>1064.7415615959856</v>
      </c>
      <c r="EO154" s="59">
        <f ca="1">AVERAGE(OFFSET($EN$3,0,0,'Données projet'!$E$15+1,1))-AVERAGE(OFFSET($H$3,0,0,'Données projet'!$E$15+1,1))</f>
        <v>510.71380643466227</v>
      </c>
      <c r="EP154" s="59">
        <f t="shared" si="154"/>
        <v>252.40654099948841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19.738591230297299</v>
      </c>
      <c r="EW154" s="21">
        <f>EXP(-LN(2)/25)*EW153+(1-EXP(-LN(2)/25))/(LN(2)/25)*Calculateur!ER154*Calculateur!ET154*VLOOKUP('Données projet'!$B$15,Paramètres!$A$1:$I$89,3,0)*0.475*44/12</f>
        <v>17.673210215088631</v>
      </c>
      <c r="EX154" s="21">
        <f>EXP(-LN(2)/2)*EX153+(1-EXP(-LN(2)/2))/(LN(2)/2)*ER154*EU154*VLOOKUP('Données projet'!$B$15,Paramètres!$A$1:$I$89,3,0)*0.475*44/12</f>
        <v>1.2448923701969108</v>
      </c>
      <c r="EY154" s="22">
        <f t="shared" ref="EY154:EY203" si="181">SUM(EV154:EX154)</f>
        <v>38.656693815582841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7.922666666666669</v>
      </c>
      <c r="N155" s="13">
        <f>IF('Données projet'!$A$36&gt;35,N154+M155-V154,IF(A155&lt;'Données projet'!$A$36,$K$205^A155,IF(A155='Données projet'!$A$36,'Données projet'!$B$36,N154+M155-V154)))</f>
        <v>370.65800000000002</v>
      </c>
      <c r="O155" s="13">
        <f>N155*VLOOKUP('Données projet'!$B$9,Paramètres!$A$1:$I$89,3,0)*VLOOKUP('Données projet'!$B$9,Paramètres!$A$1:$I$89,5,0)</f>
        <v>375.84721200000001</v>
      </c>
      <c r="P155" s="13">
        <f t="shared" si="141"/>
        <v>86.862450808786207</v>
      </c>
      <c r="Q155" s="20">
        <f t="shared" si="162"/>
        <v>805.88599605863601</v>
      </c>
      <c r="R155" s="59">
        <f t="shared" si="109"/>
        <v>1099.2193293919693</v>
      </c>
      <c r="S155" s="59">
        <f ca="1">AVERAGE(OFFSET($R$3,0,0,'Données projet'!$E$9+1,1))-AVERAGE(OFFSET($H$3,0,0,'Données projet'!$E$9+1,1))</f>
        <v>543.67050511722618</v>
      </c>
      <c r="T155" s="59">
        <f t="shared" si="142"/>
        <v>249.0871389941106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32.5055638732387</v>
      </c>
      <c r="AA155" s="21">
        <f>EXP(-LN(2)/25)*AA154+(1-EXP(-LN(2)/25))/(LN(2)/25)*Calculateur!V155*Calculateur!X155*VLOOKUP('Données projet'!$B$9,Paramètres!$A$1:$I$89,3,0)*0.475*44/12</f>
        <v>22.752292476600172</v>
      </c>
      <c r="AB155" s="21">
        <f>EXP(-LN(2)/2)*AB154+(1-EXP(-LN(2)/2))/(LN(2)/2)*V155*Y155*VLOOKUP('Données projet'!$B$9,Paramètres!$A$1:$I$89,3,0)*0.475*44/12</f>
        <v>2.2171672336942239</v>
      </c>
      <c r="AC155" s="22">
        <f t="shared" si="163"/>
        <v>57.475023583533101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9.3350000000000026</v>
      </c>
      <c r="AI155" s="13">
        <f>IF('Données projet'!$A$62&gt;35,AI154+AH155-AQ154,IF(A155&lt;'Données projet'!$A$62,$AF$205^A155,IF(A155='Données projet'!$A$62,'Données projet'!$B$62,AI154+AH155-AQ154)))</f>
        <v>527.82000000000085</v>
      </c>
      <c r="AJ155" s="13">
        <f>AI155*VLOOKUP('Données projet'!$B$10,Paramètres!$A$1:$I$89,3,0)*VLOOKUP('Données projet'!$B$10,Paramètres!$A$1:$I$89,5,0)</f>
        <v>477.57153600000072</v>
      </c>
      <c r="AK155" s="13">
        <f t="shared" si="164"/>
        <v>107.3372403617045</v>
      </c>
      <c r="AL155" s="20">
        <f t="shared" si="165"/>
        <v>1018.71611882997</v>
      </c>
      <c r="AM155" s="59">
        <f t="shared" si="113"/>
        <v>1312.0494521633034</v>
      </c>
      <c r="AN155" s="59">
        <f ca="1">AVERAGE(OFFSET($AM$3,0,0,'Données projet'!$E$10+1,1))-AVERAGE(OFFSET($H$3,0,0,'Données projet'!$E$10+1,1))</f>
        <v>635.71275911100679</v>
      </c>
      <c r="AO155" s="59">
        <f t="shared" si="144"/>
        <v>281.7776857269169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42.6714246468227</v>
      </c>
      <c r="AV155" s="21">
        <f>EXP(-LN(2)/25)*AV154+(1-EXP(-LN(2)/25))/(LN(2)/25)*Calculateur!AQ155*Calculateur!AS155*VLOOKUP('Données projet'!$B$10,Paramètres!$A$1:$I$89,3,0)*0.475*44/12</f>
        <v>18.671689526605125</v>
      </c>
      <c r="AW155" s="21">
        <f>EXP(-LN(2)/2)*AW154+(1-EXP(-LN(2)/2))/(LN(2)/2)*AQ155*AT155*VLOOKUP('Données projet'!$B$10,Paramètres!$A$1:$I$89,3,0)*0.475*44/12</f>
        <v>3.1164430771024371E-4</v>
      </c>
      <c r="AX155" s="21">
        <f t="shared" si="166"/>
        <v>61.343425817735529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204.11804238362862</v>
      </c>
      <c r="BJ155" s="59">
        <f t="shared" si="146"/>
        <v>185.53854651509408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2.6475785390531268</v>
      </c>
      <c r="BQ155" s="21">
        <f>EXP(-LN(2)/25)*BQ154+(1-EXP(-LN(2)/25))/(LN(2)/25)*Calculateur!BL155*Calculateur!BN155*VLOOKUP('Données projet'!$B$11,Paramètres!$A$1:$I$89,3,0)*0.475*44/12</f>
        <v>9.5677034930280396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12.215282032081166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7.922666666666669</v>
      </c>
      <c r="BY155" s="12">
        <f>IF('Données projet'!$A$114&gt;35,BY154+BX155-CG154,IF(A155&lt;'Données projet'!$A$114,$BV$205^A155,IF(A155='Données projet'!$A$114,'Données projet'!$B$114,BY154+BX155-CG154)))</f>
        <v>370.65800000000002</v>
      </c>
      <c r="BZ155" s="13">
        <f>BY155*VLOOKUP('Données projet'!$B$12,Paramètres!$A$1:$I$89,3,0)*VLOOKUP('Données projet'!$B$12,Paramètres!$A$1:$I$89,5,0)</f>
        <v>370.06494720000001</v>
      </c>
      <c r="CA155" s="13">
        <f t="shared" si="170"/>
        <v>85.680592647724822</v>
      </c>
      <c r="CB155" s="20">
        <f t="shared" si="171"/>
        <v>793.7568152347875</v>
      </c>
      <c r="CC155" s="59">
        <f t="shared" si="119"/>
        <v>1087.0901485681209</v>
      </c>
      <c r="CD155" s="59">
        <f ca="1">AVERAGE(OFFSET($CC$3,0,0,'Données projet'!$E$12+1,1))-AVERAGE(OFFSET($H$3,0,0,'Données projet'!$E$12+1,1))</f>
        <v>535.99935263833549</v>
      </c>
      <c r="CE155" s="59">
        <f t="shared" si="148"/>
        <v>245.89966477332644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22.861055910849196</v>
      </c>
      <c r="CL155" s="21">
        <f>EXP(-LN(2)/25)*CL154+(1-EXP(-LN(2)/25))/(LN(2)/25)*Calculateur!CG155*Calculateur!CI155*VLOOKUP('Données projet'!$B$12,Paramètres!$A$1:$I$89,3,0)*0.475*44/12</f>
        <v>21.441103080309084</v>
      </c>
      <c r="CM155" s="21">
        <f>EXP(-LN(2)/2)*CM154+(1-EXP(-LN(2)/2))/(LN(2)/2)*CG155*CJ155*VLOOKUP('Données projet'!$B$12,Paramètres!$A$1:$I$89,3,0)*0.475*44/12</f>
        <v>5.4576424210012311</v>
      </c>
      <c r="CN155" s="22">
        <f t="shared" si="172"/>
        <v>49.759801412159511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2.5579538487363607E-13</v>
      </c>
      <c r="CU155" s="17">
        <f>CT155*VLOOKUP('Données projet'!$B$13,Paramètres!$A$1:$I$89,3,0)*VLOOKUP('Données projet'!$B$13,Paramètres!$A$1:$I$89,5,0)</f>
        <v>2.4341488824575211E-13</v>
      </c>
      <c r="CV155" s="13">
        <f t="shared" si="173"/>
        <v>3.2970717324875541E-12</v>
      </c>
      <c r="CW155" s="20">
        <f t="shared" si="174"/>
        <v>6.1663475311105072E-12</v>
      </c>
      <c r="CX155" s="59">
        <f t="shared" si="122"/>
        <v>293.33333333333945</v>
      </c>
      <c r="CY155" s="59">
        <f ca="1">AVERAGE(OFFSET($CX$3,0,0,'Données projet'!$E$13+1,1))-AVERAGE(OFFSET($H$3,0,0,'Données projet'!$E$13+1,1))</f>
        <v>449.28947235329758</v>
      </c>
      <c r="CZ155" s="59">
        <f t="shared" si="150"/>
        <v>289.36994109443964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42.786189649774968</v>
      </c>
      <c r="DG155" s="21">
        <f>EXP(-LN(2)/25)*DG154+(1-EXP(-LN(2)/25))/(LN(2)/25)*Calculateur!DB155*Calculateur!DD155*VLOOKUP('Données projet'!$B$13,Paramètres!$A$1:$I$89,3,0)*0.475*44/12</f>
        <v>32.712511549505983</v>
      </c>
      <c r="DH155" s="21">
        <f>EXP(-LN(2)/2)*DH154+(1-EXP(-LN(2)/2))/(LN(2)/2)*DB155*DE155*VLOOKUP('Données projet'!$B$13,Paramètres!$A$1:$I$89,3,0)*0.475*44/12</f>
        <v>1.7505443444489115E-2</v>
      </c>
      <c r="DI155" s="22">
        <f t="shared" si="175"/>
        <v>75.51620664272545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5.6843418860808015E-14</v>
      </c>
      <c r="DP155" s="17">
        <f>DO155*VLOOKUP('Données projet'!$B$14,Paramètres!$A$1:$I$89,3,0)*VLOOKUP('Données projet'!$B$14,Paramètres!$A$1:$I$89,5,0)</f>
        <v>4.4337866711430253E-14</v>
      </c>
      <c r="DQ155" s="13">
        <f t="shared" si="176"/>
        <v>7.3222115536967035E-13</v>
      </c>
      <c r="DR155" s="20">
        <f t="shared" si="177"/>
        <v>1.3525069634579169E-12</v>
      </c>
      <c r="DS155" s="59">
        <f t="shared" si="125"/>
        <v>293.33333333333468</v>
      </c>
      <c r="DT155" s="59">
        <f ca="1">AVERAGE(OFFSET($DS$3,0,0,'Données projet'!$E$14+1,1))-AVERAGE(OFFSET($H$3,0,0,'Données projet'!$E$14+1,1))</f>
        <v>288.82868507674738</v>
      </c>
      <c r="DU155" s="59">
        <f t="shared" si="152"/>
        <v>283.48738729114024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8.3096547880036002</v>
      </c>
      <c r="EB155" s="21">
        <f>EXP(-LN(2)/25)*EB154+(1-EXP(-LN(2)/25))/(LN(2)/25)*Calculateur!DW155*Calculateur!DY155*VLOOKUP('Données projet'!$B$14,Paramètres!$A$1:$I$89,3,0)*0.475*44/12</f>
        <v>4.2391798748045657</v>
      </c>
      <c r="EC155" s="21">
        <f>EXP(-LN(2)/2)*EC154+(1-EXP(-LN(2)/2))/(LN(2)/2)*DW155*DZ155*VLOOKUP('Données projet'!$B$14,Paramètres!$A$1:$I$89,3,0)*0.475*44/12</f>
        <v>1.9536398626293461E-11</v>
      </c>
      <c r="ED155" s="22">
        <f t="shared" si="178"/>
        <v>12.548834662827701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7.5191666666666634</v>
      </c>
      <c r="EJ155" s="12">
        <f>IF('Données projet'!$A$192&gt;35,EJ154+EI155-ER154,IF(A155&lt;'Données projet'!$A$192,$EG$205^A155,IF(A155='Données projet'!$A$192,'Données projet'!$B$192,EJ154+EI155-ER154)))</f>
        <v>379.12333333333299</v>
      </c>
      <c r="EK155" s="17">
        <f>EJ155*VLOOKUP('Données projet'!$B$15,Paramètres!$A$1:$I$89,3,0)*VLOOKUP('Données projet'!$B$15,Paramètres!$A$1:$I$89,5,0)</f>
        <v>366.68808799999971</v>
      </c>
      <c r="EL155" s="13">
        <f t="shared" si="179"/>
        <v>84.989391356215521</v>
      </c>
      <c r="EM155" s="20">
        <f t="shared" si="180"/>
        <v>786.67160987874149</v>
      </c>
      <c r="EN155" s="59">
        <f t="shared" si="128"/>
        <v>1080.0049432120747</v>
      </c>
      <c r="EO155" s="59">
        <f ca="1">AVERAGE(OFFSET($EN$3,0,0,'Données projet'!$E$15+1,1))-AVERAGE(OFFSET($H$3,0,0,'Données projet'!$E$15+1,1))</f>
        <v>510.71380643466227</v>
      </c>
      <c r="EP155" s="59">
        <f t="shared" si="154"/>
        <v>252.40654099948841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19.351529495623033</v>
      </c>
      <c r="EW155" s="21">
        <f>EXP(-LN(2)/25)*EW154+(1-EXP(-LN(2)/25))/(LN(2)/25)*Calculateur!ER155*Calculateur!ET155*VLOOKUP('Données projet'!$B$15,Paramètres!$A$1:$I$89,3,0)*0.475*44/12</f>
        <v>17.1899353523633</v>
      </c>
      <c r="EX155" s="21">
        <f>EXP(-LN(2)/2)*EX154+(1-EXP(-LN(2)/2))/(LN(2)/2)*ER155*EU155*VLOOKUP('Données projet'!$B$15,Paramètres!$A$1:$I$89,3,0)*0.475*44/12</f>
        <v>0.88027183681362953</v>
      </c>
      <c r="EY155" s="22">
        <f t="shared" si="181"/>
        <v>37.42173668479996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7.922666666666669</v>
      </c>
      <c r="N156" s="13">
        <f>IF('Données projet'!$A$36&gt;35,N155+M156-V155,IF(A156&lt;'Données projet'!$A$36,$K$205^A156,IF(A156='Données projet'!$A$36,'Données projet'!$B$36,N155+M156-V155)))</f>
        <v>378.58066666666667</v>
      </c>
      <c r="O156" s="13">
        <f>N156*VLOOKUP('Données projet'!$B$9,Paramètres!$A$1:$I$89,3,0)*VLOOKUP('Données projet'!$B$9,Paramètres!$A$1:$I$89,5,0)</f>
        <v>383.88079600000003</v>
      </c>
      <c r="P156" s="13">
        <f t="shared" si="141"/>
        <v>88.500962132886158</v>
      </c>
      <c r="Q156" s="20">
        <f t="shared" si="162"/>
        <v>822.73156208144337</v>
      </c>
      <c r="R156" s="59">
        <f t="shared" si="109"/>
        <v>1116.0648954147766</v>
      </c>
      <c r="S156" s="59">
        <f ca="1">AVERAGE(OFFSET($R$3,0,0,'Données projet'!$E$9+1,1))-AVERAGE(OFFSET($H$3,0,0,'Données projet'!$E$9+1,1))</f>
        <v>543.67050511722618</v>
      </c>
      <c r="T156" s="59">
        <f t="shared" si="142"/>
        <v>249.0871389941106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31.868149592120755</v>
      </c>
      <c r="AA156" s="21">
        <f>EXP(-LN(2)/25)*AA155+(1-EXP(-LN(2)/25))/(LN(2)/25)*Calculateur!V156*Calculateur!X156*VLOOKUP('Données projet'!$B$9,Paramètres!$A$1:$I$89,3,0)*0.475*44/12</f>
        <v>22.13012984233648</v>
      </c>
      <c r="AB156" s="21">
        <f>EXP(-LN(2)/2)*AB155+(1-EXP(-LN(2)/2))/(LN(2)/2)*V156*Y156*VLOOKUP('Données projet'!$B$9,Paramètres!$A$1:$I$89,3,0)*0.475*44/12</f>
        <v>1.5677739859698046</v>
      </c>
      <c r="AC156" s="22">
        <f t="shared" si="163"/>
        <v>55.566053420427039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9.3350000000000026</v>
      </c>
      <c r="AI156" s="13">
        <f>IF('Données projet'!$A$62&gt;35,AI155+AH156-AQ155,IF(A156&lt;'Données projet'!$A$62,$AF$205^A156,IF(A156='Données projet'!$A$62,'Données projet'!$B$62,AI155+AH156-AQ155)))</f>
        <v>537.15500000000088</v>
      </c>
      <c r="AJ156" s="13">
        <f>AI156*VLOOKUP('Données projet'!$B$10,Paramètres!$A$1:$I$89,3,0)*VLOOKUP('Données projet'!$B$10,Paramètres!$A$1:$I$89,5,0)</f>
        <v>486.01784400000076</v>
      </c>
      <c r="AK156" s="13">
        <f t="shared" si="164"/>
        <v>109.01291721682281</v>
      </c>
      <c r="AL156" s="20">
        <f t="shared" si="165"/>
        <v>1036.3452424526342</v>
      </c>
      <c r="AM156" s="59">
        <f t="shared" si="113"/>
        <v>1329.6785757859675</v>
      </c>
      <c r="AN156" s="59">
        <f ca="1">AVERAGE(OFFSET($AM$3,0,0,'Données projet'!$E$10+1,1))-AVERAGE(OFFSET($H$3,0,0,'Données projet'!$E$10+1,1))</f>
        <v>635.71275911100679</v>
      </c>
      <c r="AO156" s="59">
        <f t="shared" si="144"/>
        <v>281.7776857269169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41.834664036497585</v>
      </c>
      <c r="AV156" s="21">
        <f>EXP(-LN(2)/25)*AV155+(1-EXP(-LN(2)/25))/(LN(2)/25)*Calculateur!AQ156*Calculateur!AS156*VLOOKUP('Données projet'!$B$10,Paramètres!$A$1:$I$89,3,0)*0.475*44/12</f>
        <v>18.161111194598629</v>
      </c>
      <c r="AW156" s="21">
        <f>EXP(-LN(2)/2)*AW155+(1-EXP(-LN(2)/2))/(LN(2)/2)*AQ156*AT156*VLOOKUP('Données projet'!$B$10,Paramètres!$A$1:$I$89,3,0)*0.475*44/12</f>
        <v>2.2036580330010038E-4</v>
      </c>
      <c r="AX156" s="21">
        <f t="shared" si="166"/>
        <v>59.995995596899519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204.11804238362862</v>
      </c>
      <c r="BJ156" s="59">
        <f t="shared" si="146"/>
        <v>185.53854651509408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2.5956611387657493</v>
      </c>
      <c r="BQ156" s="21">
        <f>EXP(-LN(2)/25)*BQ155+(1-EXP(-LN(2)/25))/(LN(2)/25)*Calculateur!BL156*Calculateur!BN156*VLOOKUP('Données projet'!$B$11,Paramètres!$A$1:$I$89,3,0)*0.475*44/12</f>
        <v>9.3060741378675278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11.901735276633277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7.922666666666669</v>
      </c>
      <c r="BY156" s="12">
        <f>IF('Données projet'!$A$114&gt;35,BY155+BX156-CG155,IF(A156&lt;'Données projet'!$A$114,$BV$205^A156,IF(A156='Données projet'!$A$114,'Données projet'!$B$114,BY155+BX156-CG155)))</f>
        <v>378.58066666666667</v>
      </c>
      <c r="BZ156" s="13">
        <f>BY156*VLOOKUP('Données projet'!$B$12,Paramètres!$A$1:$I$89,3,0)*VLOOKUP('Données projet'!$B$12,Paramètres!$A$1:$I$89,5,0)</f>
        <v>377.97493760000003</v>
      </c>
      <c r="CA156" s="13">
        <f t="shared" si="170"/>
        <v>87.296810242343881</v>
      </c>
      <c r="CB156" s="20">
        <f t="shared" si="171"/>
        <v>810.3482941587489</v>
      </c>
      <c r="CC156" s="59">
        <f t="shared" si="119"/>
        <v>1103.6816274920823</v>
      </c>
      <c r="CD156" s="59">
        <f ca="1">AVERAGE(OFFSET($CC$3,0,0,'Données projet'!$E$12+1,1))-AVERAGE(OFFSET($H$3,0,0,'Données projet'!$E$12+1,1))</f>
        <v>535.99935263833549</v>
      </c>
      <c r="CE156" s="59">
        <f t="shared" si="148"/>
        <v>245.89966477332644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22.412764548304708</v>
      </c>
      <c r="CL156" s="21">
        <f>EXP(-LN(2)/25)*CL155+(1-EXP(-LN(2)/25))/(LN(2)/25)*Calculateur!CG156*Calculateur!CI156*VLOOKUP('Données projet'!$B$12,Paramètres!$A$1:$I$89,3,0)*0.475*44/12</f>
        <v>20.854794989039426</v>
      </c>
      <c r="CM156" s="21">
        <f>EXP(-LN(2)/2)*CM155+(1-EXP(-LN(2)/2))/(LN(2)/2)*CG156*CJ156*VLOOKUP('Données projet'!$B$12,Paramètres!$A$1:$I$89,3,0)*0.475*44/12</f>
        <v>3.8591359651813373</v>
      </c>
      <c r="CN156" s="22">
        <f t="shared" si="172"/>
        <v>47.126695502525472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2.5579538487363607E-13</v>
      </c>
      <c r="CU156" s="17">
        <f>CT156*VLOOKUP('Données projet'!$B$13,Paramètres!$A$1:$I$89,3,0)*VLOOKUP('Données projet'!$B$13,Paramètres!$A$1:$I$89,5,0)</f>
        <v>2.4341488824575211E-13</v>
      </c>
      <c r="CV156" s="13">
        <f t="shared" si="173"/>
        <v>3.2970717324875541E-12</v>
      </c>
      <c r="CW156" s="20">
        <f t="shared" si="174"/>
        <v>6.1663475311105072E-12</v>
      </c>
      <c r="CX156" s="59">
        <f t="shared" si="122"/>
        <v>293.33333333333945</v>
      </c>
      <c r="CY156" s="59">
        <f ca="1">AVERAGE(OFFSET($CX$3,0,0,'Données projet'!$E$13+1,1))-AVERAGE(OFFSET($H$3,0,0,'Données projet'!$E$13+1,1))</f>
        <v>449.28947235329758</v>
      </c>
      <c r="CZ156" s="59">
        <f t="shared" si="150"/>
        <v>289.36994109443964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41.947178567741702</v>
      </c>
      <c r="DG156" s="21">
        <f>EXP(-LN(2)/25)*DG155+(1-EXP(-LN(2)/25))/(LN(2)/25)*Calculateur!DB156*Calculateur!DD156*VLOOKUP('Données projet'!$B$13,Paramètres!$A$1:$I$89,3,0)*0.475*44/12</f>
        <v>31.817986200908525</v>
      </c>
      <c r="DH156" s="21">
        <f>EXP(-LN(2)/2)*DH155+(1-EXP(-LN(2)/2))/(LN(2)/2)*DB156*DE156*VLOOKUP('Données projet'!$B$13,Paramètres!$A$1:$I$89,3,0)*0.475*44/12</f>
        <v>1.2378217767275847E-2</v>
      </c>
      <c r="DI156" s="22">
        <f t="shared" si="175"/>
        <v>73.777542986417501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5.6843418860808015E-14</v>
      </c>
      <c r="DP156" s="17">
        <f>DO156*VLOOKUP('Données projet'!$B$14,Paramètres!$A$1:$I$89,3,0)*VLOOKUP('Données projet'!$B$14,Paramètres!$A$1:$I$89,5,0)</f>
        <v>4.4337866711430253E-14</v>
      </c>
      <c r="DQ156" s="13">
        <f t="shared" si="176"/>
        <v>7.3222115536967035E-13</v>
      </c>
      <c r="DR156" s="20">
        <f t="shared" si="177"/>
        <v>1.3525069634579169E-12</v>
      </c>
      <c r="DS156" s="59">
        <f t="shared" si="125"/>
        <v>293.33333333333468</v>
      </c>
      <c r="DT156" s="59">
        <f ca="1">AVERAGE(OFFSET($DS$3,0,0,'Données projet'!$E$14+1,1))-AVERAGE(OFFSET($H$3,0,0,'Données projet'!$E$14+1,1))</f>
        <v>288.82868507674738</v>
      </c>
      <c r="DU156" s="59">
        <f t="shared" si="152"/>
        <v>283.48738729114024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8.1467075259998083</v>
      </c>
      <c r="EB156" s="21">
        <f>EXP(-LN(2)/25)*EB155+(1-EXP(-LN(2)/25))/(LN(2)/25)*Calculateur!DW156*Calculateur!DY156*VLOOKUP('Données projet'!$B$14,Paramètres!$A$1:$I$89,3,0)*0.475*44/12</f>
        <v>4.1232592781992539</v>
      </c>
      <c r="EC156" s="21">
        <f>EXP(-LN(2)/2)*EC155+(1-EXP(-LN(2)/2))/(LN(2)/2)*DW156*DZ156*VLOOKUP('Données projet'!$B$14,Paramètres!$A$1:$I$89,3,0)*0.475*44/12</f>
        <v>1.3814319948615658E-11</v>
      </c>
      <c r="ED156" s="22">
        <f t="shared" si="178"/>
        <v>12.269966804212876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7.5191666666666634</v>
      </c>
      <c r="EJ156" s="12">
        <f>IF('Données projet'!$A$192&gt;35,EJ155+EI156-ER155,IF(A156&lt;'Données projet'!$A$192,$EG$205^A156,IF(A156='Données projet'!$A$192,'Données projet'!$B$192,EJ155+EI156-ER155)))</f>
        <v>386.64249999999964</v>
      </c>
      <c r="EK156" s="17">
        <f>EJ156*VLOOKUP('Données projet'!$B$15,Paramètres!$A$1:$I$89,3,0)*VLOOKUP('Données projet'!$B$15,Paramètres!$A$1:$I$89,5,0)</f>
        <v>373.96062599999971</v>
      </c>
      <c r="EL156" s="13">
        <f t="shared" si="179"/>
        <v>86.477078812062814</v>
      </c>
      <c r="EM156" s="20">
        <f t="shared" si="180"/>
        <v>801.92900254767562</v>
      </c>
      <c r="EN156" s="59">
        <f t="shared" si="128"/>
        <v>1095.262335881009</v>
      </c>
      <c r="EO156" s="59">
        <f ca="1">AVERAGE(OFFSET($EN$3,0,0,'Données projet'!$E$15+1,1))-AVERAGE(OFFSET($H$3,0,0,'Données projet'!$E$15+1,1))</f>
        <v>510.71380643466227</v>
      </c>
      <c r="EP156" s="59">
        <f t="shared" si="154"/>
        <v>252.40654099948841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18.972057805481381</v>
      </c>
      <c r="EW156" s="21">
        <f>EXP(-LN(2)/25)*EW155+(1-EXP(-LN(2)/25))/(LN(2)/25)*Calculateur!ER156*Calculateur!ET156*VLOOKUP('Données projet'!$B$15,Paramètres!$A$1:$I$89,3,0)*0.475*44/12</f>
        <v>16.719875666173515</v>
      </c>
      <c r="EX156" s="21">
        <f>EXP(-LN(2)/2)*EX155+(1-EXP(-LN(2)/2))/(LN(2)/2)*ER156*EU156*VLOOKUP('Données projet'!$B$15,Paramètres!$A$1:$I$89,3,0)*0.475*44/12</f>
        <v>0.6224461850984554</v>
      </c>
      <c r="EY156" s="22">
        <f t="shared" si="181"/>
        <v>36.314379656753346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7.922666666666669</v>
      </c>
      <c r="N157" s="13">
        <f>IF('Données projet'!$A$36&gt;35,N156+M157-V156,IF(A157&lt;'Données projet'!$A$36,$K$205^A157,IF(A157='Données projet'!$A$36,'Données projet'!$B$36,N156+M157-V156)))</f>
        <v>386.50333333333333</v>
      </c>
      <c r="O157" s="13">
        <f>N157*VLOOKUP('Données projet'!$B$9,Paramètres!$A$1:$I$89,3,0)*VLOOKUP('Données projet'!$B$9,Paramètres!$A$1:$I$89,5,0)</f>
        <v>391.91438000000005</v>
      </c>
      <c r="P157" s="13">
        <f t="shared" si="141"/>
        <v>90.135486697471208</v>
      </c>
      <c r="Q157" s="20">
        <f t="shared" si="162"/>
        <v>839.57018449809573</v>
      </c>
      <c r="R157" s="59">
        <f t="shared" si="109"/>
        <v>1132.9035178314291</v>
      </c>
      <c r="S157" s="59">
        <f ca="1">AVERAGE(OFFSET($R$3,0,0,'Données projet'!$E$9+1,1))-AVERAGE(OFFSET($H$3,0,0,'Données projet'!$E$9+1,1))</f>
        <v>543.67050511722618</v>
      </c>
      <c r="T157" s="59">
        <f t="shared" si="142"/>
        <v>249.0871389941106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31.243234616271209</v>
      </c>
      <c r="AA157" s="21">
        <f>EXP(-LN(2)/25)*AA156+(1-EXP(-LN(2)/25))/(LN(2)/25)*Calculateur!V157*Calculateur!X157*VLOOKUP('Données projet'!$B$9,Paramètres!$A$1:$I$89,3,0)*0.475*44/12</f>
        <v>21.524980278024838</v>
      </c>
      <c r="AB157" s="21">
        <f>EXP(-LN(2)/2)*AB156+(1-EXP(-LN(2)/2))/(LN(2)/2)*V157*Y157*VLOOKUP('Données projet'!$B$9,Paramètres!$A$1:$I$89,3,0)*0.475*44/12</f>
        <v>1.1085836168471122</v>
      </c>
      <c r="AC157" s="22">
        <f t="shared" si="163"/>
        <v>53.876798511143164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9.3350000000000026</v>
      </c>
      <c r="AH157" s="12">
        <f t="array" ref="AH157">INDEX(AG:AG,MIN(IF(ISNUMBER(AG157:AG353),ROW(AG157:AG353),"")))</f>
        <v>9.3350000000000026</v>
      </c>
      <c r="AI157" s="13">
        <f>IF('Données projet'!$A$62&gt;35,AI156+AH157-AQ156,IF(A157&lt;'Données projet'!$A$62,$AF$205^A157,IF(A157='Données projet'!$A$62,'Données projet'!$B$62,AI156+AH157-AQ156)))</f>
        <v>546.49000000000092</v>
      </c>
      <c r="AJ157" s="13">
        <f>AI157*VLOOKUP('Données projet'!$B$10,Paramètres!$A$1:$I$89,3,0)*VLOOKUP('Données projet'!$B$10,Paramètres!$A$1:$I$89,5,0)</f>
        <v>494.46415200000081</v>
      </c>
      <c r="AK157" s="13">
        <f t="shared" si="164"/>
        <v>110.68520764370523</v>
      </c>
      <c r="AL157" s="20">
        <f t="shared" si="165"/>
        <v>1053.9684680461214</v>
      </c>
      <c r="AM157" s="59">
        <f t="shared" si="113"/>
        <v>1347.3018013794547</v>
      </c>
      <c r="AN157" s="59">
        <f ca="1">AVERAGE(OFFSET($AM$3,0,0,'Données projet'!$E$10+1,1))-AVERAGE(OFFSET($H$3,0,0,'Données projet'!$E$10+1,1))</f>
        <v>635.71275911100679</v>
      </c>
      <c r="AO157" s="59">
        <f t="shared" si="144"/>
        <v>281.7776857269169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61.050000000000011</v>
      </c>
      <c r="AR157" s="16">
        <f>IF(ISNA(VLOOKUP(A157,'Données projet'!$A$61:$I$81,5,0)),0%,VLOOKUP(A157,'Données projet'!$A$61:$I$81,5,0)*VLOOKUP('Données projet'!$B$10,Paramètres!$A$1:$I$89,7,0))</f>
        <v>0.215</v>
      </c>
      <c r="AS157" s="16">
        <f>IF(ISNA(VLOOKUP(A157,'Données projet'!$A$61:$I$81,6,0)),0%,VLOOKUP(A157,'Données projet'!$A$61:$I$81,6,0)*VLOOKUP('Données projet'!$B$10,Paramètres!$A$1:$I$89,7,0))</f>
        <v>8.6000000000000007E-2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54.143075455710473</v>
      </c>
      <c r="AV157" s="21">
        <f>EXP(-LN(2)/25)*AV156+(1-EXP(-LN(2)/25))/(LN(2)/25)*Calculateur!AQ157*Calculateur!AS157*VLOOKUP('Données projet'!$B$10,Paramètres!$A$1:$I$89,3,0)*0.475*44/12</f>
        <v>22.895322941669175</v>
      </c>
      <c r="AW157" s="21">
        <f>EXP(-LN(2)/2)*AW156+(1-EXP(-LN(2)/2))/(LN(2)/2)*AQ157*AT157*VLOOKUP('Données projet'!$B$10,Paramètres!$A$1:$I$89,3,0)*0.475*44/12</f>
        <v>1.5582215385512185E-4</v>
      </c>
      <c r="AX157" s="21">
        <f t="shared" si="166"/>
        <v>77.038554219533509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204.11804238362862</v>
      </c>
      <c r="BJ157" s="59">
        <f t="shared" si="146"/>
        <v>185.53854651509408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2.5447618070315201</v>
      </c>
      <c r="BQ157" s="21">
        <f>EXP(-LN(2)/25)*BQ156+(1-EXP(-LN(2)/25))/(LN(2)/25)*Calculateur!BL157*Calculateur!BN157*VLOOKUP('Données projet'!$B$11,Paramètres!$A$1:$I$89,3,0)*0.475*44/12</f>
        <v>9.0515990511823698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11.59636085821389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7.922666666666669</v>
      </c>
      <c r="BY157" s="12">
        <f>IF('Données projet'!$A$114&gt;35,BY156+BX157-CG156,IF(A157&lt;'Données projet'!$A$114,$BV$205^A157,IF(A157='Données projet'!$A$114,'Données projet'!$B$114,BY156+BX157-CG156)))</f>
        <v>386.50333333333333</v>
      </c>
      <c r="BZ157" s="13">
        <f>BY157*VLOOKUP('Données projet'!$B$12,Paramètres!$A$1:$I$89,3,0)*VLOOKUP('Données projet'!$B$12,Paramètres!$A$1:$I$89,5,0)</f>
        <v>385.884928</v>
      </c>
      <c r="CA157" s="13">
        <f t="shared" si="170"/>
        <v>88.909095321649346</v>
      </c>
      <c r="CB157" s="20">
        <f t="shared" si="171"/>
        <v>826.93292395187245</v>
      </c>
      <c r="CC157" s="59">
        <f t="shared" si="119"/>
        <v>1120.2662572852057</v>
      </c>
      <c r="CD157" s="59">
        <f ca="1">AVERAGE(OFFSET($CC$3,0,0,'Données projet'!$E$12+1,1))-AVERAGE(OFFSET($H$3,0,0,'Données projet'!$E$12+1,1))</f>
        <v>535.99935263833549</v>
      </c>
      <c r="CE157" s="59">
        <f t="shared" si="148"/>
        <v>245.89966477332644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21.973263905948983</v>
      </c>
      <c r="CL157" s="21">
        <f>EXP(-LN(2)/25)*CL156+(1-EXP(-LN(2)/25))/(LN(2)/25)*Calculateur!CG157*Calculateur!CI157*VLOOKUP('Données projet'!$B$12,Paramètres!$A$1:$I$89,3,0)*0.475*44/12</f>
        <v>20.284519523358139</v>
      </c>
      <c r="CM157" s="21">
        <f>EXP(-LN(2)/2)*CM156+(1-EXP(-LN(2)/2))/(LN(2)/2)*CG157*CJ157*VLOOKUP('Données projet'!$B$12,Paramètres!$A$1:$I$89,3,0)*0.475*44/12</f>
        <v>2.728821210500616</v>
      </c>
      <c r="CN157" s="22">
        <f t="shared" si="172"/>
        <v>44.986604639807737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2.5579538487363607E-13</v>
      </c>
      <c r="CU157" s="17">
        <f>CT157*VLOOKUP('Données projet'!$B$13,Paramètres!$A$1:$I$89,3,0)*VLOOKUP('Données projet'!$B$13,Paramètres!$A$1:$I$89,5,0)</f>
        <v>2.4341488824575211E-13</v>
      </c>
      <c r="CV157" s="13">
        <f t="shared" si="173"/>
        <v>3.2970717324875541E-12</v>
      </c>
      <c r="CW157" s="20">
        <f t="shared" si="174"/>
        <v>6.1663475311105072E-12</v>
      </c>
      <c r="CX157" s="59">
        <f t="shared" si="122"/>
        <v>293.33333333333945</v>
      </c>
      <c r="CY157" s="59">
        <f ca="1">AVERAGE(OFFSET($CX$3,0,0,'Données projet'!$E$13+1,1))-AVERAGE(OFFSET($H$3,0,0,'Données projet'!$E$13+1,1))</f>
        <v>449.28947235329758</v>
      </c>
      <c r="CZ157" s="59">
        <f t="shared" si="150"/>
        <v>289.36994109443964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41.12461998128088</v>
      </c>
      <c r="DG157" s="21">
        <f>EXP(-LN(2)/25)*DG156+(1-EXP(-LN(2)/25))/(LN(2)/25)*Calculateur!DB157*Calculateur!DD157*VLOOKUP('Données projet'!$B$13,Paramètres!$A$1:$I$89,3,0)*0.475*44/12</f>
        <v>30.947921695009509</v>
      </c>
      <c r="DH157" s="21">
        <f>EXP(-LN(2)/2)*DH156+(1-EXP(-LN(2)/2))/(LN(2)/2)*DB157*DE157*VLOOKUP('Données projet'!$B$13,Paramètres!$A$1:$I$89,3,0)*0.475*44/12</f>
        <v>8.7527217222445573E-3</v>
      </c>
      <c r="DI157" s="22">
        <f t="shared" si="175"/>
        <v>72.081294398012631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5.6843418860808015E-14</v>
      </c>
      <c r="DP157" s="17">
        <f>DO157*VLOOKUP('Données projet'!$B$14,Paramètres!$A$1:$I$89,3,0)*VLOOKUP('Données projet'!$B$14,Paramètres!$A$1:$I$89,5,0)</f>
        <v>4.4337866711430253E-14</v>
      </c>
      <c r="DQ157" s="13">
        <f t="shared" si="176"/>
        <v>7.3222115536967035E-13</v>
      </c>
      <c r="DR157" s="20">
        <f t="shared" si="177"/>
        <v>1.3525069634579169E-12</v>
      </c>
      <c r="DS157" s="59">
        <f t="shared" si="125"/>
        <v>293.33333333333468</v>
      </c>
      <c r="DT157" s="59">
        <f ca="1">AVERAGE(OFFSET($DS$3,0,0,'Données projet'!$E$14+1,1))-AVERAGE(OFFSET($H$3,0,0,'Données projet'!$E$14+1,1))</f>
        <v>288.82868507674738</v>
      </c>
      <c r="DU157" s="59">
        <f t="shared" si="152"/>
        <v>283.48738729114024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7.9869555604158951</v>
      </c>
      <c r="EB157" s="21">
        <f>EXP(-LN(2)/25)*EB156+(1-EXP(-LN(2)/25))/(LN(2)/25)*Calculateur!DW157*Calculateur!DY157*VLOOKUP('Données projet'!$B$14,Paramètres!$A$1:$I$89,3,0)*0.475*44/12</f>
        <v>4.0105085364041138</v>
      </c>
      <c r="EC157" s="21">
        <f>EXP(-LN(2)/2)*EC156+(1-EXP(-LN(2)/2))/(LN(2)/2)*DW157*DZ157*VLOOKUP('Données projet'!$B$14,Paramètres!$A$1:$I$89,3,0)*0.475*44/12</f>
        <v>9.7681993131467304E-12</v>
      </c>
      <c r="ED157" s="22">
        <f t="shared" si="178"/>
        <v>11.997464096829777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7.5191666666666634</v>
      </c>
      <c r="EJ157" s="12">
        <f>IF('Données projet'!$A$192&gt;35,EJ156+EI157-ER156,IF(A157&lt;'Données projet'!$A$192,$EG$205^A157,IF(A157='Données projet'!$A$192,'Données projet'!$B$192,EJ156+EI157-ER156)))</f>
        <v>394.16166666666629</v>
      </c>
      <c r="EK157" s="17">
        <f>EJ157*VLOOKUP('Données projet'!$B$15,Paramètres!$A$1:$I$89,3,0)*VLOOKUP('Données projet'!$B$15,Paramètres!$A$1:$I$89,5,0)</f>
        <v>381.23316399999965</v>
      </c>
      <c r="EL157" s="13">
        <f t="shared" si="179"/>
        <v>87.961402219130861</v>
      </c>
      <c r="EM157" s="20">
        <f t="shared" si="180"/>
        <v>817.18053616498548</v>
      </c>
      <c r="EN157" s="59">
        <f t="shared" si="128"/>
        <v>1110.5138694983189</v>
      </c>
      <c r="EO157" s="59">
        <f ca="1">AVERAGE(OFFSET($EN$3,0,0,'Données projet'!$E$15+1,1))-AVERAGE(OFFSET($H$3,0,0,'Données projet'!$E$15+1,1))</f>
        <v>510.71380643466227</v>
      </c>
      <c r="EP157" s="59">
        <f t="shared" si="154"/>
        <v>252.40654099948841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18.600027323728529</v>
      </c>
      <c r="EW157" s="21">
        <f>EXP(-LN(2)/25)*EW156+(1-EXP(-LN(2)/25))/(LN(2)/25)*Calculateur!ER157*Calculateur!ET157*VLOOKUP('Données projet'!$B$15,Paramètres!$A$1:$I$89,3,0)*0.475*44/12</f>
        <v>16.262669786821952</v>
      </c>
      <c r="EX157" s="21">
        <f>EXP(-LN(2)/2)*EX156+(1-EXP(-LN(2)/2))/(LN(2)/2)*ER157*EU157*VLOOKUP('Données projet'!$B$15,Paramètres!$A$1:$I$89,3,0)*0.475*44/12</f>
        <v>0.44013591840681476</v>
      </c>
      <c r="EY157" s="22">
        <f t="shared" si="181"/>
        <v>35.302833028957302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7.922666666666669</v>
      </c>
      <c r="N158" s="13">
        <f>IF('Données projet'!$A$36&gt;35,N157+M158-V157,IF(A158&lt;'Données projet'!$A$36,$K$205^A158,IF(A158='Données projet'!$A$36,'Données projet'!$B$36,N157+M158-V157)))</f>
        <v>394.42599999999999</v>
      </c>
      <c r="O158" s="13">
        <f>N158*VLOOKUP('Données projet'!$B$9,Paramètres!$A$1:$I$89,3,0)*VLOOKUP('Données projet'!$B$9,Paramètres!$A$1:$I$89,5,0)</f>
        <v>399.94796399999996</v>
      </c>
      <c r="P158" s="13">
        <f t="shared" si="141"/>
        <v>91.766115640940839</v>
      </c>
      <c r="Q158" s="20">
        <f t="shared" si="162"/>
        <v>856.40202204130526</v>
      </c>
      <c r="R158" s="59">
        <f t="shared" si="109"/>
        <v>1149.7353553746386</v>
      </c>
      <c r="S158" s="59">
        <f ca="1">AVERAGE(OFFSET($R$3,0,0,'Données projet'!$E$9+1,1))-AVERAGE(OFFSET($H$3,0,0,'Données projet'!$E$9+1,1))</f>
        <v>543.67050511722618</v>
      </c>
      <c r="T158" s="59">
        <f t="shared" si="142"/>
        <v>249.0871389941106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30.630573841937576</v>
      </c>
      <c r="AA158" s="21">
        <f>EXP(-LN(2)/25)*AA157+(1-EXP(-LN(2)/25))/(LN(2)/25)*Calculateur!V158*Calculateur!X158*VLOOKUP('Données projet'!$B$9,Paramètres!$A$1:$I$89,3,0)*0.475*44/12</f>
        <v>20.936378560372731</v>
      </c>
      <c r="AB158" s="21">
        <f>EXP(-LN(2)/2)*AB157+(1-EXP(-LN(2)/2))/(LN(2)/2)*V158*Y158*VLOOKUP('Données projet'!$B$9,Paramètres!$A$1:$I$89,3,0)*0.475*44/12</f>
        <v>0.78388699298490239</v>
      </c>
      <c r="AC158" s="22">
        <f t="shared" si="163"/>
        <v>52.35083939529521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9.4880000000000049</v>
      </c>
      <c r="AI158" s="13">
        <f>IF('Données projet'!$A$62&gt;35,AI157+AH158-AQ157,IF(A158&lt;'Données projet'!$A$62,$AF$205^A158,IF(A158='Données projet'!$A$62,'Données projet'!$B$62,AI157+AH158-AQ157)))</f>
        <v>494.92800000000096</v>
      </c>
      <c r="AJ158" s="13">
        <f>AI158*VLOOKUP('Données projet'!$B$10,Paramètres!$A$1:$I$89,3,0)*VLOOKUP('Données projet'!$B$10,Paramètres!$A$1:$I$89,5,0)</f>
        <v>447.81085440000084</v>
      </c>
      <c r="AK158" s="13">
        <f t="shared" si="164"/>
        <v>101.40497625718913</v>
      </c>
      <c r="AL158" s="20">
        <f t="shared" si="165"/>
        <v>956.55090506127237</v>
      </c>
      <c r="AM158" s="59">
        <f t="shared" si="113"/>
        <v>1249.8842383946057</v>
      </c>
      <c r="AN158" s="59">
        <f ca="1">AVERAGE(OFFSET($AM$3,0,0,'Données projet'!$E$10+1,1))-AVERAGE(OFFSET($H$3,0,0,'Données projet'!$E$10+1,1))</f>
        <v>635.71275911100679</v>
      </c>
      <c r="AO158" s="59">
        <f t="shared" si="144"/>
        <v>281.7776857269169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53.081362770039171</v>
      </c>
      <c r="AV158" s="21">
        <f>EXP(-LN(2)/25)*AV157+(1-EXP(-LN(2)/25))/(LN(2)/25)*Calculateur!AQ158*Calculateur!AS158*VLOOKUP('Données projet'!$B$10,Paramètres!$A$1:$I$89,3,0)*0.475*44/12</f>
        <v>22.269249131816526</v>
      </c>
      <c r="AW158" s="21">
        <f>EXP(-LN(2)/2)*AW157+(1-EXP(-LN(2)/2))/(LN(2)/2)*AQ158*AT158*VLOOKUP('Données projet'!$B$10,Paramètres!$A$1:$I$89,3,0)*0.475*44/12</f>
        <v>1.1018290165005019E-4</v>
      </c>
      <c r="AX158" s="21">
        <f t="shared" si="166"/>
        <v>75.350722084757351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204.11804238362862</v>
      </c>
      <c r="BJ158" s="59">
        <f t="shared" si="146"/>
        <v>185.53854651509408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2.4948605801470722</v>
      </c>
      <c r="BQ158" s="21">
        <f>EXP(-LN(2)/25)*BQ157+(1-EXP(-LN(2)/25))/(LN(2)/25)*Calculateur!BL158*Calculateur!BN158*VLOOKUP('Données projet'!$B$11,Paramètres!$A$1:$I$89,3,0)*0.475*44/12</f>
        <v>8.8040825991248823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11.298943179271955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7.922666666666669</v>
      </c>
      <c r="BY158" s="12">
        <f>IF('Données projet'!$A$114&gt;35,BY157+BX158-CG157,IF(A158&lt;'Données projet'!$A$114,$BV$205^A158,IF(A158='Données projet'!$A$114,'Données projet'!$B$114,BY157+BX158-CG157)))</f>
        <v>394.42599999999999</v>
      </c>
      <c r="BZ158" s="13">
        <f>BY158*VLOOKUP('Données projet'!$B$12,Paramètres!$A$1:$I$89,3,0)*VLOOKUP('Données projet'!$B$12,Paramètres!$A$1:$I$89,5,0)</f>
        <v>393.79491840000003</v>
      </c>
      <c r="CA158" s="13">
        <f t="shared" si="170"/>
        <v>90.517537784003622</v>
      </c>
      <c r="CB158" s="20">
        <f t="shared" si="171"/>
        <v>843.51086118713954</v>
      </c>
      <c r="CC158" s="59">
        <f t="shared" si="119"/>
        <v>1136.8441945204729</v>
      </c>
      <c r="CD158" s="59">
        <f ca="1">AVERAGE(OFFSET($CC$3,0,0,'Données projet'!$E$12+1,1))-AVERAGE(OFFSET($H$3,0,0,'Données projet'!$E$12+1,1))</f>
        <v>535.99935263833549</v>
      </c>
      <c r="CE158" s="59">
        <f t="shared" si="148"/>
        <v>245.89966477332644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21.542381603120933</v>
      </c>
      <c r="CL158" s="21">
        <f>EXP(-LN(2)/25)*CL157+(1-EXP(-LN(2)/25))/(LN(2)/25)*Calculateur!CG158*Calculateur!CI158*VLOOKUP('Données projet'!$B$12,Paramètres!$A$1:$I$89,3,0)*0.475*44/12</f>
        <v>19.72983827027539</v>
      </c>
      <c r="CM158" s="21">
        <f>EXP(-LN(2)/2)*CM157+(1-EXP(-LN(2)/2))/(LN(2)/2)*CG158*CJ158*VLOOKUP('Données projet'!$B$12,Paramètres!$A$1:$I$89,3,0)*0.475*44/12</f>
        <v>1.9295679825906689</v>
      </c>
      <c r="CN158" s="22">
        <f t="shared" si="172"/>
        <v>43.201787855986993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2.5579538487363607E-13</v>
      </c>
      <c r="CU158" s="17">
        <f>CT158*VLOOKUP('Données projet'!$B$13,Paramètres!$A$1:$I$89,3,0)*VLOOKUP('Données projet'!$B$13,Paramètres!$A$1:$I$89,5,0)</f>
        <v>2.4341488824575211E-13</v>
      </c>
      <c r="CV158" s="13">
        <f t="shared" si="173"/>
        <v>3.2970717324875541E-12</v>
      </c>
      <c r="CW158" s="20">
        <f t="shared" si="174"/>
        <v>6.1663475311105072E-12</v>
      </c>
      <c r="CX158" s="59">
        <f t="shared" si="122"/>
        <v>293.33333333333945</v>
      </c>
      <c r="CY158" s="59">
        <f ca="1">AVERAGE(OFFSET($CX$3,0,0,'Données projet'!$E$13+1,1))-AVERAGE(OFFSET($H$3,0,0,'Données projet'!$E$13+1,1))</f>
        <v>449.28947235329758</v>
      </c>
      <c r="CZ158" s="59">
        <f t="shared" si="150"/>
        <v>289.36994109443964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40.318191266989359</v>
      </c>
      <c r="DG158" s="21">
        <f>EXP(-LN(2)/25)*DG157+(1-EXP(-LN(2)/25))/(LN(2)/25)*Calculateur!DB158*Calculateur!DD158*VLOOKUP('Données projet'!$B$13,Paramètres!$A$1:$I$89,3,0)*0.475*44/12</f>
        <v>30.101649148779003</v>
      </c>
      <c r="DH158" s="21">
        <f>EXP(-LN(2)/2)*DH157+(1-EXP(-LN(2)/2))/(LN(2)/2)*DB158*DE158*VLOOKUP('Données projet'!$B$13,Paramètres!$A$1:$I$89,3,0)*0.475*44/12</f>
        <v>6.1891088836379237E-3</v>
      </c>
      <c r="DI158" s="22">
        <f t="shared" si="175"/>
        <v>70.426029524651995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5.6843418860808015E-14</v>
      </c>
      <c r="DP158" s="17">
        <f>DO158*VLOOKUP('Données projet'!$B$14,Paramètres!$A$1:$I$89,3,0)*VLOOKUP('Données projet'!$B$14,Paramètres!$A$1:$I$89,5,0)</f>
        <v>4.4337866711430253E-14</v>
      </c>
      <c r="DQ158" s="13">
        <f t="shared" si="176"/>
        <v>7.3222115536967035E-13</v>
      </c>
      <c r="DR158" s="20">
        <f t="shared" si="177"/>
        <v>1.3525069634579169E-12</v>
      </c>
      <c r="DS158" s="59">
        <f t="shared" si="125"/>
        <v>293.33333333333468</v>
      </c>
      <c r="DT158" s="59">
        <f ca="1">AVERAGE(OFFSET($DS$3,0,0,'Données projet'!$E$14+1,1))-AVERAGE(OFFSET($H$3,0,0,'Données projet'!$E$14+1,1))</f>
        <v>288.82868507674738</v>
      </c>
      <c r="DU158" s="59">
        <f t="shared" si="152"/>
        <v>283.48738729114024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7.830336233438004</v>
      </c>
      <c r="EB158" s="21">
        <f>EXP(-LN(2)/25)*EB157+(1-EXP(-LN(2)/25))/(LN(2)/25)*Calculateur!DW158*Calculateur!DY158*VLOOKUP('Données projet'!$B$14,Paramètres!$A$1:$I$89,3,0)*0.475*44/12</f>
        <v>3.9008409695726654</v>
      </c>
      <c r="EC158" s="21">
        <f>EXP(-LN(2)/2)*EC157+(1-EXP(-LN(2)/2))/(LN(2)/2)*DW158*DZ158*VLOOKUP('Données projet'!$B$14,Paramètres!$A$1:$I$89,3,0)*0.475*44/12</f>
        <v>6.907159974307829E-12</v>
      </c>
      <c r="ED158" s="22">
        <f t="shared" si="178"/>
        <v>11.731177203017577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7.5191666666666634</v>
      </c>
      <c r="EJ158" s="12">
        <f>IF('Données projet'!$A$192&gt;35,EJ157+EI158-ER157,IF(A158&lt;'Données projet'!$A$192,$EG$205^A158,IF(A158='Données projet'!$A$192,'Données projet'!$B$192,EJ157+EI158-ER157)))</f>
        <v>401.68083333333294</v>
      </c>
      <c r="EK158" s="17">
        <f>EJ158*VLOOKUP('Données projet'!$B$15,Paramètres!$A$1:$I$89,3,0)*VLOOKUP('Données projet'!$B$15,Paramètres!$A$1:$I$89,5,0)</f>
        <v>388.50570199999964</v>
      </c>
      <c r="EL158" s="13">
        <f t="shared" si="179"/>
        <v>89.442433150300388</v>
      </c>
      <c r="EM158" s="20">
        <f t="shared" si="180"/>
        <v>832.42633538677239</v>
      </c>
      <c r="EN158" s="59">
        <f t="shared" si="128"/>
        <v>1125.7596687201058</v>
      </c>
      <c r="EO158" s="59">
        <f ca="1">AVERAGE(OFFSET($EN$3,0,0,'Données projet'!$E$15+1,1))-AVERAGE(OFFSET($H$3,0,0,'Données projet'!$E$15+1,1))</f>
        <v>510.71380643466227</v>
      </c>
      <c r="EP158" s="59">
        <f t="shared" si="154"/>
        <v>252.40654099948841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18.235292132806666</v>
      </c>
      <c r="EW158" s="21">
        <f>EXP(-LN(2)/25)*EW157+(1-EXP(-LN(2)/25))/(LN(2)/25)*Calculateur!ER158*Calculateur!ET158*VLOOKUP('Données projet'!$B$15,Paramètres!$A$1:$I$89,3,0)*0.475*44/12</f>
        <v>15.817966226284671</v>
      </c>
      <c r="EX158" s="21">
        <f>EXP(-LN(2)/2)*EX157+(1-EXP(-LN(2)/2))/(LN(2)/2)*ER158*EU158*VLOOKUP('Données projet'!$B$15,Paramètres!$A$1:$I$89,3,0)*0.475*44/12</f>
        <v>0.3112230925492277</v>
      </c>
      <c r="EY158" s="22">
        <f t="shared" si="181"/>
        <v>34.364481451640565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7.922666666666669</v>
      </c>
      <c r="N159" s="13">
        <f>IF('Données projet'!$A$36&gt;35,N158+M159-V158,IF(A159&lt;'Données projet'!$A$36,$K$205^A159,IF(A159='Données projet'!$A$36,'Données projet'!$B$36,N158+M159-V158)))</f>
        <v>402.34866666666665</v>
      </c>
      <c r="O159" s="13">
        <f>N159*VLOOKUP('Données projet'!$B$9,Paramètres!$A$1:$I$89,3,0)*VLOOKUP('Données projet'!$B$9,Paramètres!$A$1:$I$89,5,0)</f>
        <v>407.98154800000003</v>
      </c>
      <c r="P159" s="13">
        <f t="shared" si="141"/>
        <v>93.392936231034682</v>
      </c>
      <c r="Q159" s="20">
        <f t="shared" si="162"/>
        <v>873.22722670238545</v>
      </c>
      <c r="R159" s="59">
        <f t="shared" si="109"/>
        <v>1166.5605600357187</v>
      </c>
      <c r="S159" s="59">
        <f ca="1">AVERAGE(OFFSET($R$3,0,0,'Données projet'!$E$9+1,1))-AVERAGE(OFFSET($H$3,0,0,'Données projet'!$E$9+1,1))</f>
        <v>543.67050511722618</v>
      </c>
      <c r="T159" s="59">
        <f t="shared" si="142"/>
        <v>249.0871389941106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30.029926971702448</v>
      </c>
      <c r="AA159" s="21">
        <f>EXP(-LN(2)/25)*AA158+(1-EXP(-LN(2)/25))/(LN(2)/25)*Calculateur!V159*Calculateur!X159*VLOOKUP('Données projet'!$B$9,Paramètres!$A$1:$I$89,3,0)*0.475*44/12</f>
        <v>20.36387218764304</v>
      </c>
      <c r="AB159" s="21">
        <f>EXP(-LN(2)/2)*AB158+(1-EXP(-LN(2)/2))/(LN(2)/2)*V159*Y159*VLOOKUP('Données projet'!$B$9,Paramètres!$A$1:$I$89,3,0)*0.475*44/12</f>
        <v>0.55429180842355608</v>
      </c>
      <c r="AC159" s="22">
        <f t="shared" si="163"/>
        <v>50.948090967769048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9.4880000000000049</v>
      </c>
      <c r="AI159" s="13">
        <f>IF('Données projet'!$A$62&gt;35,AI158+AH159-AQ158,IF(A159&lt;'Données projet'!$A$62,$AF$205^A159,IF(A159='Données projet'!$A$62,'Données projet'!$B$62,AI158+AH159-AQ158)))</f>
        <v>504.41600000000096</v>
      </c>
      <c r="AJ159" s="13">
        <f>AI159*VLOOKUP('Données projet'!$B$10,Paramètres!$A$1:$I$89,3,0)*VLOOKUP('Données projet'!$B$10,Paramètres!$A$1:$I$89,5,0)</f>
        <v>456.39559680000082</v>
      </c>
      <c r="AK159" s="13">
        <f t="shared" si="164"/>
        <v>103.12077454694855</v>
      </c>
      <c r="AL159" s="20">
        <f t="shared" si="165"/>
        <v>974.49101342927031</v>
      </c>
      <c r="AM159" s="59">
        <f t="shared" si="113"/>
        <v>1267.8243467626037</v>
      </c>
      <c r="AN159" s="59">
        <f ca="1">AVERAGE(OFFSET($AM$3,0,0,'Données projet'!$E$10+1,1))-AVERAGE(OFFSET($H$3,0,0,'Données projet'!$E$10+1,1))</f>
        <v>635.71275911100679</v>
      </c>
      <c r="AO159" s="59">
        <f t="shared" si="144"/>
        <v>281.7776857269169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52.040469622553083</v>
      </c>
      <c r="AV159" s="21">
        <f>EXP(-LN(2)/25)*AV158+(1-EXP(-LN(2)/25))/(LN(2)/25)*Calculateur!AQ159*Calculateur!AS159*VLOOKUP('Données projet'!$B$10,Paramètres!$A$1:$I$89,3,0)*0.475*44/12</f>
        <v>21.660295343218088</v>
      </c>
      <c r="AW159" s="21">
        <f>EXP(-LN(2)/2)*AW158+(1-EXP(-LN(2)/2))/(LN(2)/2)*AQ159*AT159*VLOOKUP('Données projet'!$B$10,Paramètres!$A$1:$I$89,3,0)*0.475*44/12</f>
        <v>7.7911076927560926E-5</v>
      </c>
      <c r="AX159" s="21">
        <f t="shared" si="166"/>
        <v>73.7008428768481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204.11804238362862</v>
      </c>
      <c r="BJ159" s="59">
        <f t="shared" si="146"/>
        <v>185.53854651509408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2.4459378858850851</v>
      </c>
      <c r="BQ159" s="21">
        <f>EXP(-LN(2)/25)*BQ158+(1-EXP(-LN(2)/25))/(LN(2)/25)*Calculateur!BL159*Calculateur!BN159*VLOOKUP('Données projet'!$B$11,Paramètres!$A$1:$I$89,3,0)*0.475*44/12</f>
        <v>8.563334497465231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11.009272383350316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7.922666666666669</v>
      </c>
      <c r="BY159" s="12">
        <f>IF('Données projet'!$A$114&gt;35,BY158+BX159-CG158,IF(A159&lt;'Données projet'!$A$114,$BV$205^A159,IF(A159='Données projet'!$A$114,'Données projet'!$B$114,BY158+BX159-CG158)))</f>
        <v>402.34866666666665</v>
      </c>
      <c r="BZ159" s="13">
        <f>BY159*VLOOKUP('Données projet'!$B$12,Paramètres!$A$1:$I$89,3,0)*VLOOKUP('Données projet'!$B$12,Paramètres!$A$1:$I$89,5,0)</f>
        <v>401.70490880000006</v>
      </c>
      <c r="CA159" s="13">
        <f t="shared" si="170"/>
        <v>92.122223709773792</v>
      </c>
      <c r="CB159" s="20">
        <f t="shared" si="171"/>
        <v>860.08225578785607</v>
      </c>
      <c r="CC159" s="59">
        <f t="shared" si="119"/>
        <v>1153.4155891211894</v>
      </c>
      <c r="CD159" s="59">
        <f ca="1">AVERAGE(OFFSET($CC$3,0,0,'Données projet'!$E$12+1,1))-AVERAGE(OFFSET($H$3,0,0,'Données projet'!$E$12+1,1))</f>
        <v>535.99935263833549</v>
      </c>
      <c r="CE159" s="59">
        <f t="shared" si="148"/>
        <v>245.89966477332644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21.119948639439087</v>
      </c>
      <c r="CL159" s="21">
        <f>EXP(-LN(2)/25)*CL158+(1-EXP(-LN(2)/25))/(LN(2)/25)*Calculateur!CG159*Calculateur!CI159*VLOOKUP('Données projet'!$B$12,Paramètres!$A$1:$I$89,3,0)*0.475*44/12</f>
        <v>19.190324805227608</v>
      </c>
      <c r="CM159" s="21">
        <f>EXP(-LN(2)/2)*CM158+(1-EXP(-LN(2)/2))/(LN(2)/2)*CG159*CJ159*VLOOKUP('Données projet'!$B$12,Paramètres!$A$1:$I$89,3,0)*0.475*44/12</f>
        <v>1.3644106052503082</v>
      </c>
      <c r="CN159" s="22">
        <f t="shared" si="172"/>
        <v>41.674684049916998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2.5579538487363607E-13</v>
      </c>
      <c r="CU159" s="17">
        <f>CT159*VLOOKUP('Données projet'!$B$13,Paramètres!$A$1:$I$89,3,0)*VLOOKUP('Données projet'!$B$13,Paramètres!$A$1:$I$89,5,0)</f>
        <v>2.4341488824575211E-13</v>
      </c>
      <c r="CV159" s="13">
        <f t="shared" si="173"/>
        <v>3.2970717324875541E-12</v>
      </c>
      <c r="CW159" s="20">
        <f t="shared" si="174"/>
        <v>6.1663475311105072E-12</v>
      </c>
      <c r="CX159" s="59">
        <f t="shared" si="122"/>
        <v>293.33333333333945</v>
      </c>
      <c r="CY159" s="59">
        <f ca="1">AVERAGE(OFFSET($CX$3,0,0,'Données projet'!$E$13+1,1))-AVERAGE(OFFSET($H$3,0,0,'Données projet'!$E$13+1,1))</f>
        <v>449.28947235329758</v>
      </c>
      <c r="CZ159" s="59">
        <f t="shared" si="150"/>
        <v>289.36994109443964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39.527576127912148</v>
      </c>
      <c r="DG159" s="21">
        <f>EXP(-LN(2)/25)*DG158+(1-EXP(-LN(2)/25))/(LN(2)/25)*Calculateur!DB159*Calculateur!DD159*VLOOKUP('Données projet'!$B$13,Paramètres!$A$1:$I$89,3,0)*0.475*44/12</f>
        <v>29.278517969828712</v>
      </c>
      <c r="DH159" s="21">
        <f>EXP(-LN(2)/2)*DH158+(1-EXP(-LN(2)/2))/(LN(2)/2)*DB159*DE159*VLOOKUP('Données projet'!$B$13,Paramètres!$A$1:$I$89,3,0)*0.475*44/12</f>
        <v>4.3763608611222787E-3</v>
      </c>
      <c r="DI159" s="22">
        <f t="shared" si="175"/>
        <v>68.810470458601984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5.6843418860808015E-14</v>
      </c>
      <c r="DP159" s="17">
        <f>DO159*VLOOKUP('Données projet'!$B$14,Paramètres!$A$1:$I$89,3,0)*VLOOKUP('Données projet'!$B$14,Paramètres!$A$1:$I$89,5,0)</f>
        <v>4.4337866711430253E-14</v>
      </c>
      <c r="DQ159" s="13">
        <f t="shared" si="176"/>
        <v>7.3222115536967035E-13</v>
      </c>
      <c r="DR159" s="20">
        <f t="shared" si="177"/>
        <v>1.3525069634579169E-12</v>
      </c>
      <c r="DS159" s="59">
        <f t="shared" si="125"/>
        <v>293.33333333333468</v>
      </c>
      <c r="DT159" s="59">
        <f ca="1">AVERAGE(OFFSET($DS$3,0,0,'Données projet'!$E$14+1,1))-AVERAGE(OFFSET($H$3,0,0,'Données projet'!$E$14+1,1))</f>
        <v>288.82868507674738</v>
      </c>
      <c r="DU159" s="59">
        <f t="shared" si="152"/>
        <v>283.48738729114024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7.6767881159337934</v>
      </c>
      <c r="EB159" s="21">
        <f>EXP(-LN(2)/25)*EB158+(1-EXP(-LN(2)/25))/(LN(2)/25)*Calculateur!DW159*Calculateur!DY159*VLOOKUP('Données projet'!$B$14,Paramètres!$A$1:$I$89,3,0)*0.475*44/12</f>
        <v>3.7941722681233898</v>
      </c>
      <c r="EC159" s="21">
        <f>EXP(-LN(2)/2)*EC158+(1-EXP(-LN(2)/2))/(LN(2)/2)*DW159*DZ159*VLOOKUP('Données projet'!$B$14,Paramètres!$A$1:$I$89,3,0)*0.475*44/12</f>
        <v>4.8840996565733652E-12</v>
      </c>
      <c r="ED159" s="22">
        <f t="shared" si="178"/>
        <v>11.470960384062067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>
        <f>VLOOKUP(A159,'Données projet'!$A$191:$I$211,2,0)</f>
        <v>409.2</v>
      </c>
      <c r="EH159" s="12">
        <f>VLOOKUP(A159,'Données projet'!$A$191:$I$211,9,0)</f>
        <v>7.5191666666666634</v>
      </c>
      <c r="EI159" s="12">
        <f t="array" ref="EI159">INDEX(EH:EH,MIN(IF(ISNUMBER(EH159:EH355),ROW(EH159:EH355),"")))</f>
        <v>7.5191666666666634</v>
      </c>
      <c r="EJ159" s="12">
        <f>IF('Données projet'!$A$192&gt;35,EJ158+EI159-ER158,IF(A159&lt;'Données projet'!$A$192,$EG$205^A159,IF(A159='Données projet'!$A$192,'Données projet'!$B$192,EJ158+EI159-ER158)))</f>
        <v>409.19999999999959</v>
      </c>
      <c r="EK159" s="17">
        <f>EJ159*VLOOKUP('Données projet'!$B$15,Paramètres!$A$1:$I$89,3,0)*VLOOKUP('Données projet'!$B$15,Paramètres!$A$1:$I$89,5,0)</f>
        <v>395.77823999999964</v>
      </c>
      <c r="EL159" s="13">
        <f t="shared" si="179"/>
        <v>90.920240345509228</v>
      </c>
      <c r="EM159" s="20">
        <f t="shared" si="180"/>
        <v>847.66651993509458</v>
      </c>
      <c r="EN159" s="59">
        <f t="shared" si="128"/>
        <v>1140.9998532684278</v>
      </c>
      <c r="EO159" s="59">
        <f ca="1">AVERAGE(OFFSET($EN$3,0,0,'Données projet'!$E$15+1,1))-AVERAGE(OFFSET($H$3,0,0,'Données projet'!$E$15+1,1))</f>
        <v>510.71380643466227</v>
      </c>
      <c r="EP159" s="59">
        <f t="shared" si="154"/>
        <v>252.40654099948841</v>
      </c>
      <c r="EQ159" s="15">
        <f>IF(ISNA(VLOOKUP(A159,'Données projet'!$A$191:$I$211,3,0)),0,VLOOKUP(A159,'Données projet'!$A$191:$I$211,3,0))</f>
        <v>11</v>
      </c>
      <c r="ER159" s="15">
        <f>IF(ISNA(VLOOKUP(A159,'Données projet'!$A$191:$I$211,4,0)),0,VLOOKUP(A159,'Données projet'!$A$191:$I$211,4,0))</f>
        <v>65.69</v>
      </c>
      <c r="ES159" s="16">
        <f>IF(ISNA(VLOOKUP(A159,'Données projet'!$A$191:$I$211,5,0)),0%,VLOOKUP(A159,'Données projet'!$A$191:$I$211,5,0)*VLOOKUP('Données projet'!$B$15,Paramètres!$A$1:$I$89,7,0))</f>
        <v>0.1075</v>
      </c>
      <c r="ET159" s="16">
        <f>IF(ISNA(VLOOKUP(A159,'Données projet'!$A$191:$I$211,6,0)),0%,VLOOKUP(A159,'Données projet'!$A$191:$I$211,6,0)*VLOOKUP('Données projet'!$B$15,Paramètres!$A$1:$I$89,7,0))</f>
        <v>0.1075</v>
      </c>
      <c r="EU159" s="16">
        <f>IF(ISNA(VLOOKUP(A159,'Données projet'!$A$191:$I$211,7,0)),0%,VLOOKUP(A159,'Données projet'!$A$191:$I$211,7,0))</f>
        <v>0.25</v>
      </c>
      <c r="EV159" s="21">
        <f>EXP(-LN(2)/35)*EV158+(1-EXP(-LN(2)/35))/(LN(2)/35)*ER159*ES159*VLOOKUP('Données projet'!$B$15,Paramètres!$A$1:$I$89,3,0)*0.475*44/12</f>
        <v>25.428129419510288</v>
      </c>
      <c r="EW159" s="21">
        <f>EXP(-LN(2)/25)*EW158+(1-EXP(-LN(2)/25))/(LN(2)/25)*Calculateur!ER159*Calculateur!ET159*VLOOKUP('Données projet'!$B$15,Paramètres!$A$1:$I$89,3,0)*0.475*44/12</f>
        <v>22.906114469561889</v>
      </c>
      <c r="EX159" s="21">
        <f>EXP(-LN(2)/2)*EX158+(1-EXP(-LN(2)/2))/(LN(2)/2)*ER159*EU159*VLOOKUP('Données projet'!$B$15,Paramètres!$A$1:$I$89,3,0)*0.475*44/12</f>
        <v>15.206900393542885</v>
      </c>
      <c r="EY159" s="22">
        <f t="shared" si="181"/>
        <v>63.541144282615065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7.922666666666669</v>
      </c>
      <c r="N160" s="13">
        <f>IF('Données projet'!$A$36&gt;35,N159+M160-V159,IF(A160&lt;'Données projet'!$A$36,$K$205^A160,IF(A160='Données projet'!$A$36,'Données projet'!$B$36,N159+M160-V159)))</f>
        <v>410.2713333333333</v>
      </c>
      <c r="O160" s="13">
        <f>N160*VLOOKUP('Données projet'!$B$9,Paramètres!$A$1:$I$89,3,0)*VLOOKUP('Données projet'!$B$9,Paramètres!$A$1:$I$89,5,0)</f>
        <v>416.01513199999999</v>
      </c>
      <c r="P160" s="13">
        <f t="shared" si="141"/>
        <v>95.016032102145729</v>
      </c>
      <c r="Q160" s="20">
        <f t="shared" si="162"/>
        <v>890.04594414457051</v>
      </c>
      <c r="R160" s="59">
        <f t="shared" si="109"/>
        <v>1183.3792774779038</v>
      </c>
      <c r="S160" s="59">
        <f ca="1">AVERAGE(OFFSET($R$3,0,0,'Données projet'!$E$9+1,1))-AVERAGE(OFFSET($H$3,0,0,'Données projet'!$E$9+1,1))</f>
        <v>543.67050511722618</v>
      </c>
      <c r="T160" s="59">
        <f t="shared" si="142"/>
        <v>249.0871389941106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29.441058420234217</v>
      </c>
      <c r="AA160" s="21">
        <f>EXP(-LN(2)/25)*AA159+(1-EXP(-LN(2)/25))/(LN(2)/25)*Calculateur!V160*Calculateur!X160*VLOOKUP('Données projet'!$B$9,Paramètres!$A$1:$I$89,3,0)*0.475*44/12</f>
        <v>19.807021031782444</v>
      </c>
      <c r="AB160" s="21">
        <f>EXP(-LN(2)/2)*AB159+(1-EXP(-LN(2)/2))/(LN(2)/2)*V160*Y160*VLOOKUP('Données projet'!$B$9,Paramètres!$A$1:$I$89,3,0)*0.475*44/12</f>
        <v>0.39194349649245119</v>
      </c>
      <c r="AC160" s="22">
        <f t="shared" si="163"/>
        <v>49.640022948509113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9.4880000000000049</v>
      </c>
      <c r="AI160" s="13">
        <f>IF('Données projet'!$A$62&gt;35,AI159+AH160-AQ159,IF(A160&lt;'Données projet'!$A$62,$AF$205^A160,IF(A160='Données projet'!$A$62,'Données projet'!$B$62,AI159+AH160-AQ159)))</f>
        <v>513.90400000000102</v>
      </c>
      <c r="AJ160" s="13">
        <f>AI160*VLOOKUP('Données projet'!$B$10,Paramètres!$A$1:$I$89,3,0)*VLOOKUP('Données projet'!$B$10,Paramètres!$A$1:$I$89,5,0)</f>
        <v>464.98033920000091</v>
      </c>
      <c r="AK160" s="13">
        <f t="shared" si="164"/>
        <v>104.83282002515982</v>
      </c>
      <c r="AL160" s="20">
        <f t="shared" si="165"/>
        <v>992.4245856504881</v>
      </c>
      <c r="AM160" s="59">
        <f t="shared" si="113"/>
        <v>1285.7579189838214</v>
      </c>
      <c r="AN160" s="59">
        <f ca="1">AVERAGE(OFFSET($AM$3,0,0,'Données projet'!$E$10+1,1))-AVERAGE(OFFSET($H$3,0,0,'Données projet'!$E$10+1,1))</f>
        <v>635.71275911100679</v>
      </c>
      <c r="AO160" s="59">
        <f t="shared" si="144"/>
        <v>281.7776857269169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51.019987754807069</v>
      </c>
      <c r="AV160" s="21">
        <f>EXP(-LN(2)/25)*AV159+(1-EXP(-LN(2)/25))/(LN(2)/25)*Calculateur!AQ160*Calculateur!AS160*VLOOKUP('Données projet'!$B$10,Paramètres!$A$1:$I$89,3,0)*0.475*44/12</f>
        <v>21.067993427992363</v>
      </c>
      <c r="AW160" s="21">
        <f>EXP(-LN(2)/2)*AW159+(1-EXP(-LN(2)/2))/(LN(2)/2)*AQ160*AT160*VLOOKUP('Données projet'!$B$10,Paramètres!$A$1:$I$89,3,0)*0.475*44/12</f>
        <v>5.5091450825025096E-5</v>
      </c>
      <c r="AX160" s="21">
        <f t="shared" si="166"/>
        <v>72.088036274250257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204.11804238362862</v>
      </c>
      <c r="BJ160" s="59">
        <f t="shared" si="146"/>
        <v>185.53854651509408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2.3979745358176787</v>
      </c>
      <c r="BQ160" s="21">
        <f>EXP(-LN(2)/25)*BQ159+(1-EXP(-LN(2)/25))/(LN(2)/25)*Calculateur!BL160*Calculateur!BN160*VLOOKUP('Données projet'!$B$11,Paramètres!$A$1:$I$89,3,0)*0.475*44/12</f>
        <v>8.3291696653058551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10.727144201123533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7.922666666666669</v>
      </c>
      <c r="BY160" s="12">
        <f>IF('Données projet'!$A$114&gt;35,BY159+BX160-CG159,IF(A160&lt;'Données projet'!$A$114,$BV$205^A160,IF(A160='Données projet'!$A$114,'Données projet'!$B$114,BY159+BX160-CG159)))</f>
        <v>410.2713333333333</v>
      </c>
      <c r="BZ160" s="13">
        <f>BY160*VLOOKUP('Données projet'!$B$12,Paramètres!$A$1:$I$89,3,0)*VLOOKUP('Données projet'!$B$12,Paramètres!$A$1:$I$89,5,0)</f>
        <v>409.61489919999997</v>
      </c>
      <c r="CA160" s="13">
        <f t="shared" si="170"/>
        <v>93.7232355954159</v>
      </c>
      <c r="CB160" s="20">
        <f t="shared" si="171"/>
        <v>876.64725143534918</v>
      </c>
      <c r="CC160" s="59">
        <f t="shared" si="119"/>
        <v>1169.9805847686825</v>
      </c>
      <c r="CD160" s="59">
        <f ca="1">AVERAGE(OFFSET($CC$3,0,0,'Données projet'!$E$12+1,1))-AVERAGE(OFFSET($H$3,0,0,'Données projet'!$E$12+1,1))</f>
        <v>535.99935263833549</v>
      </c>
      <c r="CE160" s="59">
        <f t="shared" si="148"/>
        <v>245.89966477332644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20.705799328516374</v>
      </c>
      <c r="CL160" s="21">
        <f>EXP(-LN(2)/25)*CL159+(1-EXP(-LN(2)/25))/(LN(2)/25)*Calculateur!CG160*Calculateur!CI160*VLOOKUP('Données projet'!$B$12,Paramètres!$A$1:$I$89,3,0)*0.475*44/12</f>
        <v>18.665564364253338</v>
      </c>
      <c r="CM160" s="21">
        <f>EXP(-LN(2)/2)*CM159+(1-EXP(-LN(2)/2))/(LN(2)/2)*CG160*CJ160*VLOOKUP('Données projet'!$B$12,Paramètres!$A$1:$I$89,3,0)*0.475*44/12</f>
        <v>0.96478399129533465</v>
      </c>
      <c r="CN160" s="22">
        <f t="shared" si="172"/>
        <v>40.336147684065047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2.5579538487363607E-13</v>
      </c>
      <c r="CU160" s="17">
        <f>CT160*VLOOKUP('Données projet'!$B$13,Paramètres!$A$1:$I$89,3,0)*VLOOKUP('Données projet'!$B$13,Paramètres!$A$1:$I$89,5,0)</f>
        <v>2.4341488824575211E-13</v>
      </c>
      <c r="CV160" s="13">
        <f t="shared" si="173"/>
        <v>3.2970717324875541E-12</v>
      </c>
      <c r="CW160" s="20">
        <f t="shared" si="174"/>
        <v>6.1663475311105072E-12</v>
      </c>
      <c r="CX160" s="59">
        <f t="shared" si="122"/>
        <v>293.33333333333945</v>
      </c>
      <c r="CY160" s="59">
        <f ca="1">AVERAGE(OFFSET($CX$3,0,0,'Données projet'!$E$13+1,1))-AVERAGE(OFFSET($H$3,0,0,'Données projet'!$E$13+1,1))</f>
        <v>449.28947235329758</v>
      </c>
      <c r="CZ160" s="59">
        <f t="shared" si="150"/>
        <v>289.36994109443964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38.752464469484622</v>
      </c>
      <c r="DG160" s="21">
        <f>EXP(-LN(2)/25)*DG159+(1-EXP(-LN(2)/25))/(LN(2)/25)*Calculateur!DB160*Calculateur!DD160*VLOOKUP('Données projet'!$B$13,Paramètres!$A$1:$I$89,3,0)*0.475*44/12</f>
        <v>28.477895356253402</v>
      </c>
      <c r="DH160" s="21">
        <f>EXP(-LN(2)/2)*DH159+(1-EXP(-LN(2)/2))/(LN(2)/2)*DB160*DE160*VLOOKUP('Données projet'!$B$13,Paramètres!$A$1:$I$89,3,0)*0.475*44/12</f>
        <v>3.0945544418189619E-3</v>
      </c>
      <c r="DI160" s="22">
        <f t="shared" si="175"/>
        <v>67.233454380179836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5.6843418860808015E-14</v>
      </c>
      <c r="DP160" s="17">
        <f>DO160*VLOOKUP('Données projet'!$B$14,Paramètres!$A$1:$I$89,3,0)*VLOOKUP('Données projet'!$B$14,Paramètres!$A$1:$I$89,5,0)</f>
        <v>4.4337866711430253E-14</v>
      </c>
      <c r="DQ160" s="13">
        <f t="shared" si="176"/>
        <v>7.3222115536967035E-13</v>
      </c>
      <c r="DR160" s="20">
        <f t="shared" si="177"/>
        <v>1.3525069634579169E-12</v>
      </c>
      <c r="DS160" s="59">
        <f t="shared" si="125"/>
        <v>293.33333333333468</v>
      </c>
      <c r="DT160" s="59">
        <f ca="1">AVERAGE(OFFSET($DS$3,0,0,'Données projet'!$E$14+1,1))-AVERAGE(OFFSET($H$3,0,0,'Données projet'!$E$14+1,1))</f>
        <v>288.82868507674738</v>
      </c>
      <c r="DU160" s="59">
        <f t="shared" si="152"/>
        <v>283.48738729114024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7.5262509833587359</v>
      </c>
      <c r="EB160" s="21">
        <f>EXP(-LN(2)/25)*EB159+(1-EXP(-LN(2)/25))/(LN(2)/25)*Calculateur!DW160*Calculateur!DY160*VLOOKUP('Données projet'!$B$14,Paramètres!$A$1:$I$89,3,0)*0.475*44/12</f>
        <v>3.6904204279247077</v>
      </c>
      <c r="EC160" s="21">
        <f>EXP(-LN(2)/2)*EC159+(1-EXP(-LN(2)/2))/(LN(2)/2)*DW160*DZ160*VLOOKUP('Données projet'!$B$14,Paramètres!$A$1:$I$89,3,0)*0.475*44/12</f>
        <v>3.4535799871539145E-12</v>
      </c>
      <c r="ED160" s="22">
        <f t="shared" si="178"/>
        <v>11.216671411286896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7.6783333333333319</v>
      </c>
      <c r="EJ160" s="12">
        <f>IF('Données projet'!$A$192&gt;35,EJ159+EI160-ER159,IF(A160&lt;'Données projet'!$A$192,$EG$205^A160,IF(A160='Données projet'!$A$192,'Données projet'!$B$192,EJ159+EI160-ER159)))</f>
        <v>351.18833333333293</v>
      </c>
      <c r="EK160" s="17">
        <f>EJ160*VLOOKUP('Données projet'!$B$15,Paramètres!$A$1:$I$89,3,0)*VLOOKUP('Données projet'!$B$15,Paramètres!$A$1:$I$89,5,0)</f>
        <v>339.66935599999965</v>
      </c>
      <c r="EL160" s="13">
        <f t="shared" si="179"/>
        <v>79.431629410153604</v>
      </c>
      <c r="EM160" s="20">
        <f t="shared" si="180"/>
        <v>729.93421625601695</v>
      </c>
      <c r="EN160" s="59">
        <f t="shared" si="128"/>
        <v>1023.2675495893502</v>
      </c>
      <c r="EO160" s="59">
        <f ca="1">AVERAGE(OFFSET($EN$3,0,0,'Données projet'!$E$15+1,1))-AVERAGE(OFFSET($H$3,0,0,'Données projet'!$E$15+1,1))</f>
        <v>510.71380643466227</v>
      </c>
      <c r="EP160" s="59">
        <f t="shared" si="154"/>
        <v>252.40654099948841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24.929499311221189</v>
      </c>
      <c r="EW160" s="21">
        <f>EXP(-LN(2)/25)*EW159+(1-EXP(-LN(2)/25))/(LN(2)/25)*Calculateur!ER160*Calculateur!ET160*VLOOKUP('Données projet'!$B$15,Paramètres!$A$1:$I$89,3,0)*0.475*44/12</f>
        <v>22.27974556481151</v>
      </c>
      <c r="EX160" s="21">
        <f>EXP(-LN(2)/2)*EX159+(1-EXP(-LN(2)/2))/(LN(2)/2)*ER160*EU160*VLOOKUP('Données projet'!$B$15,Paramètres!$A$1:$I$89,3,0)*0.475*44/12</f>
        <v>10.752902389102553</v>
      </c>
      <c r="EY160" s="22">
        <f t="shared" si="181"/>
        <v>57.962147265135251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7.922666666666669</v>
      </c>
      <c r="N161" s="13">
        <f>IF('Données projet'!$A$36&gt;35,N160+M161-V160,IF(A161&lt;'Données projet'!$A$36,$K$205^A161,IF(A161='Données projet'!$A$36,'Données projet'!$B$36,N160+M161-V160)))</f>
        <v>418.19399999999996</v>
      </c>
      <c r="O161" s="13">
        <f>N161*VLOOKUP('Données projet'!$B$9,Paramètres!$A$1:$I$89,3,0)*VLOOKUP('Données projet'!$B$9,Paramètres!$A$1:$I$89,5,0)</f>
        <v>424.04871600000001</v>
      </c>
      <c r="P161" s="13">
        <f t="shared" si="141"/>
        <v>96.635483473784319</v>
      </c>
      <c r="Q161" s="20">
        <f t="shared" si="162"/>
        <v>906.85831408350771</v>
      </c>
      <c r="R161" s="59">
        <f t="shared" si="109"/>
        <v>1200.1916474168411</v>
      </c>
      <c r="S161" s="59">
        <f ca="1">AVERAGE(OFFSET($R$3,0,0,'Données projet'!$E$9+1,1))-AVERAGE(OFFSET($H$3,0,0,'Données projet'!$E$9+1,1))</f>
        <v>543.67050511722618</v>
      </c>
      <c r="T161" s="59">
        <f t="shared" si="142"/>
        <v>249.0871389941106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28.863737221885927</v>
      </c>
      <c r="AA161" s="21">
        <f>EXP(-LN(2)/25)*AA160+(1-EXP(-LN(2)/25))/(LN(2)/25)*Calculateur!V161*Calculateur!X161*VLOOKUP('Données projet'!$B$9,Paramètres!$A$1:$I$89,3,0)*0.475*44/12</f>
        <v>19.265397000062386</v>
      </c>
      <c r="AB161" s="21">
        <f>EXP(-LN(2)/2)*AB160+(1-EXP(-LN(2)/2))/(LN(2)/2)*V161*Y161*VLOOKUP('Données projet'!$B$9,Paramètres!$A$1:$I$89,3,0)*0.475*44/12</f>
        <v>0.27714590421177804</v>
      </c>
      <c r="AC161" s="22">
        <f t="shared" si="163"/>
        <v>48.406280126160091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9.4880000000000049</v>
      </c>
      <c r="AI161" s="13">
        <f>IF('Données projet'!$A$62&gt;35,AI160+AH161-AQ160,IF(A161&lt;'Données projet'!$A$62,$AF$205^A161,IF(A161='Données projet'!$A$62,'Données projet'!$B$62,AI160+AH161-AQ160)))</f>
        <v>523.39200000000108</v>
      </c>
      <c r="AJ161" s="13">
        <f>AI161*VLOOKUP('Données projet'!$B$10,Paramètres!$A$1:$I$89,3,0)*VLOOKUP('Données projet'!$B$10,Paramètres!$A$1:$I$89,5,0)</f>
        <v>473.56508160000089</v>
      </c>
      <c r="AK161" s="13">
        <f t="shared" si="164"/>
        <v>106.54118996921356</v>
      </c>
      <c r="AL161" s="20">
        <f t="shared" si="165"/>
        <v>1010.3517563163817</v>
      </c>
      <c r="AM161" s="59">
        <f t="shared" si="113"/>
        <v>1303.6850896497151</v>
      </c>
      <c r="AN161" s="59">
        <f ca="1">AVERAGE(OFFSET($AM$3,0,0,'Données projet'!$E$10+1,1))-AVERAGE(OFFSET($H$3,0,0,'Données projet'!$E$10+1,1))</f>
        <v>635.71275911100679</v>
      </c>
      <c r="AO161" s="59">
        <f t="shared" si="144"/>
        <v>281.7776857269169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50.019516914055075</v>
      </c>
      <c r="AV161" s="21">
        <f>EXP(-LN(2)/25)*AV160+(1-EXP(-LN(2)/25))/(LN(2)/25)*Calculateur!AQ161*Calculateur!AS161*VLOOKUP('Données projet'!$B$10,Paramètres!$A$1:$I$89,3,0)*0.475*44/12</f>
        <v>20.491888039786289</v>
      </c>
      <c r="AW161" s="21">
        <f>EXP(-LN(2)/2)*AW160+(1-EXP(-LN(2)/2))/(LN(2)/2)*AQ161*AT161*VLOOKUP('Données projet'!$B$10,Paramètres!$A$1:$I$89,3,0)*0.475*44/12</f>
        <v>3.8955538463780463E-5</v>
      </c>
      <c r="AX161" s="21">
        <f t="shared" si="166"/>
        <v>70.511443909379821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204.11804238362862</v>
      </c>
      <c r="BJ161" s="59">
        <f t="shared" si="146"/>
        <v>185.53854651509408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2.350951717790339</v>
      </c>
      <c r="BQ161" s="21">
        <f>EXP(-LN(2)/25)*BQ160+(1-EXP(-LN(2)/25))/(LN(2)/25)*Calculateur!BL161*Calculateur!BN161*VLOOKUP('Données projet'!$B$11,Paramètres!$A$1:$I$89,3,0)*0.475*44/12</f>
        <v>8.1014080827960697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10.452359800586409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7.922666666666669</v>
      </c>
      <c r="BY161" s="12">
        <f>IF('Données projet'!$A$114&gt;35,BY160+BX161-CG160,IF(A161&lt;'Données projet'!$A$114,$BV$205^A161,IF(A161='Données projet'!$A$114,'Données projet'!$B$114,BY160+BX161-CG160)))</f>
        <v>418.19399999999996</v>
      </c>
      <c r="BZ161" s="13">
        <f>BY161*VLOOKUP('Données projet'!$B$12,Paramètres!$A$1:$I$89,3,0)*VLOOKUP('Données projet'!$B$12,Paramètres!$A$1:$I$89,5,0)</f>
        <v>417.52488959999999</v>
      </c>
      <c r="CA161" s="13">
        <f t="shared" si="170"/>
        <v>95.320652568966565</v>
      </c>
      <c r="CB161" s="20">
        <f t="shared" si="171"/>
        <v>893.20598594428327</v>
      </c>
      <c r="CC161" s="59">
        <f t="shared" si="119"/>
        <v>1186.5393192776166</v>
      </c>
      <c r="CD161" s="59">
        <f ca="1">AVERAGE(OFFSET($CC$3,0,0,'Données projet'!$E$12+1,1))-AVERAGE(OFFSET($H$3,0,0,'Données projet'!$E$12+1,1))</f>
        <v>535.99935263833549</v>
      </c>
      <c r="CE161" s="59">
        <f t="shared" si="148"/>
        <v>245.89966477332644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20.29977123297472</v>
      </c>
      <c r="CL161" s="21">
        <f>EXP(-LN(2)/25)*CL160+(1-EXP(-LN(2)/25))/(LN(2)/25)*Calculateur!CG161*Calculateur!CI161*VLOOKUP('Données projet'!$B$12,Paramètres!$A$1:$I$89,3,0)*0.475*44/12</f>
        <v>18.155153525133461</v>
      </c>
      <c r="CM161" s="21">
        <f>EXP(-LN(2)/2)*CM160+(1-EXP(-LN(2)/2))/(LN(2)/2)*CG161*CJ161*VLOOKUP('Données projet'!$B$12,Paramètres!$A$1:$I$89,3,0)*0.475*44/12</f>
        <v>0.68220530262515422</v>
      </c>
      <c r="CN161" s="22">
        <f t="shared" si="172"/>
        <v>39.137130060733334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2.5579538487363607E-13</v>
      </c>
      <c r="CU161" s="17">
        <f>CT161*VLOOKUP('Données projet'!$B$13,Paramètres!$A$1:$I$89,3,0)*VLOOKUP('Données projet'!$B$13,Paramètres!$A$1:$I$89,5,0)</f>
        <v>2.4341488824575211E-13</v>
      </c>
      <c r="CV161" s="13">
        <f t="shared" si="173"/>
        <v>3.2970717324875541E-12</v>
      </c>
      <c r="CW161" s="20">
        <f t="shared" si="174"/>
        <v>6.1663475311105072E-12</v>
      </c>
      <c r="CX161" s="59">
        <f t="shared" si="122"/>
        <v>293.33333333333945</v>
      </c>
      <c r="CY161" s="59">
        <f ca="1">AVERAGE(OFFSET($CX$3,0,0,'Données projet'!$E$13+1,1))-AVERAGE(OFFSET($H$3,0,0,'Données projet'!$E$13+1,1))</f>
        <v>449.28947235329758</v>
      </c>
      <c r="CZ161" s="59">
        <f t="shared" si="150"/>
        <v>289.36994109443964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37.992552277907429</v>
      </c>
      <c r="DG161" s="21">
        <f>EXP(-LN(2)/25)*DG160+(1-EXP(-LN(2)/25))/(LN(2)/25)*Calculateur!DB161*Calculateur!DD161*VLOOKUP('Données projet'!$B$13,Paramètres!$A$1:$I$89,3,0)*0.475*44/12</f>
        <v>27.699165810149225</v>
      </c>
      <c r="DH161" s="21">
        <f>EXP(-LN(2)/2)*DH160+(1-EXP(-LN(2)/2))/(LN(2)/2)*DB161*DE161*VLOOKUP('Données projet'!$B$13,Paramètres!$A$1:$I$89,3,0)*0.475*44/12</f>
        <v>2.1881804305611393E-3</v>
      </c>
      <c r="DI161" s="22">
        <f t="shared" si="175"/>
        <v>65.693906268487225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5.6843418860808015E-14</v>
      </c>
      <c r="DP161" s="17">
        <f>DO161*VLOOKUP('Données projet'!$B$14,Paramètres!$A$1:$I$89,3,0)*VLOOKUP('Données projet'!$B$14,Paramètres!$A$1:$I$89,5,0)</f>
        <v>4.4337866711430253E-14</v>
      </c>
      <c r="DQ161" s="13">
        <f t="shared" si="176"/>
        <v>7.3222115536967035E-13</v>
      </c>
      <c r="DR161" s="20">
        <f t="shared" si="177"/>
        <v>1.3525069634579169E-12</v>
      </c>
      <c r="DS161" s="59">
        <f t="shared" si="125"/>
        <v>293.33333333333468</v>
      </c>
      <c r="DT161" s="59">
        <f ca="1">AVERAGE(OFFSET($DS$3,0,0,'Données projet'!$E$14+1,1))-AVERAGE(OFFSET($H$3,0,0,'Données projet'!$E$14+1,1))</f>
        <v>288.82868507674738</v>
      </c>
      <c r="DU161" s="59">
        <f t="shared" si="152"/>
        <v>283.48738729114024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7.3786657921348908</v>
      </c>
      <c r="EB161" s="21">
        <f>EXP(-LN(2)/25)*EB160+(1-EXP(-LN(2)/25))/(LN(2)/25)*Calculateur!DW161*Calculateur!DY161*VLOOKUP('Données projet'!$B$14,Paramètres!$A$1:$I$89,3,0)*0.475*44/12</f>
        <v>3.589505687252331</v>
      </c>
      <c r="EC161" s="21">
        <f>EXP(-LN(2)/2)*EC160+(1-EXP(-LN(2)/2))/(LN(2)/2)*DW161*DZ161*VLOOKUP('Données projet'!$B$14,Paramètres!$A$1:$I$89,3,0)*0.475*44/12</f>
        <v>2.4420498282866826E-12</v>
      </c>
      <c r="ED161" s="22">
        <f t="shared" si="178"/>
        <v>10.968171479389664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7.6783333333333319</v>
      </c>
      <c r="EJ161" s="12">
        <f>IF('Données projet'!$A$192&gt;35,EJ160+EI161-ER160,IF(A161&lt;'Données projet'!$A$192,$EG$205^A161,IF(A161='Données projet'!$A$192,'Données projet'!$B$192,EJ160+EI161-ER160)))</f>
        <v>358.86666666666628</v>
      </c>
      <c r="EK161" s="17">
        <f>EJ161*VLOOKUP('Données projet'!$B$15,Paramètres!$A$1:$I$89,3,0)*VLOOKUP('Données projet'!$B$15,Paramètres!$A$1:$I$89,5,0)</f>
        <v>347.09583999999967</v>
      </c>
      <c r="EL161" s="13">
        <f t="shared" si="179"/>
        <v>80.964224852451267</v>
      </c>
      <c r="EM161" s="20">
        <f t="shared" si="180"/>
        <v>745.53794628468529</v>
      </c>
      <c r="EN161" s="59">
        <f t="shared" si="128"/>
        <v>1038.8712796180187</v>
      </c>
      <c r="EO161" s="59">
        <f ca="1">AVERAGE(OFFSET($EN$3,0,0,'Données projet'!$E$15+1,1))-AVERAGE(OFFSET($H$3,0,0,'Données projet'!$E$15+1,1))</f>
        <v>510.71380643466227</v>
      </c>
      <c r="EP161" s="59">
        <f t="shared" si="154"/>
        <v>252.40654099948841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24.440647035221303</v>
      </c>
      <c r="EW161" s="21">
        <f>EXP(-LN(2)/25)*EW160+(1-EXP(-LN(2)/25))/(LN(2)/25)*Calculateur!ER161*Calculateur!ET161*VLOOKUP('Données projet'!$B$15,Paramètres!$A$1:$I$89,3,0)*0.475*44/12</f>
        <v>21.670504750700839</v>
      </c>
      <c r="EX161" s="21">
        <f>EXP(-LN(2)/2)*EX160+(1-EXP(-LN(2)/2))/(LN(2)/2)*ER161*EU161*VLOOKUP('Données projet'!$B$15,Paramètres!$A$1:$I$89,3,0)*0.475*44/12</f>
        <v>7.6034501967714441</v>
      </c>
      <c r="EY161" s="22">
        <f t="shared" si="181"/>
        <v>53.714601982693594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7.922666666666669</v>
      </c>
      <c r="N162" s="13">
        <f>IF('Données projet'!$A$36&gt;35,N161+M162-V161,IF(A162&lt;'Données projet'!$A$36,$K$205^A162,IF(A162='Données projet'!$A$36,'Données projet'!$B$36,N161+M162-V161)))</f>
        <v>426.11666666666662</v>
      </c>
      <c r="O162" s="13">
        <f>N162*VLOOKUP('Données projet'!$B$9,Paramètres!$A$1:$I$89,3,0)*VLOOKUP('Données projet'!$B$9,Paramètres!$A$1:$I$89,5,0)</f>
        <v>432.08229999999998</v>
      </c>
      <c r="P162" s="13">
        <f t="shared" si="141"/>
        <v>98.251367352018775</v>
      </c>
      <c r="Q162" s="20">
        <f t="shared" si="162"/>
        <v>923.66447063809926</v>
      </c>
      <c r="R162" s="59">
        <f t="shared" si="109"/>
        <v>1216.9978039714326</v>
      </c>
      <c r="S162" s="59">
        <f ca="1">AVERAGE(OFFSET($R$3,0,0,'Données projet'!$E$9+1,1))-AVERAGE(OFFSET($H$3,0,0,'Données projet'!$E$9+1,1))</f>
        <v>543.67050511722618</v>
      </c>
      <c r="T162" s="59">
        <f t="shared" si="142"/>
        <v>249.0871389941106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28.297736940106088</v>
      </c>
      <c r="AA162" s="21">
        <f>EXP(-LN(2)/25)*AA161+(1-EXP(-LN(2)/25))/(LN(2)/25)*Calculateur!V162*Calculateur!X162*VLOOKUP('Données projet'!$B$9,Paramètres!$A$1:$I$89,3,0)*0.475*44/12</f>
        <v>18.738583705972484</v>
      </c>
      <c r="AB162" s="21">
        <f>EXP(-LN(2)/2)*AB161+(1-EXP(-LN(2)/2))/(LN(2)/2)*V162*Y162*VLOOKUP('Données projet'!$B$9,Paramètres!$A$1:$I$89,3,0)*0.475*44/12</f>
        <v>0.1959717482462256</v>
      </c>
      <c r="AC162" s="22">
        <f t="shared" si="163"/>
        <v>47.232292394324794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9.4880000000000049</v>
      </c>
      <c r="AI162" s="13">
        <f>IF('Données projet'!$A$62&gt;35,AI161+AH162-AQ161,IF(A162&lt;'Données projet'!$A$62,$AF$205^A162,IF(A162='Données projet'!$A$62,'Données projet'!$B$62,AI161+AH162-AQ161)))</f>
        <v>532.88000000000113</v>
      </c>
      <c r="AJ162" s="13">
        <f>AI162*VLOOKUP('Données projet'!$B$10,Paramètres!$A$1:$I$89,3,0)*VLOOKUP('Données projet'!$B$10,Paramètres!$A$1:$I$89,5,0)</f>
        <v>482.14982400000099</v>
      </c>
      <c r="AK162" s="13">
        <f t="shared" si="164"/>
        <v>108.24595869432409</v>
      </c>
      <c r="AL162" s="20">
        <f t="shared" si="165"/>
        <v>1028.272654859283</v>
      </c>
      <c r="AM162" s="59">
        <f t="shared" si="113"/>
        <v>1321.6059881926162</v>
      </c>
      <c r="AN162" s="59">
        <f ca="1">AVERAGE(OFFSET($AM$3,0,0,'Données projet'!$E$10+1,1))-AVERAGE(OFFSET($H$3,0,0,'Données projet'!$E$10+1,1))</f>
        <v>635.71275911100679</v>
      </c>
      <c r="AO162" s="59">
        <f t="shared" si="144"/>
        <v>281.7776857269169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49.038664696263268</v>
      </c>
      <c r="AV162" s="21">
        <f>EXP(-LN(2)/25)*AV161+(1-EXP(-LN(2)/25))/(LN(2)/25)*Calculateur!AQ162*Calculateur!AS162*VLOOKUP('Données projet'!$B$10,Paramètres!$A$1:$I$89,3,0)*0.475*44/12</f>
        <v>19.931536283716778</v>
      </c>
      <c r="AW162" s="21">
        <f>EXP(-LN(2)/2)*AW161+(1-EXP(-LN(2)/2))/(LN(2)/2)*AQ162*AT162*VLOOKUP('Données projet'!$B$10,Paramètres!$A$1:$I$89,3,0)*0.475*44/12</f>
        <v>2.7545725412512548E-5</v>
      </c>
      <c r="AX162" s="21">
        <f t="shared" si="166"/>
        <v>68.970228525705465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204.11804238362862</v>
      </c>
      <c r="BJ162" s="59">
        <f t="shared" si="146"/>
        <v>185.53854651509408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2.3048509885434285</v>
      </c>
      <c r="BQ162" s="21">
        <f>EXP(-LN(2)/25)*BQ161+(1-EXP(-LN(2)/25))/(LN(2)/25)*Calculateur!BL162*Calculateur!BN162*VLOOKUP('Données projet'!$B$11,Paramètres!$A$1:$I$89,3,0)*0.475*44/12</f>
        <v>7.8798746527374766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10.184725641280906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7.922666666666669</v>
      </c>
      <c r="BY162" s="12">
        <f>IF('Données projet'!$A$114&gt;35,BY161+BX162-CG161,IF(A162&lt;'Données projet'!$A$114,$BV$205^A162,IF(A162='Données projet'!$A$114,'Données projet'!$B$114,BY161+BX162-CG161)))</f>
        <v>426.11666666666662</v>
      </c>
      <c r="BZ162" s="13">
        <f>BY162*VLOOKUP('Données projet'!$B$12,Paramètres!$A$1:$I$89,3,0)*VLOOKUP('Données projet'!$B$12,Paramètres!$A$1:$I$89,5,0)</f>
        <v>425.43487999999996</v>
      </c>
      <c r="CA162" s="13">
        <f t="shared" si="170"/>
        <v>96.91455058874277</v>
      </c>
      <c r="CB162" s="20">
        <f t="shared" si="171"/>
        <v>909.75859160872687</v>
      </c>
      <c r="CC162" s="59">
        <f t="shared" si="119"/>
        <v>1203.0919249420601</v>
      </c>
      <c r="CD162" s="59">
        <f ca="1">AVERAGE(OFFSET($CC$3,0,0,'Données projet'!$E$12+1,1))-AVERAGE(OFFSET($H$3,0,0,'Données projet'!$E$12+1,1))</f>
        <v>535.99935263833549</v>
      </c>
      <c r="CE162" s="59">
        <f t="shared" si="148"/>
        <v>245.89966477332644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19.901705100733952</v>
      </c>
      <c r="CL162" s="21">
        <f>EXP(-LN(2)/25)*CL161+(1-EXP(-LN(2)/25))/(LN(2)/25)*Calculateur!CG162*Calculateur!CI162*VLOOKUP('Données projet'!$B$12,Paramètres!$A$1:$I$89,3,0)*0.475*44/12</f>
        <v>17.658699897250656</v>
      </c>
      <c r="CM162" s="21">
        <f>EXP(-LN(2)/2)*CM161+(1-EXP(-LN(2)/2))/(LN(2)/2)*CG162*CJ162*VLOOKUP('Données projet'!$B$12,Paramètres!$A$1:$I$89,3,0)*0.475*44/12</f>
        <v>0.48239199564766738</v>
      </c>
      <c r="CN162" s="22">
        <f t="shared" si="172"/>
        <v>38.042796993632273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2.5579538487363607E-13</v>
      </c>
      <c r="CU162" s="17">
        <f>CT162*VLOOKUP('Données projet'!$B$13,Paramètres!$A$1:$I$89,3,0)*VLOOKUP('Données projet'!$B$13,Paramètres!$A$1:$I$89,5,0)</f>
        <v>2.4341488824575211E-13</v>
      </c>
      <c r="CV162" s="13">
        <f t="shared" si="173"/>
        <v>3.2970717324875541E-12</v>
      </c>
      <c r="CW162" s="20">
        <f t="shared" si="174"/>
        <v>6.1663475311105072E-12</v>
      </c>
      <c r="CX162" s="59">
        <f t="shared" si="122"/>
        <v>293.33333333333945</v>
      </c>
      <c r="CY162" s="59">
        <f ca="1">AVERAGE(OFFSET($CX$3,0,0,'Données projet'!$E$13+1,1))-AVERAGE(OFFSET($H$3,0,0,'Données projet'!$E$13+1,1))</f>
        <v>449.28947235329758</v>
      </c>
      <c r="CZ162" s="59">
        <f t="shared" si="150"/>
        <v>289.36994109443964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37.247541500906394</v>
      </c>
      <c r="DG162" s="21">
        <f>EXP(-LN(2)/25)*DG161+(1-EXP(-LN(2)/25))/(LN(2)/25)*Calculateur!DB162*Calculateur!DD162*VLOOKUP('Données projet'!$B$13,Paramètres!$A$1:$I$89,3,0)*0.475*44/12</f>
        <v>26.941730664434871</v>
      </c>
      <c r="DH162" s="21">
        <f>EXP(-LN(2)/2)*DH161+(1-EXP(-LN(2)/2))/(LN(2)/2)*DB162*DE162*VLOOKUP('Données projet'!$B$13,Paramètres!$A$1:$I$89,3,0)*0.475*44/12</f>
        <v>1.5472772209094809E-3</v>
      </c>
      <c r="DI162" s="22">
        <f t="shared" si="175"/>
        <v>64.190819442562173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5.6843418860808015E-14</v>
      </c>
      <c r="DP162" s="17">
        <f>DO162*VLOOKUP('Données projet'!$B$14,Paramètres!$A$1:$I$89,3,0)*VLOOKUP('Données projet'!$B$14,Paramètres!$A$1:$I$89,5,0)</f>
        <v>4.4337866711430253E-14</v>
      </c>
      <c r="DQ162" s="13">
        <f t="shared" si="176"/>
        <v>7.3222115536967035E-13</v>
      </c>
      <c r="DR162" s="20">
        <f t="shared" si="177"/>
        <v>1.3525069634579169E-12</v>
      </c>
      <c r="DS162" s="59">
        <f t="shared" si="125"/>
        <v>293.33333333333468</v>
      </c>
      <c r="DT162" s="59">
        <f ca="1">AVERAGE(OFFSET($DS$3,0,0,'Données projet'!$E$14+1,1))-AVERAGE(OFFSET($H$3,0,0,'Données projet'!$E$14+1,1))</f>
        <v>288.82868507674738</v>
      </c>
      <c r="DU162" s="59">
        <f t="shared" si="152"/>
        <v>283.48738729114024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7.2339746564928671</v>
      </c>
      <c r="EB162" s="21">
        <f>EXP(-LN(2)/25)*EB161+(1-EXP(-LN(2)/25))/(LN(2)/25)*Calculateur!DW162*Calculateur!DY162*VLOOKUP('Données projet'!$B$14,Paramètres!$A$1:$I$89,3,0)*0.475*44/12</f>
        <v>3.4913504654705156</v>
      </c>
      <c r="EC162" s="21">
        <f>EXP(-LN(2)/2)*EC161+(1-EXP(-LN(2)/2))/(LN(2)/2)*DW162*DZ162*VLOOKUP('Données projet'!$B$14,Paramètres!$A$1:$I$89,3,0)*0.475*44/12</f>
        <v>1.7267899935769572E-12</v>
      </c>
      <c r="ED162" s="22">
        <f t="shared" si="178"/>
        <v>10.72532512196511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7.6783333333333319</v>
      </c>
      <c r="EJ162" s="12">
        <f>IF('Données projet'!$A$192&gt;35,EJ161+EI162-ER161,IF(A162&lt;'Données projet'!$A$192,$EG$205^A162,IF(A162='Données projet'!$A$192,'Données projet'!$B$192,EJ161+EI162-ER161)))</f>
        <v>366.54499999999962</v>
      </c>
      <c r="EK162" s="17">
        <f>EJ162*VLOOKUP('Données projet'!$B$15,Paramètres!$A$1:$I$89,3,0)*VLOOKUP('Données projet'!$B$15,Paramètres!$A$1:$I$89,5,0)</f>
        <v>354.52232399999963</v>
      </c>
      <c r="EL162" s="13">
        <f t="shared" si="179"/>
        <v>82.493007805005064</v>
      </c>
      <c r="EM162" s="20">
        <f t="shared" si="180"/>
        <v>761.13503622704968</v>
      </c>
      <c r="EN162" s="59">
        <f t="shared" si="128"/>
        <v>1054.4683695603831</v>
      </c>
      <c r="EO162" s="59">
        <f ca="1">AVERAGE(OFFSET($EN$3,0,0,'Données projet'!$E$15+1,1))-AVERAGE(OFFSET($H$3,0,0,'Données projet'!$E$15+1,1))</f>
        <v>510.71380643466227</v>
      </c>
      <c r="EP162" s="59">
        <f t="shared" si="154"/>
        <v>252.40654099948841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23.961380854183329</v>
      </c>
      <c r="EW162" s="21">
        <f>EXP(-LN(2)/25)*EW161+(1-EXP(-LN(2)/25))/(LN(2)/25)*Calculateur!ER162*Calculateur!ET162*VLOOKUP('Données projet'!$B$15,Paramètres!$A$1:$I$89,3,0)*0.475*44/12</f>
        <v>21.077923658690608</v>
      </c>
      <c r="EX162" s="21">
        <f>EXP(-LN(2)/2)*EX161+(1-EXP(-LN(2)/2))/(LN(2)/2)*ER162*EU162*VLOOKUP('Données projet'!$B$15,Paramètres!$A$1:$I$89,3,0)*0.475*44/12</f>
        <v>5.3764511945512776</v>
      </c>
      <c r="EY162" s="22">
        <f t="shared" si="181"/>
        <v>50.41575570742522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7.922666666666669</v>
      </c>
      <c r="N163" s="13">
        <f>IF('Données projet'!$A$36&gt;35,N162+M163-V162,IF(A163&lt;'Données projet'!$A$36,$K$205^A163,IF(A163='Données projet'!$A$36,'Données projet'!$B$36,N162+M163-V162)))</f>
        <v>434.03933333333327</v>
      </c>
      <c r="O163" s="13">
        <f>N163*VLOOKUP('Données projet'!$B$9,Paramètres!$A$1:$I$89,3,0)*VLOOKUP('Données projet'!$B$9,Paramètres!$A$1:$I$89,5,0)</f>
        <v>440.11588399999999</v>
      </c>
      <c r="P163" s="13">
        <f t="shared" si="141"/>
        <v>99.863757715511952</v>
      </c>
      <c r="Q163" s="20">
        <f t="shared" si="162"/>
        <v>940.46454265451632</v>
      </c>
      <c r="R163" s="59">
        <f t="shared" si="109"/>
        <v>1233.7978759878497</v>
      </c>
      <c r="S163" s="59">
        <f ca="1">AVERAGE(OFFSET($R$3,0,0,'Données projet'!$E$9+1,1))-AVERAGE(OFFSET($H$3,0,0,'Données projet'!$E$9+1,1))</f>
        <v>543.67050511722618</v>
      </c>
      <c r="T163" s="59">
        <f t="shared" si="142"/>
        <v>249.0871389941106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27.742835578625865</v>
      </c>
      <c r="AA163" s="21">
        <f>EXP(-LN(2)/25)*AA162+(1-EXP(-LN(2)/25))/(LN(2)/25)*Calculateur!V163*Calculateur!X163*VLOOKUP('Données projet'!$B$9,Paramètres!$A$1:$I$89,3,0)*0.475*44/12</f>
        <v>18.226176149113378</v>
      </c>
      <c r="AB163" s="21">
        <f>EXP(-LN(2)/2)*AB162+(1-EXP(-LN(2)/2))/(LN(2)/2)*V163*Y163*VLOOKUP('Données projet'!$B$9,Paramètres!$A$1:$I$89,3,0)*0.475*44/12</f>
        <v>0.13857295210588902</v>
      </c>
      <c r="AC163" s="22">
        <f t="shared" si="163"/>
        <v>46.107584679845132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9.4880000000000049</v>
      </c>
      <c r="AI163" s="13">
        <f>IF('Données projet'!$A$62&gt;35,AI162+AH163-AQ162,IF(A163&lt;'Données projet'!$A$62,$AF$205^A163,IF(A163='Données projet'!$A$62,'Données projet'!$B$62,AI162+AH163-AQ162)))</f>
        <v>542.36800000000119</v>
      </c>
      <c r="AJ163" s="13">
        <f>AI163*VLOOKUP('Données projet'!$B$10,Paramètres!$A$1:$I$89,3,0)*VLOOKUP('Données projet'!$B$10,Paramètres!$A$1:$I$89,5,0)</f>
        <v>490.73456640000109</v>
      </c>
      <c r="AK163" s="13">
        <f t="shared" si="164"/>
        <v>109.94719771775897</v>
      </c>
      <c r="AL163" s="20">
        <f t="shared" si="165"/>
        <v>1046.1874058384321</v>
      </c>
      <c r="AM163" s="59">
        <f t="shared" si="113"/>
        <v>1339.5207391717654</v>
      </c>
      <c r="AN163" s="59">
        <f ca="1">AVERAGE(OFFSET($AM$3,0,0,'Données projet'!$E$10+1,1))-AVERAGE(OFFSET($H$3,0,0,'Données projet'!$E$10+1,1))</f>
        <v>635.71275911100679</v>
      </c>
      <c r="AO163" s="59">
        <f t="shared" si="144"/>
        <v>281.7776857269169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48.077046392201581</v>
      </c>
      <c r="AV163" s="21">
        <f>EXP(-LN(2)/25)*AV162+(1-EXP(-LN(2)/25))/(LN(2)/25)*Calculateur!AQ163*Calculateur!AS163*VLOOKUP('Données projet'!$B$10,Paramètres!$A$1:$I$89,3,0)*0.475*44/12</f>
        <v>19.386507375884602</v>
      </c>
      <c r="AW163" s="21">
        <f>EXP(-LN(2)/2)*AW162+(1-EXP(-LN(2)/2))/(LN(2)/2)*AQ163*AT163*VLOOKUP('Données projet'!$B$10,Paramètres!$A$1:$I$89,3,0)*0.475*44/12</f>
        <v>1.9477769231890232E-5</v>
      </c>
      <c r="AX163" s="21">
        <f t="shared" si="166"/>
        <v>67.463573245855414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204.11804238362862</v>
      </c>
      <c r="BJ163" s="59">
        <f t="shared" si="146"/>
        <v>185.53854651509408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2.2596542664783819</v>
      </c>
      <c r="BQ163" s="21">
        <f>EXP(-LN(2)/25)*BQ162+(1-EXP(-LN(2)/25))/(LN(2)/25)*Calculateur!BL163*Calculateur!BN163*VLOOKUP('Données projet'!$B$11,Paramètres!$A$1:$I$89,3,0)*0.475*44/12</f>
        <v>7.6643990659737717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9.9240533324521536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7.922666666666669</v>
      </c>
      <c r="BY163" s="12">
        <f>IF('Données projet'!$A$114&gt;35,BY162+BX163-CG162,IF(A163&lt;'Données projet'!$A$114,$BV$205^A163,IF(A163='Données projet'!$A$114,'Données projet'!$B$114,BY162+BX163-CG162)))</f>
        <v>434.03933333333327</v>
      </c>
      <c r="BZ163" s="13">
        <f>BY163*VLOOKUP('Données projet'!$B$12,Paramètres!$A$1:$I$89,3,0)*VLOOKUP('Données projet'!$B$12,Paramètres!$A$1:$I$89,5,0)</f>
        <v>433.34487039999999</v>
      </c>
      <c r="CA163" s="13">
        <f t="shared" si="170"/>
        <v>98.505002626847158</v>
      </c>
      <c r="CB163" s="20">
        <f t="shared" si="171"/>
        <v>926.30519552175872</v>
      </c>
      <c r="CC163" s="59">
        <f t="shared" si="119"/>
        <v>1219.6385288550921</v>
      </c>
      <c r="CD163" s="59">
        <f ca="1">AVERAGE(OFFSET($CC$3,0,0,'Données projet'!$E$12+1,1))-AVERAGE(OFFSET($H$3,0,0,'Données projet'!$E$12+1,1))</f>
        <v>535.99935263833549</v>
      </c>
      <c r="CE163" s="59">
        <f t="shared" si="148"/>
        <v>245.89966477332644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19.511444802550059</v>
      </c>
      <c r="CL163" s="21">
        <f>EXP(-LN(2)/25)*CL162+(1-EXP(-LN(2)/25))/(LN(2)/25)*Calculateur!CG163*Calculateur!CI163*VLOOKUP('Données projet'!$B$12,Paramètres!$A$1:$I$89,3,0)*0.475*44/12</f>
        <v>17.17582181992967</v>
      </c>
      <c r="CM163" s="21">
        <f>EXP(-LN(2)/2)*CM162+(1-EXP(-LN(2)/2))/(LN(2)/2)*CG163*CJ163*VLOOKUP('Données projet'!$B$12,Paramètres!$A$1:$I$89,3,0)*0.475*44/12</f>
        <v>0.34110265131257717</v>
      </c>
      <c r="CN163" s="22">
        <f t="shared" si="172"/>
        <v>37.0283692737923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2.5579538487363607E-13</v>
      </c>
      <c r="CU163" s="17">
        <f>CT163*VLOOKUP('Données projet'!$B$13,Paramètres!$A$1:$I$89,3,0)*VLOOKUP('Données projet'!$B$13,Paramètres!$A$1:$I$89,5,0)</f>
        <v>2.4341488824575211E-13</v>
      </c>
      <c r="CV163" s="13">
        <f t="shared" si="173"/>
        <v>3.2970717324875541E-12</v>
      </c>
      <c r="CW163" s="20">
        <f t="shared" si="174"/>
        <v>6.1663475311105072E-12</v>
      </c>
      <c r="CX163" s="59">
        <f t="shared" si="122"/>
        <v>293.33333333333945</v>
      </c>
      <c r="CY163" s="59">
        <f ca="1">AVERAGE(OFFSET($CX$3,0,0,'Données projet'!$E$13+1,1))-AVERAGE(OFFSET($H$3,0,0,'Données projet'!$E$13+1,1))</f>
        <v>449.28947235329758</v>
      </c>
      <c r="CZ163" s="59">
        <f t="shared" si="150"/>
        <v>289.36994109443964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36.517139930830645</v>
      </c>
      <c r="DG163" s="21">
        <f>EXP(-LN(2)/25)*DG162+(1-EXP(-LN(2)/25))/(LN(2)/25)*Calculateur!DB163*Calculateur!DD163*VLOOKUP('Données projet'!$B$13,Paramètres!$A$1:$I$89,3,0)*0.475*44/12</f>
        <v>26.205007622611859</v>
      </c>
      <c r="DH163" s="21">
        <f>EXP(-LN(2)/2)*DH162+(1-EXP(-LN(2)/2))/(LN(2)/2)*DB163*DE163*VLOOKUP('Données projet'!$B$13,Paramètres!$A$1:$I$89,3,0)*0.475*44/12</f>
        <v>1.0940902152805697E-3</v>
      </c>
      <c r="DI163" s="22">
        <f t="shared" si="175"/>
        <v>62.723241643657786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5.6843418860808015E-14</v>
      </c>
      <c r="DP163" s="17">
        <f>DO163*VLOOKUP('Données projet'!$B$14,Paramètres!$A$1:$I$89,3,0)*VLOOKUP('Données projet'!$B$14,Paramètres!$A$1:$I$89,5,0)</f>
        <v>4.4337866711430253E-14</v>
      </c>
      <c r="DQ163" s="13">
        <f t="shared" si="176"/>
        <v>7.3222115536967035E-13</v>
      </c>
      <c r="DR163" s="20">
        <f t="shared" si="177"/>
        <v>1.3525069634579169E-12</v>
      </c>
      <c r="DS163" s="59">
        <f t="shared" si="125"/>
        <v>293.33333333333468</v>
      </c>
      <c r="DT163" s="59">
        <f ca="1">AVERAGE(OFFSET($DS$3,0,0,'Données projet'!$E$14+1,1))-AVERAGE(OFFSET($H$3,0,0,'Données projet'!$E$14+1,1))</f>
        <v>288.82868507674738</v>
      </c>
      <c r="DU163" s="59">
        <f t="shared" si="152"/>
        <v>283.48738729114024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7.0921208257679051</v>
      </c>
      <c r="EB163" s="21">
        <f>EXP(-LN(2)/25)*EB162+(1-EXP(-LN(2)/25))/(LN(2)/25)*Calculateur!DW163*Calculateur!DY163*VLOOKUP('Données projet'!$B$14,Paramètres!$A$1:$I$89,3,0)*0.475*44/12</f>
        <v>3.3958793033900831</v>
      </c>
      <c r="EC163" s="21">
        <f>EXP(-LN(2)/2)*EC162+(1-EXP(-LN(2)/2))/(LN(2)/2)*DW163*DZ163*VLOOKUP('Données projet'!$B$14,Paramètres!$A$1:$I$89,3,0)*0.475*44/12</f>
        <v>1.2210249141433413E-12</v>
      </c>
      <c r="ED163" s="22">
        <f t="shared" si="178"/>
        <v>10.488000129159209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7.6783333333333319</v>
      </c>
      <c r="EJ163" s="12">
        <f>IF('Données projet'!$A$192&gt;35,EJ162+EI163-ER162,IF(A163&lt;'Données projet'!$A$192,$EG$205^A163,IF(A163='Données projet'!$A$192,'Données projet'!$B$192,EJ162+EI163-ER162)))</f>
        <v>374.22333333333296</v>
      </c>
      <c r="EK163" s="17">
        <f>EJ163*VLOOKUP('Données projet'!$B$15,Paramètres!$A$1:$I$89,3,0)*VLOOKUP('Données projet'!$B$15,Paramètres!$A$1:$I$89,5,0)</f>
        <v>361.94880799999964</v>
      </c>
      <c r="EL163" s="13">
        <f t="shared" si="179"/>
        <v>84.018067331968155</v>
      </c>
      <c r="EM163" s="20">
        <f t="shared" si="180"/>
        <v>776.72564120317713</v>
      </c>
      <c r="EN163" s="59">
        <f t="shared" si="128"/>
        <v>1070.0589745365105</v>
      </c>
      <c r="EO163" s="59">
        <f ca="1">AVERAGE(OFFSET($EN$3,0,0,'Données projet'!$E$15+1,1))-AVERAGE(OFFSET($H$3,0,0,'Données projet'!$E$15+1,1))</f>
        <v>510.71380643466227</v>
      </c>
      <c r="EP163" s="59">
        <f t="shared" si="154"/>
        <v>252.40654099948841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23.491512790632004</v>
      </c>
      <c r="EW163" s="21">
        <f>EXP(-LN(2)/25)*EW162+(1-EXP(-LN(2)/25))/(LN(2)/25)*Calculateur!ER163*Calculateur!ET163*VLOOKUP('Données projet'!$B$15,Paramètres!$A$1:$I$89,3,0)*0.475*44/12</f>
        <v>20.501546727803884</v>
      </c>
      <c r="EX163" s="21">
        <f>EXP(-LN(2)/2)*EX162+(1-EXP(-LN(2)/2))/(LN(2)/2)*ER163*EU163*VLOOKUP('Données projet'!$B$15,Paramètres!$A$1:$I$89,3,0)*0.475*44/12</f>
        <v>3.8017250983857225</v>
      </c>
      <c r="EY163" s="22">
        <f t="shared" si="181"/>
        <v>47.794784616821609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7.922666666666669</v>
      </c>
      <c r="N164" s="13">
        <f>IF('Données projet'!$A$36&gt;35,N163+M164-V163,IF(A164&lt;'Données projet'!$A$36,$K$205^A164,IF(A164='Données projet'!$A$36,'Données projet'!$B$36,N163+M164-V163)))</f>
        <v>441.96199999999993</v>
      </c>
      <c r="O164" s="13">
        <f>N164*VLOOKUP('Données projet'!$B$9,Paramètres!$A$1:$I$89,3,0)*VLOOKUP('Données projet'!$B$9,Paramètres!$A$1:$I$89,5,0)</f>
        <v>448.14946799999996</v>
      </c>
      <c r="P164" s="13">
        <f t="shared" si="141"/>
        <v>101.47272568758885</v>
      </c>
      <c r="Q164" s="20">
        <f t="shared" si="162"/>
        <v>957.25865400588384</v>
      </c>
      <c r="R164" s="59">
        <f t="shared" si="109"/>
        <v>1250.5919873392172</v>
      </c>
      <c r="S164" s="59">
        <f ca="1">AVERAGE(OFFSET($R$3,0,0,'Données projet'!$E$9+1,1))-AVERAGE(OFFSET($H$3,0,0,'Données projet'!$E$9+1,1))</f>
        <v>543.67050511722618</v>
      </c>
      <c r="T164" s="59">
        <f t="shared" si="142"/>
        <v>249.0871389941106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27.198815494387858</v>
      </c>
      <c r="AA164" s="21">
        <f>EXP(-LN(2)/25)*AA163+(1-EXP(-LN(2)/25))/(LN(2)/25)*Calculateur!V164*Calculateur!X164*VLOOKUP('Données projet'!$B$9,Paramètres!$A$1:$I$89,3,0)*0.475*44/12</f>
        <v>17.727780403842925</v>
      </c>
      <c r="AB164" s="21">
        <f>EXP(-LN(2)/2)*AB163+(1-EXP(-LN(2)/2))/(LN(2)/2)*V164*Y164*VLOOKUP('Données projet'!$B$9,Paramètres!$A$1:$I$89,3,0)*0.475*44/12</f>
        <v>9.7985874123112798E-2</v>
      </c>
      <c r="AC164" s="22">
        <f t="shared" si="163"/>
        <v>45.024581772353898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9.4880000000000049</v>
      </c>
      <c r="AI164" s="13">
        <f>IF('Données projet'!$A$62&gt;35,AI163+AH164-AQ163,IF(A164&lt;'Données projet'!$A$62,$AF$205^A164,IF(A164='Données projet'!$A$62,'Données projet'!$B$62,AI163+AH164-AQ163)))</f>
        <v>551.85600000000125</v>
      </c>
      <c r="AJ164" s="13">
        <f>AI164*VLOOKUP('Données projet'!$B$10,Paramètres!$A$1:$I$89,3,0)*VLOOKUP('Données projet'!$B$10,Paramètres!$A$1:$I$89,5,0)</f>
        <v>499.31930880000107</v>
      </c>
      <c r="AK164" s="13">
        <f t="shared" si="164"/>
        <v>111.64497591125094</v>
      </c>
      <c r="AL164" s="20">
        <f t="shared" si="165"/>
        <v>1064.0961292054305</v>
      </c>
      <c r="AM164" s="59">
        <f t="shared" si="113"/>
        <v>1357.4294625387638</v>
      </c>
      <c r="AN164" s="59">
        <f ca="1">AVERAGE(OFFSET($AM$3,0,0,'Données projet'!$E$10+1,1))-AVERAGE(OFFSET($H$3,0,0,'Données projet'!$E$10+1,1))</f>
        <v>635.71275911100679</v>
      </c>
      <c r="AO164" s="59">
        <f t="shared" si="144"/>
        <v>281.7776857269169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47.134284836553292</v>
      </c>
      <c r="AV164" s="21">
        <f>EXP(-LN(2)/25)*AV163+(1-EXP(-LN(2)/25))/(LN(2)/25)*Calculateur!AQ164*Calculateur!AS164*VLOOKUP('Données projet'!$B$10,Paramètres!$A$1:$I$89,3,0)*0.475*44/12</f>
        <v>18.856382312198924</v>
      </c>
      <c r="AW164" s="21">
        <f>EXP(-LN(2)/2)*AW163+(1-EXP(-LN(2)/2))/(LN(2)/2)*AQ164*AT164*VLOOKUP('Données projet'!$B$10,Paramètres!$A$1:$I$89,3,0)*0.475*44/12</f>
        <v>1.3772862706256274E-5</v>
      </c>
      <c r="AX164" s="21">
        <f t="shared" si="166"/>
        <v>65.99068092161491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204.11804238362862</v>
      </c>
      <c r="BJ164" s="59">
        <f t="shared" si="146"/>
        <v>185.53854651509408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2.215343824565752</v>
      </c>
      <c r="BQ164" s="21">
        <f>EXP(-LN(2)/25)*BQ163+(1-EXP(-LN(2)/25))/(LN(2)/25)*Calculateur!BL164*Calculateur!BN164*VLOOKUP('Données projet'!$B$11,Paramètres!$A$1:$I$89,3,0)*0.475*44/12</f>
        <v>7.454815670461489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9.6701594950272405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7.922666666666669</v>
      </c>
      <c r="BY164" s="12">
        <f>IF('Données projet'!$A$114&gt;35,BY163+BX164-CG163,IF(A164&lt;'Données projet'!$A$114,$BV$205^A164,IF(A164='Données projet'!$A$114,'Données projet'!$B$114,BY163+BX164-CG163)))</f>
        <v>441.96199999999993</v>
      </c>
      <c r="BZ164" s="13">
        <f>BY164*VLOOKUP('Données projet'!$B$12,Paramètres!$A$1:$I$89,3,0)*VLOOKUP('Données projet'!$B$12,Paramètres!$A$1:$I$89,5,0)</f>
        <v>441.25486079999996</v>
      </c>
      <c r="CA164" s="13">
        <f t="shared" si="170"/>
        <v>100.09207883889449</v>
      </c>
      <c r="CB164" s="20">
        <f t="shared" si="171"/>
        <v>942.84591987107444</v>
      </c>
      <c r="CC164" s="59">
        <f t="shared" si="119"/>
        <v>1236.1792532044078</v>
      </c>
      <c r="CD164" s="59">
        <f ca="1">AVERAGE(OFFSET($CC$3,0,0,'Données projet'!$E$12+1,1))-AVERAGE(OFFSET($H$3,0,0,'Données projet'!$E$12+1,1))</f>
        <v>535.99935263833549</v>
      </c>
      <c r="CE164" s="59">
        <f t="shared" si="148"/>
        <v>245.89966477332644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19.128837270778273</v>
      </c>
      <c r="CL164" s="21">
        <f>EXP(-LN(2)/25)*CL163+(1-EXP(-LN(2)/25))/(LN(2)/25)*Calculateur!CG164*Calculateur!CI164*VLOOKUP('Données projet'!$B$12,Paramètres!$A$1:$I$89,3,0)*0.475*44/12</f>
        <v>16.706148069026479</v>
      </c>
      <c r="CM164" s="21">
        <f>EXP(-LN(2)/2)*CM163+(1-EXP(-LN(2)/2))/(LN(2)/2)*CG164*CJ164*VLOOKUP('Données projet'!$B$12,Paramètres!$A$1:$I$89,3,0)*0.475*44/12</f>
        <v>0.24119599782383375</v>
      </c>
      <c r="CN164" s="22">
        <f t="shared" si="172"/>
        <v>36.07618133762859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2.5579538487363607E-13</v>
      </c>
      <c r="CU164" s="17">
        <f>CT164*VLOOKUP('Données projet'!$B$13,Paramètres!$A$1:$I$89,3,0)*VLOOKUP('Données projet'!$B$13,Paramètres!$A$1:$I$89,5,0)</f>
        <v>2.4341488824575211E-13</v>
      </c>
      <c r="CV164" s="13">
        <f t="shared" si="173"/>
        <v>3.2970717324875541E-12</v>
      </c>
      <c r="CW164" s="20">
        <f t="shared" si="174"/>
        <v>6.1663475311105072E-12</v>
      </c>
      <c r="CX164" s="59">
        <f t="shared" si="122"/>
        <v>293.33333333333945</v>
      </c>
      <c r="CY164" s="59">
        <f ca="1">AVERAGE(OFFSET($CX$3,0,0,'Données projet'!$E$13+1,1))-AVERAGE(OFFSET($H$3,0,0,'Données projet'!$E$13+1,1))</f>
        <v>449.28947235329758</v>
      </c>
      <c r="CZ164" s="59">
        <f t="shared" si="150"/>
        <v>289.36994109443964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35.801061090043113</v>
      </c>
      <c r="DG164" s="21">
        <f>EXP(-LN(2)/25)*DG163+(1-EXP(-LN(2)/25))/(LN(2)/25)*Calculateur!DB164*Calculateur!DD164*VLOOKUP('Données projet'!$B$13,Paramètres!$A$1:$I$89,3,0)*0.475*44/12</f>
        <v>25.488430311110079</v>
      </c>
      <c r="DH164" s="21">
        <f>EXP(-LN(2)/2)*DH163+(1-EXP(-LN(2)/2))/(LN(2)/2)*DB164*DE164*VLOOKUP('Données projet'!$B$13,Paramètres!$A$1:$I$89,3,0)*0.475*44/12</f>
        <v>7.7363861045474046E-4</v>
      </c>
      <c r="DI164" s="22">
        <f t="shared" si="175"/>
        <v>61.290265039763646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5.6843418860808015E-14</v>
      </c>
      <c r="DP164" s="17">
        <f>DO164*VLOOKUP('Données projet'!$B$14,Paramètres!$A$1:$I$89,3,0)*VLOOKUP('Données projet'!$B$14,Paramètres!$A$1:$I$89,5,0)</f>
        <v>4.4337866711430253E-14</v>
      </c>
      <c r="DQ164" s="13">
        <f t="shared" si="176"/>
        <v>7.3222115536967035E-13</v>
      </c>
      <c r="DR164" s="20">
        <f t="shared" si="177"/>
        <v>1.3525069634579169E-12</v>
      </c>
      <c r="DS164" s="59">
        <f t="shared" si="125"/>
        <v>293.33333333333468</v>
      </c>
      <c r="DT164" s="59">
        <f ca="1">AVERAGE(OFFSET($DS$3,0,0,'Données projet'!$E$14+1,1))-AVERAGE(OFFSET($H$3,0,0,'Données projet'!$E$14+1,1))</f>
        <v>288.82868507674738</v>
      </c>
      <c r="DU164" s="59">
        <f t="shared" si="152"/>
        <v>283.48738729114024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6.9530486621411667</v>
      </c>
      <c r="EB164" s="21">
        <f>EXP(-LN(2)/25)*EB163+(1-EXP(-LN(2)/25))/(LN(2)/25)*Calculateur!DW164*Calculateur!DY164*VLOOKUP('Données projet'!$B$14,Paramètres!$A$1:$I$89,3,0)*0.475*44/12</f>
        <v>3.3030188052573504</v>
      </c>
      <c r="EC164" s="21">
        <f>EXP(-LN(2)/2)*EC163+(1-EXP(-LN(2)/2))/(LN(2)/2)*DW164*DZ164*VLOOKUP('Données projet'!$B$14,Paramètres!$A$1:$I$89,3,0)*0.475*44/12</f>
        <v>8.6339499678847862E-13</v>
      </c>
      <c r="ED164" s="22">
        <f t="shared" si="178"/>
        <v>10.256067467399379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7.6783333333333319</v>
      </c>
      <c r="EJ164" s="12">
        <f>IF('Données projet'!$A$192&gt;35,EJ163+EI164-ER163,IF(A164&lt;'Données projet'!$A$192,$EG$205^A164,IF(A164='Données projet'!$A$192,'Données projet'!$B$192,EJ163+EI164-ER163)))</f>
        <v>381.9016666666663</v>
      </c>
      <c r="EK164" s="17">
        <f>EJ164*VLOOKUP('Données projet'!$B$15,Paramètres!$A$1:$I$89,3,0)*VLOOKUP('Données projet'!$B$15,Paramètres!$A$1:$I$89,5,0)</f>
        <v>369.37529199999966</v>
      </c>
      <c r="EL164" s="13">
        <f t="shared" si="179"/>
        <v>85.539488633737008</v>
      </c>
      <c r="EM164" s="20">
        <f t="shared" si="180"/>
        <v>792.309909603758</v>
      </c>
      <c r="EN164" s="59">
        <f t="shared" si="128"/>
        <v>1085.6432429370914</v>
      </c>
      <c r="EO164" s="59">
        <f ca="1">AVERAGE(OFFSET($EN$3,0,0,'Données projet'!$E$15+1,1))-AVERAGE(OFFSET($H$3,0,0,'Données projet'!$E$15+1,1))</f>
        <v>510.71380643466227</v>
      </c>
      <c r="EP164" s="59">
        <f t="shared" si="154"/>
        <v>252.40654099948841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23.030858553215701</v>
      </c>
      <c r="EW164" s="21">
        <f>EXP(-LN(2)/25)*EW163+(1-EXP(-LN(2)/25))/(LN(2)/25)*Calculateur!ER164*Calculateur!ET164*VLOOKUP('Données projet'!$B$15,Paramètres!$A$1:$I$89,3,0)*0.475*44/12</f>
        <v>19.940930854402602</v>
      </c>
      <c r="EX164" s="21">
        <f>EXP(-LN(2)/2)*EX163+(1-EXP(-LN(2)/2))/(LN(2)/2)*ER164*EU164*VLOOKUP('Données projet'!$B$15,Paramètres!$A$1:$I$89,3,0)*0.475*44/12</f>
        <v>2.6882255972756393</v>
      </c>
      <c r="EY164" s="22">
        <f t="shared" si="181"/>
        <v>45.660015004893943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7.922666666666669</v>
      </c>
      <c r="N165" s="13">
        <f>IF('Données projet'!$A$36&gt;35,N164+M165-V164,IF(A165&lt;'Données projet'!$A$36,$K$205^A165,IF(A165='Données projet'!$A$36,'Données projet'!$B$36,N164+M165-V164)))</f>
        <v>449.88466666666659</v>
      </c>
      <c r="O165" s="13">
        <f>N165*VLOOKUP('Données projet'!$B$9,Paramètres!$A$1:$I$89,3,0)*VLOOKUP('Données projet'!$B$9,Paramètres!$A$1:$I$89,5,0)</f>
        <v>456.18305199999998</v>
      </c>
      <c r="P165" s="13">
        <f t="shared" si="141"/>
        <v>103.07833969561817</v>
      </c>
      <c r="Q165" s="20">
        <f t="shared" si="162"/>
        <v>974.04692386986835</v>
      </c>
      <c r="R165" s="59">
        <f t="shared" si="109"/>
        <v>1267.3802572032016</v>
      </c>
      <c r="S165" s="59">
        <f ca="1">AVERAGE(OFFSET($R$3,0,0,'Données projet'!$E$9+1,1))-AVERAGE(OFFSET($H$3,0,0,'Données projet'!$E$9+1,1))</f>
        <v>543.67050511722618</v>
      </c>
      <c r="T165" s="59">
        <f t="shared" si="142"/>
        <v>249.0871389941106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26.665463312182272</v>
      </c>
      <c r="AA165" s="21">
        <f>EXP(-LN(2)/25)*AA164+(1-EXP(-LN(2)/25))/(LN(2)/25)*Calculateur!V165*Calculateur!X165*VLOOKUP('Données projet'!$B$9,Paramètres!$A$1:$I$89,3,0)*0.475*44/12</f>
        <v>17.243013316436386</v>
      </c>
      <c r="AB165" s="21">
        <f>EXP(-LN(2)/2)*AB164+(1-EXP(-LN(2)/2))/(LN(2)/2)*V165*Y165*VLOOKUP('Données projet'!$B$9,Paramètres!$A$1:$I$89,3,0)*0.475*44/12</f>
        <v>6.928647605294451E-2</v>
      </c>
      <c r="AC165" s="22">
        <f t="shared" si="163"/>
        <v>43.977763104671602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9.4880000000000049</v>
      </c>
      <c r="AI165" s="13">
        <f>IF('Données projet'!$A$62&gt;35,AI164+AH165-AQ164,IF(A165&lt;'Données projet'!$A$62,$AF$205^A165,IF(A165='Données projet'!$A$62,'Données projet'!$B$62,AI164+AH165-AQ164)))</f>
        <v>561.3440000000013</v>
      </c>
      <c r="AJ165" s="13">
        <f>AI165*VLOOKUP('Données projet'!$B$10,Paramètres!$A$1:$I$89,3,0)*VLOOKUP('Données projet'!$B$10,Paramètres!$A$1:$I$89,5,0)</f>
        <v>507.90405120000116</v>
      </c>
      <c r="AK165" s="13">
        <f t="shared" si="164"/>
        <v>113.33935964263163</v>
      </c>
      <c r="AL165" s="20">
        <f t="shared" si="165"/>
        <v>1081.9989405509189</v>
      </c>
      <c r="AM165" s="59">
        <f t="shared" si="113"/>
        <v>1375.3322738842521</v>
      </c>
      <c r="AN165" s="59">
        <f ca="1">AVERAGE(OFFSET($AM$3,0,0,'Données projet'!$E$10+1,1))-AVERAGE(OFFSET($H$3,0,0,'Données projet'!$E$10+1,1))</f>
        <v>635.71275911100679</v>
      </c>
      <c r="AO165" s="59">
        <f t="shared" si="144"/>
        <v>281.7776857269169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46.210010259983498</v>
      </c>
      <c r="AV165" s="21">
        <f>EXP(-LN(2)/25)*AV164+(1-EXP(-LN(2)/25))/(LN(2)/25)*Calculateur!AQ165*Calculateur!AS165*VLOOKUP('Données projet'!$B$10,Paramètres!$A$1:$I$89,3,0)*0.475*44/12</f>
        <v>18.340753546257798</v>
      </c>
      <c r="AW165" s="21">
        <f>EXP(-LN(2)/2)*AW164+(1-EXP(-LN(2)/2))/(LN(2)/2)*AQ165*AT165*VLOOKUP('Données projet'!$B$10,Paramètres!$A$1:$I$89,3,0)*0.475*44/12</f>
        <v>9.7388846159451158E-6</v>
      </c>
      <c r="AX165" s="21">
        <f t="shared" si="166"/>
        <v>64.550773545125907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204.11804238362862</v>
      </c>
      <c r="BJ165" s="59">
        <f t="shared" si="146"/>
        <v>185.53854651509408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2.171902283392328</v>
      </c>
      <c r="BQ165" s="21">
        <f>EXP(-LN(2)/25)*BQ164+(1-EXP(-LN(2)/25))/(LN(2)/25)*Calculateur!BL165*Calculateur!BN165*VLOOKUP('Données projet'!$B$11,Paramètres!$A$1:$I$89,3,0)*0.475*44/12</f>
        <v>7.2509633439210015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9.42286562731333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7.922666666666669</v>
      </c>
      <c r="BY165" s="12">
        <f>IF('Données projet'!$A$114&gt;35,BY164+BX165-CG164,IF(A165&lt;'Données projet'!$A$114,$BV$205^A165,IF(A165='Données projet'!$A$114,'Données projet'!$B$114,BY164+BX165-CG164)))</f>
        <v>449.88466666666659</v>
      </c>
      <c r="BZ165" s="13">
        <f>BY165*VLOOKUP('Données projet'!$B$12,Paramètres!$A$1:$I$89,3,0)*VLOOKUP('Données projet'!$B$12,Paramètres!$A$1:$I$89,5,0)</f>
        <v>449.16485119999999</v>
      </c>
      <c r="CA165" s="13">
        <f t="shared" si="170"/>
        <v>101.67584672122476</v>
      </c>
      <c r="CB165" s="20">
        <f t="shared" si="171"/>
        <v>959.38088221279975</v>
      </c>
      <c r="CC165" s="59">
        <f t="shared" si="119"/>
        <v>1252.7142155461331</v>
      </c>
      <c r="CD165" s="59">
        <f ca="1">AVERAGE(OFFSET($CC$3,0,0,'Données projet'!$E$12+1,1))-AVERAGE(OFFSET($H$3,0,0,'Données projet'!$E$12+1,1))</f>
        <v>535.99935263833549</v>
      </c>
      <c r="CE165" s="59">
        <f t="shared" si="148"/>
        <v>245.89966477332644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18.753732439336982</v>
      </c>
      <c r="CL165" s="21">
        <f>EXP(-LN(2)/25)*CL164+(1-EXP(-LN(2)/25))/(LN(2)/25)*Calculateur!CG165*Calculateur!CI165*VLOOKUP('Données projet'!$B$12,Paramètres!$A$1:$I$89,3,0)*0.475*44/12</f>
        <v>16.249317571540807</v>
      </c>
      <c r="CM165" s="21">
        <f>EXP(-LN(2)/2)*CM164+(1-EXP(-LN(2)/2))/(LN(2)/2)*CG165*CJ165*VLOOKUP('Données projet'!$B$12,Paramètres!$A$1:$I$89,3,0)*0.475*44/12</f>
        <v>0.17055132565628861</v>
      </c>
      <c r="CN165" s="22">
        <f t="shared" si="172"/>
        <v>35.173601336534077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2.5579538487363607E-13</v>
      </c>
      <c r="CU165" s="17">
        <f>CT165*VLOOKUP('Données projet'!$B$13,Paramètres!$A$1:$I$89,3,0)*VLOOKUP('Données projet'!$B$13,Paramètres!$A$1:$I$89,5,0)</f>
        <v>2.4341488824575211E-13</v>
      </c>
      <c r="CV165" s="13">
        <f t="shared" si="173"/>
        <v>3.2970717324875541E-12</v>
      </c>
      <c r="CW165" s="20">
        <f t="shared" si="174"/>
        <v>6.1663475311105072E-12</v>
      </c>
      <c r="CX165" s="59">
        <f t="shared" si="122"/>
        <v>293.33333333333945</v>
      </c>
      <c r="CY165" s="59">
        <f ca="1">AVERAGE(OFFSET($CX$3,0,0,'Données projet'!$E$13+1,1))-AVERAGE(OFFSET($H$3,0,0,'Données projet'!$E$13+1,1))</f>
        <v>449.28947235329758</v>
      </c>
      <c r="CZ165" s="59">
        <f t="shared" si="150"/>
        <v>289.36994109443964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35.099024118558461</v>
      </c>
      <c r="DG165" s="21">
        <f>EXP(-LN(2)/25)*DG164+(1-EXP(-LN(2)/25))/(LN(2)/25)*Calculateur!DB165*Calculateur!DD165*VLOOKUP('Données projet'!$B$13,Paramètres!$A$1:$I$89,3,0)*0.475*44/12</f>
        <v>24.791447843874479</v>
      </c>
      <c r="DH165" s="21">
        <f>EXP(-LN(2)/2)*DH164+(1-EXP(-LN(2)/2))/(LN(2)/2)*DB165*DE165*VLOOKUP('Données projet'!$B$13,Paramètres!$A$1:$I$89,3,0)*0.475*44/12</f>
        <v>5.4704510764028483E-4</v>
      </c>
      <c r="DI165" s="22">
        <f t="shared" si="175"/>
        <v>59.891019007540578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5.6843418860808015E-14</v>
      </c>
      <c r="DP165" s="17">
        <f>DO165*VLOOKUP('Données projet'!$B$14,Paramètres!$A$1:$I$89,3,0)*VLOOKUP('Données projet'!$B$14,Paramètres!$A$1:$I$89,5,0)</f>
        <v>4.4337866711430253E-14</v>
      </c>
      <c r="DQ165" s="13">
        <f t="shared" si="176"/>
        <v>7.3222115536967035E-13</v>
      </c>
      <c r="DR165" s="20">
        <f t="shared" si="177"/>
        <v>1.3525069634579169E-12</v>
      </c>
      <c r="DS165" s="59">
        <f t="shared" si="125"/>
        <v>293.33333333333468</v>
      </c>
      <c r="DT165" s="59">
        <f ca="1">AVERAGE(OFFSET($DS$3,0,0,'Données projet'!$E$14+1,1))-AVERAGE(OFFSET($H$3,0,0,'Données projet'!$E$14+1,1))</f>
        <v>288.82868507674738</v>
      </c>
      <c r="DU165" s="59">
        <f t="shared" si="152"/>
        <v>283.48738729114024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6.8167036188175043</v>
      </c>
      <c r="EB165" s="21">
        <f>EXP(-LN(2)/25)*EB164+(1-EXP(-LN(2)/25))/(LN(2)/25)*Calculateur!DW165*Calculateur!DY165*VLOOKUP('Données projet'!$B$14,Paramètres!$A$1:$I$89,3,0)*0.475*44/12</f>
        <v>3.2126975823293784</v>
      </c>
      <c r="EC165" s="21">
        <f>EXP(-LN(2)/2)*EC164+(1-EXP(-LN(2)/2))/(LN(2)/2)*DW165*DZ165*VLOOKUP('Données projet'!$B$14,Paramètres!$A$1:$I$89,3,0)*0.475*44/12</f>
        <v>6.1051245707167065E-13</v>
      </c>
      <c r="ED165" s="22">
        <f t="shared" si="178"/>
        <v>10.029401201147493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7.6783333333333319</v>
      </c>
      <c r="EJ165" s="12">
        <f>IF('Données projet'!$A$192&gt;35,EJ164+EI165-ER164,IF(A165&lt;'Données projet'!$A$192,$EG$205^A165,IF(A165='Données projet'!$A$192,'Données projet'!$B$192,EJ164+EI165-ER164)))</f>
        <v>389.57999999999964</v>
      </c>
      <c r="EK165" s="17">
        <f>EJ165*VLOOKUP('Données projet'!$B$15,Paramètres!$A$1:$I$89,3,0)*VLOOKUP('Données projet'!$B$15,Paramètres!$A$1:$I$89,5,0)</f>
        <v>376.80177599999968</v>
      </c>
      <c r="EL165" s="13">
        <f t="shared" si="179"/>
        <v>87.057353288824828</v>
      </c>
      <c r="EM165" s="20">
        <f t="shared" si="180"/>
        <v>807.88798351136938</v>
      </c>
      <c r="EN165" s="59">
        <f t="shared" si="128"/>
        <v>1101.2213168447026</v>
      </c>
      <c r="EO165" s="59">
        <f ca="1">AVERAGE(OFFSET($EN$3,0,0,'Données projet'!$E$15+1,1))-AVERAGE(OFFSET($H$3,0,0,'Données projet'!$E$15+1,1))</f>
        <v>510.71380643466227</v>
      </c>
      <c r="EP165" s="59">
        <f t="shared" si="154"/>
        <v>252.40654099948841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22.579237464423791</v>
      </c>
      <c r="EW165" s="21">
        <f>EXP(-LN(2)/25)*EW164+(1-EXP(-LN(2)/25))/(LN(2)/25)*Calculateur!ER165*Calculateur!ET165*VLOOKUP('Données projet'!$B$15,Paramètres!$A$1:$I$89,3,0)*0.475*44/12</f>
        <v>19.395645051540985</v>
      </c>
      <c r="EX165" s="21">
        <f>EXP(-LN(2)/2)*EX164+(1-EXP(-LN(2)/2))/(LN(2)/2)*ER165*EU165*VLOOKUP('Données projet'!$B$15,Paramètres!$A$1:$I$89,3,0)*0.475*44/12</f>
        <v>1.9008625491928617</v>
      </c>
      <c r="EY165" s="22">
        <f t="shared" si="181"/>
        <v>43.875745065157638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7.922666666666669</v>
      </c>
      <c r="N166" s="13">
        <f>IF('Données projet'!$A$36&gt;35,N165+M166-V165,IF(A166&lt;'Données projet'!$A$36,$K$205^A166,IF(A166='Données projet'!$A$36,'Données projet'!$B$36,N165+M166-V165)))</f>
        <v>457.80733333333325</v>
      </c>
      <c r="O166" s="13">
        <f>N166*VLOOKUP('Données projet'!$B$9,Paramètres!$A$1:$I$89,3,0)*VLOOKUP('Données projet'!$B$9,Paramètres!$A$1:$I$89,5,0)</f>
        <v>464.21663599999994</v>
      </c>
      <c r="P166" s="13">
        <f t="shared" si="141"/>
        <v>104.68066561884842</v>
      </c>
      <c r="Q166" s="20">
        <f t="shared" si="162"/>
        <v>990.82946698616081</v>
      </c>
      <c r="R166" s="59">
        <f t="shared" si="109"/>
        <v>1284.1628003194942</v>
      </c>
      <c r="S166" s="59">
        <f ca="1">AVERAGE(OFFSET($R$3,0,0,'Données projet'!$E$9+1,1))-AVERAGE(OFFSET($H$3,0,0,'Données projet'!$E$9+1,1))</f>
        <v>543.67050511722618</v>
      </c>
      <c r="T166" s="59">
        <f t="shared" si="142"/>
        <v>249.0871389941106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26.14256984095703</v>
      </c>
      <c r="AA166" s="21">
        <f>EXP(-LN(2)/25)*AA165+(1-EXP(-LN(2)/25))/(LN(2)/25)*Calculateur!V166*Calculateur!X166*VLOOKUP('Données projet'!$B$9,Paramètres!$A$1:$I$89,3,0)*0.475*44/12</f>
        <v>16.771502210527771</v>
      </c>
      <c r="AB166" s="21">
        <f>EXP(-LN(2)/2)*AB165+(1-EXP(-LN(2)/2))/(LN(2)/2)*V166*Y166*VLOOKUP('Données projet'!$B$9,Paramètres!$A$1:$I$89,3,0)*0.475*44/12</f>
        <v>4.8992937061556399E-2</v>
      </c>
      <c r="AC166" s="22">
        <f t="shared" si="163"/>
        <v>42.963064988546357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9.4880000000000049</v>
      </c>
      <c r="AI166" s="13">
        <f>IF('Données projet'!$A$62&gt;35,AI165+AH166-AQ165,IF(A166&lt;'Données projet'!$A$62,$AF$205^A166,IF(A166='Données projet'!$A$62,'Données projet'!$B$62,AI165+AH166-AQ165)))</f>
        <v>570.83200000000136</v>
      </c>
      <c r="AJ166" s="13">
        <f>AI166*VLOOKUP('Données projet'!$B$10,Paramètres!$A$1:$I$89,3,0)*VLOOKUP('Données projet'!$B$10,Paramètres!$A$1:$I$89,5,0)</f>
        <v>516.48879360000115</v>
      </c>
      <c r="AK166" s="13">
        <f t="shared" si="164"/>
        <v>115.03041290761819</v>
      </c>
      <c r="AL166" s="20">
        <f t="shared" si="165"/>
        <v>1099.8959513341035</v>
      </c>
      <c r="AM166" s="59">
        <f t="shared" si="113"/>
        <v>1393.2292846674368</v>
      </c>
      <c r="AN166" s="59">
        <f ca="1">AVERAGE(OFFSET($AM$3,0,0,'Données projet'!$E$10+1,1))-AVERAGE(OFFSET($H$3,0,0,'Données projet'!$E$10+1,1))</f>
        <v>635.71275911100679</v>
      </c>
      <c r="AO166" s="59">
        <f t="shared" si="144"/>
        <v>281.7776857269169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45.303860144108413</v>
      </c>
      <c r="AV166" s="21">
        <f>EXP(-LN(2)/25)*AV165+(1-EXP(-LN(2)/25))/(LN(2)/25)*Calculateur!AQ166*Calculateur!AS166*VLOOKUP('Données projet'!$B$10,Paramètres!$A$1:$I$89,3,0)*0.475*44/12</f>
        <v>17.839224676037066</v>
      </c>
      <c r="AW166" s="21">
        <f>EXP(-LN(2)/2)*AW165+(1-EXP(-LN(2)/2))/(LN(2)/2)*AQ166*AT166*VLOOKUP('Données projet'!$B$10,Paramètres!$A$1:$I$89,3,0)*0.475*44/12</f>
        <v>6.886431353128137E-6</v>
      </c>
      <c r="AX166" s="21">
        <f t="shared" si="166"/>
        <v>63.143091706576826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204.11804238362862</v>
      </c>
      <c r="BJ166" s="59">
        <f t="shared" si="146"/>
        <v>185.53854651509408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2.1293126043445914</v>
      </c>
      <c r="BQ166" s="21">
        <f>EXP(-LN(2)/25)*BQ165+(1-EXP(-LN(2)/25))/(LN(2)/25)*Calculateur!BL166*Calculateur!BN166*VLOOKUP('Données projet'!$B$11,Paramètres!$A$1:$I$89,3,0)*0.475*44/12</f>
        <v>7.0526853699698915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9.1819979743144824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7.922666666666669</v>
      </c>
      <c r="BY166" s="12">
        <f>IF('Données projet'!$A$114&gt;35,BY165+BX166-CG165,IF(A166&lt;'Données projet'!$A$114,$BV$205^A166,IF(A166='Données projet'!$A$114,'Données projet'!$B$114,BY165+BX166-CG165)))</f>
        <v>457.80733333333325</v>
      </c>
      <c r="BZ166" s="13">
        <f>BY166*VLOOKUP('Données projet'!$B$12,Paramètres!$A$1:$I$89,3,0)*VLOOKUP('Données projet'!$B$12,Paramètres!$A$1:$I$89,5,0)</f>
        <v>457.0748415999999</v>
      </c>
      <c r="CA166" s="13">
        <f t="shared" si="170"/>
        <v>103.25637125672745</v>
      </c>
      <c r="CB166" s="20">
        <f t="shared" si="171"/>
        <v>975.91019572546691</v>
      </c>
      <c r="CC166" s="59">
        <f t="shared" si="119"/>
        <v>1269.2435290588003</v>
      </c>
      <c r="CD166" s="59">
        <f ca="1">AVERAGE(OFFSET($CC$3,0,0,'Données projet'!$E$12+1,1))-AVERAGE(OFFSET($H$3,0,0,'Données projet'!$E$12+1,1))</f>
        <v>535.99935263833549</v>
      </c>
      <c r="CE166" s="59">
        <f t="shared" si="148"/>
        <v>245.89966477332644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18.3859831848489</v>
      </c>
      <c r="CL166" s="21">
        <f>EXP(-LN(2)/25)*CL165+(1-EXP(-LN(2)/25))/(LN(2)/25)*Calculateur!CG166*Calculateur!CI166*VLOOKUP('Données projet'!$B$12,Paramètres!$A$1:$I$89,3,0)*0.475*44/12</f>
        <v>15.804979128032551</v>
      </c>
      <c r="CM166" s="21">
        <f>EXP(-LN(2)/2)*CM165+(1-EXP(-LN(2)/2))/(LN(2)/2)*CG166*CJ166*VLOOKUP('Données projet'!$B$12,Paramètres!$A$1:$I$89,3,0)*0.475*44/12</f>
        <v>0.12059799891191689</v>
      </c>
      <c r="CN166" s="22">
        <f t="shared" si="172"/>
        <v>34.311560311793372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2.5579538487363607E-13</v>
      </c>
      <c r="CU166" s="17">
        <f>CT166*VLOOKUP('Données projet'!$B$13,Paramètres!$A$1:$I$89,3,0)*VLOOKUP('Données projet'!$B$13,Paramètres!$A$1:$I$89,5,0)</f>
        <v>2.4341488824575211E-13</v>
      </c>
      <c r="CV166" s="13">
        <f t="shared" si="173"/>
        <v>3.2970717324875541E-12</v>
      </c>
      <c r="CW166" s="20">
        <f t="shared" si="174"/>
        <v>6.1663475311105072E-12</v>
      </c>
      <c r="CX166" s="59">
        <f t="shared" si="122"/>
        <v>293.33333333333945</v>
      </c>
      <c r="CY166" s="59">
        <f ca="1">AVERAGE(OFFSET($CX$3,0,0,'Données projet'!$E$13+1,1))-AVERAGE(OFFSET($H$3,0,0,'Données projet'!$E$13+1,1))</f>
        <v>449.28947235329758</v>
      </c>
      <c r="CZ166" s="59">
        <f t="shared" si="150"/>
        <v>289.36994109443964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34.41075366388435</v>
      </c>
      <c r="DG166" s="21">
        <f>EXP(-LN(2)/25)*DG165+(1-EXP(-LN(2)/25))/(LN(2)/25)*Calculateur!DB166*Calculateur!DD166*VLOOKUP('Données projet'!$B$13,Paramètres!$A$1:$I$89,3,0)*0.475*44/12</f>
        <v>24.11352439885815</v>
      </c>
      <c r="DH166" s="21">
        <f>EXP(-LN(2)/2)*DH165+(1-EXP(-LN(2)/2))/(LN(2)/2)*DB166*DE166*VLOOKUP('Données projet'!$B$13,Paramètres!$A$1:$I$89,3,0)*0.475*44/12</f>
        <v>3.8681930522737023E-4</v>
      </c>
      <c r="DI166" s="22">
        <f t="shared" si="175"/>
        <v>58.524664882047723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5.6843418860808015E-14</v>
      </c>
      <c r="DP166" s="17">
        <f>DO166*VLOOKUP('Données projet'!$B$14,Paramètres!$A$1:$I$89,3,0)*VLOOKUP('Données projet'!$B$14,Paramètres!$A$1:$I$89,5,0)</f>
        <v>4.4337866711430253E-14</v>
      </c>
      <c r="DQ166" s="13">
        <f t="shared" si="176"/>
        <v>7.3222115536967035E-13</v>
      </c>
      <c r="DR166" s="20">
        <f t="shared" si="177"/>
        <v>1.3525069634579169E-12</v>
      </c>
      <c r="DS166" s="59">
        <f t="shared" si="125"/>
        <v>293.33333333333468</v>
      </c>
      <c r="DT166" s="59">
        <f ca="1">AVERAGE(OFFSET($DS$3,0,0,'Données projet'!$E$14+1,1))-AVERAGE(OFFSET($H$3,0,0,'Données projet'!$E$14+1,1))</f>
        <v>288.82868507674738</v>
      </c>
      <c r="DU166" s="59">
        <f t="shared" si="152"/>
        <v>283.48738729114024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6.6830322186311539</v>
      </c>
      <c r="EB166" s="21">
        <f>EXP(-LN(2)/25)*EB165+(1-EXP(-LN(2)/25))/(LN(2)/25)*Calculateur!DW166*Calculateur!DY166*VLOOKUP('Données projet'!$B$14,Paramètres!$A$1:$I$89,3,0)*0.475*44/12</f>
        <v>3.1248461979921585</v>
      </c>
      <c r="EC166" s="21">
        <f>EXP(-LN(2)/2)*EC165+(1-EXP(-LN(2)/2))/(LN(2)/2)*DW166*DZ166*VLOOKUP('Données projet'!$B$14,Paramètres!$A$1:$I$89,3,0)*0.475*44/12</f>
        <v>4.3169749839423931E-13</v>
      </c>
      <c r="ED166" s="22">
        <f t="shared" si="178"/>
        <v>9.807878416623744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7.6783333333333319</v>
      </c>
      <c r="EJ166" s="12">
        <f>IF('Données projet'!$A$192&gt;35,EJ165+EI166-ER165,IF(A166&lt;'Données projet'!$A$192,$EG$205^A166,IF(A166='Données projet'!$A$192,'Données projet'!$B$192,EJ165+EI166-ER165)))</f>
        <v>397.25833333333298</v>
      </c>
      <c r="EK166" s="17">
        <f>EJ166*VLOOKUP('Données projet'!$B$15,Paramètres!$A$1:$I$89,3,0)*VLOOKUP('Données projet'!$B$15,Paramètres!$A$1:$I$89,5,0)</f>
        <v>384.22825999999969</v>
      </c>
      <c r="EL166" s="13">
        <f t="shared" si="179"/>
        <v>88.571739476126965</v>
      </c>
      <c r="EM166" s="20">
        <f t="shared" si="180"/>
        <v>823.45999908758722</v>
      </c>
      <c r="EN166" s="59">
        <f t="shared" si="128"/>
        <v>1116.7933324209205</v>
      </c>
      <c r="EO166" s="59">
        <f ca="1">AVERAGE(OFFSET($EN$3,0,0,'Données projet'!$E$15+1,1))-AVERAGE(OFFSET($H$3,0,0,'Données projet'!$E$15+1,1))</f>
        <v>510.71380643466227</v>
      </c>
      <c r="EP166" s="59">
        <f t="shared" si="154"/>
        <v>252.40654099948841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22.136472389721423</v>
      </c>
      <c r="EW166" s="21">
        <f>EXP(-LN(2)/25)*EW165+(1-EXP(-LN(2)/25))/(LN(2)/25)*Calculateur!ER166*Calculateur!ET166*VLOOKUP('Données projet'!$B$15,Paramètres!$A$1:$I$89,3,0)*0.475*44/12</f>
        <v>18.865270117633951</v>
      </c>
      <c r="EX166" s="21">
        <f>EXP(-LN(2)/2)*EX165+(1-EXP(-LN(2)/2))/(LN(2)/2)*ER166*EU166*VLOOKUP('Données projet'!$B$15,Paramètres!$A$1:$I$89,3,0)*0.475*44/12</f>
        <v>1.3441127986378199</v>
      </c>
      <c r="EY166" s="22">
        <f t="shared" si="181"/>
        <v>42.345855305993197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>
        <f>VLOOKUP(A167,'Données projet'!$A$35:$I$55,2,0)</f>
        <v>465.73</v>
      </c>
      <c r="L167" s="12">
        <f>VLOOKUP(A167,'Données projet'!$A$35:$I$55,9,0)</f>
        <v>7.922666666666669</v>
      </c>
      <c r="M167" s="12">
        <f t="array" ref="M167">INDEX(L:L,MIN(IF(ISNUMBER(L167:L363),ROW(L167:L363),"")))</f>
        <v>7.922666666666669</v>
      </c>
      <c r="N167" s="13">
        <f>IF('Données projet'!$A$36&gt;35,N166+M167-V166,IF(A167&lt;'Données projet'!$A$36,$K$205^A167,IF(A167='Données projet'!$A$36,'Données projet'!$B$36,N166+M167-V166)))</f>
        <v>465.7299999999999</v>
      </c>
      <c r="O167" s="13">
        <f>N167*VLOOKUP('Données projet'!$B$9,Paramètres!$A$1:$I$89,3,0)*VLOOKUP('Données projet'!$B$9,Paramètres!$A$1:$I$89,5,0)</f>
        <v>472.2502199999999</v>
      </c>
      <c r="P167" s="13">
        <f t="shared" si="141"/>
        <v>106.27976692572048</v>
      </c>
      <c r="Q167" s="20">
        <f t="shared" si="162"/>
        <v>1007.6063938956295</v>
      </c>
      <c r="R167" s="59">
        <f t="shared" si="109"/>
        <v>1300.9397272289627</v>
      </c>
      <c r="S167" s="59">
        <f ca="1">AVERAGE(OFFSET($R$3,0,0,'Données projet'!$E$9+1,1))-AVERAGE(OFFSET($H$3,0,0,'Données projet'!$E$9+1,1))</f>
        <v>543.67050511722618</v>
      </c>
      <c r="T167" s="59">
        <f t="shared" si="142"/>
        <v>249.0871389941106</v>
      </c>
      <c r="U167" s="15">
        <f>IF(ISNA(VLOOKUP(A167,'Données projet'!$A$35:$I$55,3,0)),0,VLOOKUP(A167,'Données projet'!$A$35:$I$55,3,0))</f>
        <v>12</v>
      </c>
      <c r="V167" s="15">
        <f>IF(ISNA(VLOOKUP(A167,'Données projet'!$A$35:$I$55,4,0)),0,VLOOKUP(A167,'Données projet'!$A$35:$I$55,4,0))</f>
        <v>82.93</v>
      </c>
      <c r="W167" s="16">
        <f>IF(ISNA(VLOOKUP(A167,'Données projet'!$A$35:$I$55,5,0)),0%,VLOOKUP(A167,'Données projet'!$A$35:$I$55,5,0)*VLOOKUP('Données projet'!$B$9,Paramètres!$A$1:$I$89,7,0))</f>
        <v>0.15049999999999999</v>
      </c>
      <c r="X167" s="16">
        <f>IF(ISNA(VLOOKUP(A167,'Données projet'!$A$35:$I$55,6,0)),0%,VLOOKUP(A167,'Données projet'!$A$35:$I$55,6,0)*VLOOKUP('Données projet'!$B$9,Paramètres!$A$1:$I$89,7,0))</f>
        <v>8.6000000000000007E-2</v>
      </c>
      <c r="Y167" s="16">
        <f>IF(ISNA(VLOOKUP(A167,'Données projet'!$A$35:$I$55,7,0)),0%,VLOOKUP(A167,'Données projet'!$A$35:$I$55,7,0))</f>
        <v>0.1</v>
      </c>
      <c r="Z167" s="21">
        <f>EXP(-LN(2)/35)*Z166+(1-EXP(-LN(2)/35))/(LN(2)/35)*V167*W167*VLOOKUP('Données projet'!$B$9,Paramètres!$A$1:$I$89,3,0)*0.475*44/12</f>
        <v>39.620429826873284</v>
      </c>
      <c r="AA167" s="21">
        <f>EXP(-LN(2)/25)*AA166+(1-EXP(-LN(2)/25))/(LN(2)/25)*Calculateur!V167*Calculateur!X167*VLOOKUP('Données projet'!$B$9,Paramètres!$A$1:$I$89,3,0)*0.475*44/12</f>
        <v>24.27597826143742</v>
      </c>
      <c r="AB167" s="21">
        <f>EXP(-LN(2)/2)*AB166+(1-EXP(-LN(2)/2))/(LN(2)/2)*V167*Y167*VLOOKUP('Données projet'!$B$9,Paramètres!$A$1:$I$89,3,0)*0.475*44/12</f>
        <v>7.9688573026884724</v>
      </c>
      <c r="AC167" s="22">
        <f t="shared" si="163"/>
        <v>71.865265390999184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9.4880000000000049</v>
      </c>
      <c r="AH167" s="12">
        <f t="array" ref="AH167">INDEX(AG:AG,MIN(IF(ISNUMBER(AG167:AG363),ROW(AG167:AG363),"")))</f>
        <v>9.4880000000000049</v>
      </c>
      <c r="AI167" s="13">
        <f>IF('Données projet'!$A$62&gt;35,AI166+AH167-AQ166,IF(A167&lt;'Données projet'!$A$62,$AF$205^A167,IF(A167='Données projet'!$A$62,'Données projet'!$B$62,AI166+AH167-AQ166)))</f>
        <v>580.32000000000141</v>
      </c>
      <c r="AJ167" s="13">
        <f>AI167*VLOOKUP('Données projet'!$B$10,Paramètres!$A$1:$I$89,3,0)*VLOOKUP('Données projet'!$B$10,Paramètres!$A$1:$I$89,5,0)</f>
        <v>525.07353600000124</v>
      </c>
      <c r="AK167" s="13">
        <f t="shared" si="164"/>
        <v>116.71819745258949</v>
      </c>
      <c r="AL167" s="20">
        <f t="shared" si="165"/>
        <v>1117.7872690965953</v>
      </c>
      <c r="AM167" s="59">
        <f t="shared" si="113"/>
        <v>1411.1206024299286</v>
      </c>
      <c r="AN167" s="59">
        <f ca="1">AVERAGE(OFFSET($AM$3,0,0,'Données projet'!$E$10+1,1))-AVERAGE(OFFSET($H$3,0,0,'Données projet'!$E$10+1,1))</f>
        <v>635.71275911100679</v>
      </c>
      <c r="AO167" s="59">
        <f t="shared" si="144"/>
        <v>281.7776857269169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66.020000000000095</v>
      </c>
      <c r="AR167" s="16">
        <f>IF(ISNA(VLOOKUP(A167,'Données projet'!$A$61:$I$81,5,0)),0%,VLOOKUP(A167,'Données projet'!$A$61:$I$81,5,0)*VLOOKUP('Données projet'!$B$10,Paramètres!$A$1:$I$89,7,0))</f>
        <v>0.215</v>
      </c>
      <c r="AS167" s="16">
        <f>IF(ISNA(VLOOKUP(A167,'Données projet'!$A$61:$I$81,6,0)),0%,VLOOKUP(A167,'Données projet'!$A$61:$I$81,6,0)*VLOOKUP('Données projet'!$B$10,Paramètres!$A$1:$I$89,7,0))</f>
        <v>8.6000000000000007E-2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58.613038082092139</v>
      </c>
      <c r="AV167" s="21">
        <f>EXP(-LN(2)/25)*AV166+(1-EXP(-LN(2)/25))/(LN(2)/25)*Calculateur!AQ167*Calculateur!AS167*VLOOKUP('Données projet'!$B$10,Paramètres!$A$1:$I$89,3,0)*0.475*44/12</f>
        <v>23.008073260464958</v>
      </c>
      <c r="AW167" s="21">
        <f>EXP(-LN(2)/2)*AW166+(1-EXP(-LN(2)/2))/(LN(2)/2)*AQ167*AT167*VLOOKUP('Données projet'!$B$10,Paramètres!$A$1:$I$89,3,0)*0.475*44/12</f>
        <v>4.8694423079725579E-6</v>
      </c>
      <c r="AX167" s="21">
        <f t="shared" si="166"/>
        <v>81.621116211999407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204.11804238362862</v>
      </c>
      <c r="BJ167" s="59">
        <f t="shared" si="146"/>
        <v>185.53854651509408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2.0875580829258413</v>
      </c>
      <c r="BQ167" s="21">
        <f>EXP(-LN(2)/25)*BQ166+(1-EXP(-LN(2)/25))/(LN(2)/25)*Calculateur!BL167*Calculateur!BN167*VLOOKUP('Données projet'!$B$11,Paramètres!$A$1:$I$89,3,0)*0.475*44/12</f>
        <v>6.8598293176434604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8.9473874005693013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>
        <f>VLOOKUP(A167,'Données projet'!$A$113:$I$133,2,0)</f>
        <v>465.73</v>
      </c>
      <c r="BW167" s="12">
        <f>VLOOKUP(A167,'Données projet'!$A$113:$I$133,9,0)</f>
        <v>7.922666666666669</v>
      </c>
      <c r="BX167" s="12">
        <f t="array" ref="BX167">INDEX(BW:BW,MIN(IF(ISNUMBER(BW167:BW363),ROW(BW167:BW363),"")))</f>
        <v>7.922666666666669</v>
      </c>
      <c r="BY167" s="12">
        <f>IF('Données projet'!$A$114&gt;35,BY166+BX167-CG166,IF(A167&lt;'Données projet'!$A$114,$BV$205^A167,IF(A167='Données projet'!$A$114,'Données projet'!$B$114,BY166+BX167-CG166)))</f>
        <v>465.7299999999999</v>
      </c>
      <c r="BZ167" s="13">
        <f>BY167*VLOOKUP('Données projet'!$B$12,Paramètres!$A$1:$I$89,3,0)*VLOOKUP('Données projet'!$B$12,Paramètres!$A$1:$I$89,5,0)</f>
        <v>464.98483199999993</v>
      </c>
      <c r="CA167" s="13">
        <f t="shared" si="170"/>
        <v>104.83371505028619</v>
      </c>
      <c r="CB167" s="20">
        <f t="shared" si="171"/>
        <v>992.43396944591507</v>
      </c>
      <c r="CC167" s="59">
        <f t="shared" si="119"/>
        <v>1285.7673027792484</v>
      </c>
      <c r="CD167" s="59">
        <f ca="1">AVERAGE(OFFSET($CC$3,0,0,'Données projet'!$E$12+1,1))-AVERAGE(OFFSET($H$3,0,0,'Données projet'!$E$12+1,1))</f>
        <v>535.99935263833549</v>
      </c>
      <c r="CE167" s="59">
        <f t="shared" si="148"/>
        <v>245.89966477332644</v>
      </c>
      <c r="CF167" s="15">
        <f>IF(ISNA(VLOOKUP(A167,'Données projet'!$A$113:$I$133,3,0)),0,VLOOKUP(A167,'Données projet'!$A$113:$I$133,3,0))</f>
        <v>12</v>
      </c>
      <c r="CG167" s="15">
        <f>IF(ISNA(VLOOKUP(A167,'Données projet'!$A$113:$I$133,4,0)),0,VLOOKUP(A167,'Données projet'!$A$113:$I$133,4,0))</f>
        <v>82.93</v>
      </c>
      <c r="CH167" s="16">
        <f>IF(ISNA(VLOOKUP(A167,'Données projet'!$A$113:$I$133,5,0)),0%,VLOOKUP(A167,'Données projet'!$A$113:$I$133,5,0)*VLOOKUP('Données projet'!$B$12,Paramètres!$A$1:$I$89,7,0))</f>
        <v>0.1075</v>
      </c>
      <c r="CI167" s="16">
        <f>IF(ISNA(VLOOKUP(A167,'Données projet'!$A$113:$I$133,6,0)),0%,VLOOKUP(A167,'Données projet'!$A$113:$I$133,6,0)*VLOOKUP('Données projet'!$B$12,Paramètres!$A$1:$I$89,7,0))</f>
        <v>0.1075</v>
      </c>
      <c r="CJ167" s="16">
        <f>IF(ISNA(VLOOKUP(A167,'Données projet'!$A$113:$I$133,7,0)),0%,VLOOKUP(A167,'Données projet'!$A$113:$I$133,7,0))</f>
        <v>0.25</v>
      </c>
      <c r="CK167" s="21">
        <f>EXP(-LN(2)/35)*CK166+(1-EXP(-LN(2)/35))/(LN(2)/35)*CG167*CH167*VLOOKUP('Données projet'!$B$12,Paramètres!$A$1:$I$89,3,0)*0.475*44/12</f>
        <v>27.864917680438353</v>
      </c>
      <c r="CL167" s="21">
        <f>EXP(-LN(2)/25)*CL166+(1-EXP(-LN(2)/25))/(LN(2)/25)*Calculateur!CG167*Calculateur!CI167*VLOOKUP('Données projet'!$B$12,Paramètres!$A$1:$I$89,3,0)*0.475*44/12</f>
        <v>25.17352180211369</v>
      </c>
      <c r="CM167" s="21">
        <f>EXP(-LN(2)/2)*CM166+(1-EXP(-LN(2)/2))/(LN(2)/2)*CG167*CJ167*VLOOKUP('Données projet'!$B$12,Paramètres!$A$1:$I$89,3,0)*0.475*44/12</f>
        <v>19.61564874507307</v>
      </c>
      <c r="CN167" s="22">
        <f t="shared" si="172"/>
        <v>72.65408822762511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2.5579538487363607E-13</v>
      </c>
      <c r="CU167" s="17">
        <f>CT167*VLOOKUP('Données projet'!$B$13,Paramètres!$A$1:$I$89,3,0)*VLOOKUP('Données projet'!$B$13,Paramètres!$A$1:$I$89,5,0)</f>
        <v>2.4341488824575211E-13</v>
      </c>
      <c r="CV167" s="13">
        <f t="shared" si="173"/>
        <v>3.2970717324875541E-12</v>
      </c>
      <c r="CW167" s="20">
        <f t="shared" si="174"/>
        <v>6.1663475311105072E-12</v>
      </c>
      <c r="CX167" s="59">
        <f t="shared" si="122"/>
        <v>293.33333333333945</v>
      </c>
      <c r="CY167" s="59">
        <f ca="1">AVERAGE(OFFSET($CX$3,0,0,'Données projet'!$E$13+1,1))-AVERAGE(OFFSET($H$3,0,0,'Données projet'!$E$13+1,1))</f>
        <v>449.28947235329758</v>
      </c>
      <c r="CZ167" s="59">
        <f t="shared" si="150"/>
        <v>289.36994109443964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33.735979773022869</v>
      </c>
      <c r="DG167" s="21">
        <f>EXP(-LN(2)/25)*DG166+(1-EXP(-LN(2)/25))/(LN(2)/25)*Calculateur!DB167*Calculateur!DD167*VLOOKUP('Données projet'!$B$13,Paramètres!$A$1:$I$89,3,0)*0.475*44/12</f>
        <v>23.454138806096239</v>
      </c>
      <c r="DH167" s="21">
        <f>EXP(-LN(2)/2)*DH166+(1-EXP(-LN(2)/2))/(LN(2)/2)*DB167*DE167*VLOOKUP('Données projet'!$B$13,Paramètres!$A$1:$I$89,3,0)*0.475*44/12</f>
        <v>2.7352255382014242E-4</v>
      </c>
      <c r="DI167" s="22">
        <f t="shared" si="175"/>
        <v>57.190392101672927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5.6843418860808015E-14</v>
      </c>
      <c r="DP167" s="17">
        <f>DO167*VLOOKUP('Données projet'!$B$14,Paramètres!$A$1:$I$89,3,0)*VLOOKUP('Données projet'!$B$14,Paramètres!$A$1:$I$89,5,0)</f>
        <v>4.4337866711430253E-14</v>
      </c>
      <c r="DQ167" s="13">
        <f t="shared" si="176"/>
        <v>7.3222115536967035E-13</v>
      </c>
      <c r="DR167" s="20">
        <f t="shared" si="177"/>
        <v>1.3525069634579169E-12</v>
      </c>
      <c r="DS167" s="59">
        <f t="shared" si="125"/>
        <v>293.33333333333468</v>
      </c>
      <c r="DT167" s="59">
        <f ca="1">AVERAGE(OFFSET($DS$3,0,0,'Données projet'!$E$14+1,1))-AVERAGE(OFFSET($H$3,0,0,'Données projet'!$E$14+1,1))</f>
        <v>288.82868507674738</v>
      </c>
      <c r="DU167" s="59">
        <f t="shared" si="152"/>
        <v>283.48738729114024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6.5519820330709546</v>
      </c>
      <c r="EB167" s="21">
        <f>EXP(-LN(2)/25)*EB166+(1-EXP(-LN(2)/25))/(LN(2)/25)*Calculateur!DW167*Calculateur!DY167*VLOOKUP('Données projet'!$B$14,Paramètres!$A$1:$I$89,3,0)*0.475*44/12</f>
        <v>3.0393971143795433</v>
      </c>
      <c r="EC167" s="21">
        <f>EXP(-LN(2)/2)*EC166+(1-EXP(-LN(2)/2))/(LN(2)/2)*DW167*DZ167*VLOOKUP('Données projet'!$B$14,Paramètres!$A$1:$I$89,3,0)*0.475*44/12</f>
        <v>3.0525622853583532E-13</v>
      </c>
      <c r="ED167" s="22">
        <f t="shared" si="178"/>
        <v>9.5913791474508034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7.6783333333333319</v>
      </c>
      <c r="EJ167" s="12">
        <f>IF('Données projet'!$A$192&gt;35,EJ166+EI167-ER166,IF(A167&lt;'Données projet'!$A$192,$EG$205^A167,IF(A167='Données projet'!$A$192,'Données projet'!$B$192,EJ166+EI167-ER166)))</f>
        <v>404.93666666666633</v>
      </c>
      <c r="EK167" s="17">
        <f>EJ167*VLOOKUP('Données projet'!$B$15,Paramètres!$A$1:$I$89,3,0)*VLOOKUP('Données projet'!$B$15,Paramètres!$A$1:$I$89,5,0)</f>
        <v>391.65474399999971</v>
      </c>
      <c r="EL167" s="13">
        <f t="shared" si="179"/>
        <v>90.082722179516836</v>
      </c>
      <c r="EM167" s="20">
        <f t="shared" si="180"/>
        <v>839.02608692932472</v>
      </c>
      <c r="EN167" s="59">
        <f t="shared" si="128"/>
        <v>1132.359420262658</v>
      </c>
      <c r="EO167" s="59">
        <f ca="1">AVERAGE(OFFSET($EN$3,0,0,'Données projet'!$E$15+1,1))-AVERAGE(OFFSET($H$3,0,0,'Données projet'!$E$15+1,1))</f>
        <v>510.71380643466227</v>
      </c>
      <c r="EP167" s="59">
        <f t="shared" si="154"/>
        <v>252.40654099948841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21.702389668073941</v>
      </c>
      <c r="EW167" s="21">
        <f>EXP(-LN(2)/25)*EW166+(1-EXP(-LN(2)/25))/(LN(2)/25)*Calculateur!ER167*Calculateur!ET167*VLOOKUP('Données projet'!$B$15,Paramètres!$A$1:$I$89,3,0)*0.475*44/12</f>
        <v>18.349398314185812</v>
      </c>
      <c r="EX167" s="21">
        <f>EXP(-LN(2)/2)*EX166+(1-EXP(-LN(2)/2))/(LN(2)/2)*ER167*EU167*VLOOKUP('Données projet'!$B$15,Paramètres!$A$1:$I$89,3,0)*0.475*44/12</f>
        <v>0.95043127459643095</v>
      </c>
      <c r="EY167" s="22">
        <f t="shared" si="181"/>
        <v>41.002219256856186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8.1599999999999984</v>
      </c>
      <c r="N168" s="13">
        <f>IF('Données projet'!$A$36&gt;35,N167+M168-V167,IF(A168&lt;'Données projet'!$A$36,$K$205^A168,IF(A168='Données projet'!$A$36,'Données projet'!$B$36,N167+M168-V167)))</f>
        <v>390.95999999999992</v>
      </c>
      <c r="O168" s="13">
        <f>N168*VLOOKUP('Données projet'!$B$9,Paramètres!$A$1:$I$89,3,0)*VLOOKUP('Données projet'!$B$9,Paramètres!$A$1:$I$89,5,0)</f>
        <v>396.43343999999996</v>
      </c>
      <c r="P168" s="13">
        <f t="shared" si="141"/>
        <v>91.053223441102205</v>
      </c>
      <c r="Q168" s="20">
        <f t="shared" si="162"/>
        <v>849.03927215991962</v>
      </c>
      <c r="R168" s="59">
        <f t="shared" si="109"/>
        <v>1142.3726054932529</v>
      </c>
      <c r="S168" s="59">
        <f ca="1">AVERAGE(OFFSET($R$3,0,0,'Données projet'!$E$9+1,1))-AVERAGE(OFFSET($H$3,0,0,'Données projet'!$E$9+1,1))</f>
        <v>543.67050511722618</v>
      </c>
      <c r="T168" s="59">
        <f t="shared" si="142"/>
        <v>249.0871389941106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38.843497364044289</v>
      </c>
      <c r="AA168" s="21">
        <f>EXP(-LN(2)/25)*AA167+(1-EXP(-LN(2)/25))/(LN(2)/25)*Calculateur!V168*Calculateur!X168*VLOOKUP('Données projet'!$B$9,Paramètres!$A$1:$I$89,3,0)*0.475*44/12</f>
        <v>23.612150359260202</v>
      </c>
      <c r="AB168" s="21">
        <f>EXP(-LN(2)/2)*AB167+(1-EXP(-LN(2)/2))/(LN(2)/2)*V168*Y168*VLOOKUP('Données projet'!$B$9,Paramètres!$A$1:$I$89,3,0)*0.475*44/12</f>
        <v>5.634833037038959</v>
      </c>
      <c r="AC168" s="22">
        <f t="shared" si="163"/>
        <v>68.090480760343453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9.6220000000000034</v>
      </c>
      <c r="AI168" s="13">
        <f>IF('Données projet'!$A$62&gt;35,AI167+AH168-AQ167,IF(A168&lt;'Données projet'!$A$62,$AF$205^A168,IF(A168='Données projet'!$A$62,'Données projet'!$B$62,AI167+AH168-AQ167)))</f>
        <v>523.92200000000128</v>
      </c>
      <c r="AJ168" s="13">
        <f>AI168*VLOOKUP('Données projet'!$B$10,Paramètres!$A$1:$I$89,3,0)*VLOOKUP('Données projet'!$B$10,Paramètres!$A$1:$I$89,5,0)</f>
        <v>474.04462560000115</v>
      </c>
      <c r="AK168" s="13">
        <f t="shared" si="164"/>
        <v>106.63651269520395</v>
      </c>
      <c r="AL168" s="20">
        <f t="shared" si="165"/>
        <v>1011.3529825308154</v>
      </c>
      <c r="AM168" s="59">
        <f t="shared" si="113"/>
        <v>1304.6863158641488</v>
      </c>
      <c r="AN168" s="59">
        <f ca="1">AVERAGE(OFFSET($AM$3,0,0,'Données projet'!$E$10+1,1))-AVERAGE(OFFSET($H$3,0,0,'Données projet'!$E$10+1,1))</f>
        <v>635.71275911100679</v>
      </c>
      <c r="AO168" s="59">
        <f t="shared" si="144"/>
        <v>281.7776857269169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57.463672155725483</v>
      </c>
      <c r="AV168" s="21">
        <f>EXP(-LN(2)/25)*AV167+(1-EXP(-LN(2)/25))/(LN(2)/25)*Calculateur!AQ168*Calculateur!AS168*VLOOKUP('Données projet'!$B$10,Paramètres!$A$1:$I$89,3,0)*0.475*44/12</f>
        <v>22.378916287215556</v>
      </c>
      <c r="AW168" s="21">
        <f>EXP(-LN(2)/2)*AW167+(1-EXP(-LN(2)/2))/(LN(2)/2)*AQ168*AT168*VLOOKUP('Données projet'!$B$10,Paramètres!$A$1:$I$89,3,0)*0.475*44/12</f>
        <v>3.4432156765640685E-6</v>
      </c>
      <c r="AX168" s="21">
        <f t="shared" si="166"/>
        <v>79.842591886156711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204.11804238362862</v>
      </c>
      <c r="BJ168" s="59">
        <f t="shared" si="146"/>
        <v>185.53854651509408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2.0466223422043699</v>
      </c>
      <c r="BQ168" s="21">
        <f>EXP(-LN(2)/25)*BQ167+(1-EXP(-LN(2)/25))/(LN(2)/25)*Calculateur!BL168*Calculateur!BN168*VLOOKUP('Données projet'!$B$11,Paramètres!$A$1:$I$89,3,0)*0.475*44/12</f>
        <v>6.6722469242097544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8.7188692664141243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8.1599999999999984</v>
      </c>
      <c r="BY168" s="12">
        <f>IF('Données projet'!$A$114&gt;35,BY167+BX168-CG167,IF(A168&lt;'Données projet'!$A$114,$BV$205^A168,IF(A168='Données projet'!$A$114,'Données projet'!$B$114,BY167+BX168-CG167)))</f>
        <v>390.95999999999992</v>
      </c>
      <c r="BZ168" s="13">
        <f>BY168*VLOOKUP('Données projet'!$B$12,Paramètres!$A$1:$I$89,3,0)*VLOOKUP('Données projet'!$B$12,Paramètres!$A$1:$I$89,5,0)</f>
        <v>390.33446399999997</v>
      </c>
      <c r="CA168" s="13">
        <f t="shared" si="170"/>
        <v>89.814345258264581</v>
      </c>
      <c r="CB168" s="20">
        <f t="shared" si="171"/>
        <v>836.25917612481078</v>
      </c>
      <c r="CC168" s="59">
        <f t="shared" si="119"/>
        <v>1129.5925094581441</v>
      </c>
      <c r="CD168" s="59">
        <f ca="1">AVERAGE(OFFSET($CC$3,0,0,'Données projet'!$E$12+1,1))-AVERAGE(OFFSET($H$3,0,0,'Données projet'!$E$12+1,1))</f>
        <v>535.99935263833549</v>
      </c>
      <c r="CE168" s="59">
        <f t="shared" si="148"/>
        <v>245.89966477332644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27.318503640646533</v>
      </c>
      <c r="CL168" s="21">
        <f>EXP(-LN(2)/25)*CL167+(1-EXP(-LN(2)/25))/(LN(2)/25)*Calculateur!CG168*Calculateur!CI168*VLOOKUP('Données projet'!$B$12,Paramètres!$A$1:$I$89,3,0)*0.475*44/12</f>
        <v>24.485150524616916</v>
      </c>
      <c r="CM168" s="21">
        <f>EXP(-LN(2)/2)*CM167+(1-EXP(-LN(2)/2))/(LN(2)/2)*CG168*CJ168*VLOOKUP('Données projet'!$B$12,Paramètres!$A$1:$I$89,3,0)*0.475*44/12</f>
        <v>13.870358245014559</v>
      </c>
      <c r="CN168" s="22">
        <f t="shared" si="172"/>
        <v>65.67401241027801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2.5579538487363607E-13</v>
      </c>
      <c r="CU168" s="17">
        <f>CT168*VLOOKUP('Données projet'!$B$13,Paramètres!$A$1:$I$89,3,0)*VLOOKUP('Données projet'!$B$13,Paramètres!$A$1:$I$89,5,0)</f>
        <v>2.4341488824575211E-13</v>
      </c>
      <c r="CV168" s="13">
        <f t="shared" si="173"/>
        <v>3.2970717324875541E-12</v>
      </c>
      <c r="CW168" s="20">
        <f t="shared" si="174"/>
        <v>6.1663475311105072E-12</v>
      </c>
      <c r="CX168" s="59">
        <f t="shared" si="122"/>
        <v>293.33333333333945</v>
      </c>
      <c r="CY168" s="59">
        <f ca="1">AVERAGE(OFFSET($CX$3,0,0,'Données projet'!$E$13+1,1))-AVERAGE(OFFSET($H$3,0,0,'Données projet'!$E$13+1,1))</f>
        <v>449.28947235329758</v>
      </c>
      <c r="CZ168" s="59">
        <f t="shared" si="150"/>
        <v>289.36994109443964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33.074437786589748</v>
      </c>
      <c r="DG168" s="21">
        <f>EXP(-LN(2)/25)*DG167+(1-EXP(-LN(2)/25))/(LN(2)/25)*Calculateur!DB168*Calculateur!DD168*VLOOKUP('Données projet'!$B$13,Paramètres!$A$1:$I$89,3,0)*0.475*44/12</f>
        <v>22.812784147043981</v>
      </c>
      <c r="DH168" s="21">
        <f>EXP(-LN(2)/2)*DH167+(1-EXP(-LN(2)/2))/(LN(2)/2)*DB168*DE168*VLOOKUP('Données projet'!$B$13,Paramètres!$A$1:$I$89,3,0)*0.475*44/12</f>
        <v>1.9340965261368512E-4</v>
      </c>
      <c r="DI168" s="22">
        <f t="shared" si="175"/>
        <v>55.887415343286342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5.6843418860808015E-14</v>
      </c>
      <c r="DP168" s="17">
        <f>DO168*VLOOKUP('Données projet'!$B$14,Paramètres!$A$1:$I$89,3,0)*VLOOKUP('Données projet'!$B$14,Paramètres!$A$1:$I$89,5,0)</f>
        <v>4.4337866711430253E-14</v>
      </c>
      <c r="DQ168" s="13">
        <f t="shared" si="176"/>
        <v>7.3222115536967035E-13</v>
      </c>
      <c r="DR168" s="20">
        <f t="shared" si="177"/>
        <v>1.3525069634579169E-12</v>
      </c>
      <c r="DS168" s="59">
        <f t="shared" si="125"/>
        <v>293.33333333333468</v>
      </c>
      <c r="DT168" s="59">
        <f ca="1">AVERAGE(OFFSET($DS$3,0,0,'Données projet'!$E$14+1,1))-AVERAGE(OFFSET($H$3,0,0,'Données projet'!$E$14+1,1))</f>
        <v>288.82868507674738</v>
      </c>
      <c r="DU168" s="59">
        <f t="shared" si="152"/>
        <v>283.48738729114024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6.4235016617168696</v>
      </c>
      <c r="EB168" s="21">
        <f>EXP(-LN(2)/25)*EB167+(1-EXP(-LN(2)/25))/(LN(2)/25)*Calculateur!DW168*Calculateur!DY168*VLOOKUP('Données projet'!$B$14,Paramètres!$A$1:$I$89,3,0)*0.475*44/12</f>
        <v>2.9562846404518872</v>
      </c>
      <c r="EC168" s="21">
        <f>EXP(-LN(2)/2)*EC167+(1-EXP(-LN(2)/2))/(LN(2)/2)*DW168*DZ168*VLOOKUP('Données projet'!$B$14,Paramètres!$A$1:$I$89,3,0)*0.475*44/12</f>
        <v>2.1584874919711966E-13</v>
      </c>
      <c r="ED168" s="22">
        <f t="shared" si="178"/>
        <v>9.3797863021689736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7.6783333333333319</v>
      </c>
      <c r="EJ168" s="12">
        <f>IF('Données projet'!$A$192&gt;35,EJ167+EI168-ER167,IF(A168&lt;'Données projet'!$A$192,$EG$205^A168,IF(A168='Données projet'!$A$192,'Données projet'!$B$192,EJ167+EI168-ER167)))</f>
        <v>412.61499999999967</v>
      </c>
      <c r="EK168" s="17">
        <f>EJ168*VLOOKUP('Données projet'!$B$15,Paramètres!$A$1:$I$89,3,0)*VLOOKUP('Données projet'!$B$15,Paramètres!$A$1:$I$89,5,0)</f>
        <v>399.08122799999967</v>
      </c>
      <c r="EL168" s="13">
        <f t="shared" si="179"/>
        <v>91.590373376485019</v>
      </c>
      <c r="EM168" s="20">
        <f t="shared" si="180"/>
        <v>854.58637239737743</v>
      </c>
      <c r="EN168" s="59">
        <f t="shared" si="128"/>
        <v>1147.9197057307108</v>
      </c>
      <c r="EO168" s="59">
        <f ca="1">AVERAGE(OFFSET($EN$3,0,0,'Données projet'!$E$15+1,1))-AVERAGE(OFFSET($H$3,0,0,'Données projet'!$E$15+1,1))</f>
        <v>510.71380643466227</v>
      </c>
      <c r="EP168" s="59">
        <f t="shared" si="154"/>
        <v>252.40654099948841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21.276819043833648</v>
      </c>
      <c r="EW168" s="21">
        <f>EXP(-LN(2)/25)*EW167+(1-EXP(-LN(2)/25))/(LN(2)/25)*Calculateur!ER168*Calculateur!ET168*VLOOKUP('Données projet'!$B$15,Paramètres!$A$1:$I$89,3,0)*0.475*44/12</f>
        <v>17.847633052331481</v>
      </c>
      <c r="EX168" s="21">
        <f>EXP(-LN(2)/2)*EX167+(1-EXP(-LN(2)/2))/(LN(2)/2)*ER168*EU168*VLOOKUP('Données projet'!$B$15,Paramètres!$A$1:$I$89,3,0)*0.475*44/12</f>
        <v>0.67205639931891004</v>
      </c>
      <c r="EY168" s="22">
        <f t="shared" si="181"/>
        <v>39.796508495484041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8.1599999999999984</v>
      </c>
      <c r="N169" s="13">
        <f>IF('Données projet'!$A$36&gt;35,N168+M169-V168,IF(A169&lt;'Données projet'!$A$36,$K$205^A169,IF(A169='Données projet'!$A$36,'Données projet'!$B$36,N168+M169-V168)))</f>
        <v>399.11999999999995</v>
      </c>
      <c r="O169" s="13">
        <f>N169*VLOOKUP('Données projet'!$B$9,Paramètres!$A$1:$I$89,3,0)*VLOOKUP('Données projet'!$B$9,Paramètres!$A$1:$I$89,5,0)</f>
        <v>404.70767999999998</v>
      </c>
      <c r="P169" s="13">
        <f t="shared" si="141"/>
        <v>92.730424200514847</v>
      </c>
      <c r="Q169" s="20">
        <f t="shared" si="162"/>
        <v>866.37136481589653</v>
      </c>
      <c r="R169" s="59">
        <f t="shared" si="109"/>
        <v>1159.7046981492299</v>
      </c>
      <c r="S169" s="59">
        <f ca="1">AVERAGE(OFFSET($R$3,0,0,'Données projet'!$E$9+1,1))-AVERAGE(OFFSET($H$3,0,0,'Données projet'!$E$9+1,1))</f>
        <v>543.67050511722618</v>
      </c>
      <c r="T169" s="59">
        <f t="shared" si="142"/>
        <v>249.0871389941106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38.081800072929362</v>
      </c>
      <c r="AA169" s="21">
        <f>EXP(-LN(2)/25)*AA168+(1-EXP(-LN(2)/25))/(LN(2)/25)*Calculateur!V169*Calculateur!X169*VLOOKUP('Données projet'!$B$9,Paramètres!$A$1:$I$89,3,0)*0.475*44/12</f>
        <v>22.966474865977212</v>
      </c>
      <c r="AB169" s="21">
        <f>EXP(-LN(2)/2)*AB168+(1-EXP(-LN(2)/2))/(LN(2)/2)*V169*Y169*VLOOKUP('Données projet'!$B$9,Paramètres!$A$1:$I$89,3,0)*0.475*44/12</f>
        <v>3.9844286513442366</v>
      </c>
      <c r="AC169" s="22">
        <f t="shared" si="163"/>
        <v>65.032703590250804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9.6220000000000034</v>
      </c>
      <c r="AI169" s="13">
        <f>IF('Données projet'!$A$62&gt;35,AI168+AH169-AQ168,IF(A169&lt;'Données projet'!$A$62,$AF$205^A169,IF(A169='Données projet'!$A$62,'Données projet'!$B$62,AI168+AH169-AQ168)))</f>
        <v>533.54400000000123</v>
      </c>
      <c r="AJ169" s="13">
        <f>AI169*VLOOKUP('Données projet'!$B$10,Paramètres!$A$1:$I$89,3,0)*VLOOKUP('Données projet'!$B$10,Paramètres!$A$1:$I$89,5,0)</f>
        <v>482.75061120000112</v>
      </c>
      <c r="AK169" s="13">
        <f t="shared" si="164"/>
        <v>108.36513078962237</v>
      </c>
      <c r="AL169" s="20">
        <f t="shared" si="165"/>
        <v>1029.5265839652609</v>
      </c>
      <c r="AM169" s="59">
        <f t="shared" si="113"/>
        <v>1322.8599172985942</v>
      </c>
      <c r="AN169" s="59">
        <f ca="1">AVERAGE(OFFSET($AM$3,0,0,'Données projet'!$E$10+1,1))-AVERAGE(OFFSET($H$3,0,0,'Données projet'!$E$10+1,1))</f>
        <v>635.71275911100679</v>
      </c>
      <c r="AO169" s="59">
        <f t="shared" si="144"/>
        <v>281.7776857269169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56.336844594130881</v>
      </c>
      <c r="AV169" s="21">
        <f>EXP(-LN(2)/25)*AV168+(1-EXP(-LN(2)/25))/(LN(2)/25)*Calculateur!AQ169*Calculateur!AS169*VLOOKUP('Données projet'!$B$10,Paramètres!$A$1:$I$89,3,0)*0.475*44/12</f>
        <v>21.766963644485589</v>
      </c>
      <c r="AW169" s="21">
        <f>EXP(-LN(2)/2)*AW168+(1-EXP(-LN(2)/2))/(LN(2)/2)*AQ169*AT169*VLOOKUP('Données projet'!$B$10,Paramètres!$A$1:$I$89,3,0)*0.475*44/12</f>
        <v>2.434721153986279E-6</v>
      </c>
      <c r="AX169" s="21">
        <f t="shared" si="166"/>
        <v>78.10381067333762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204.11804238362862</v>
      </c>
      <c r="BJ169" s="59">
        <f t="shared" si="146"/>
        <v>185.53854651509408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2.0064893263901098</v>
      </c>
      <c r="BQ169" s="21">
        <f>EXP(-LN(2)/25)*BQ168+(1-EXP(-LN(2)/25))/(LN(2)/25)*Calculateur!BL169*Calculateur!BN169*VLOOKUP('Données projet'!$B$11,Paramètres!$A$1:$I$89,3,0)*0.475*44/12</f>
        <v>6.4897939811890222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8.496283307579132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8.1599999999999984</v>
      </c>
      <c r="BY169" s="12">
        <f>IF('Données projet'!$A$114&gt;35,BY168+BX169-CG168,IF(A169&lt;'Données projet'!$A$114,$BV$205^A169,IF(A169='Données projet'!$A$114,'Données projet'!$B$114,BY168+BX169-CG168)))</f>
        <v>399.11999999999995</v>
      </c>
      <c r="BZ169" s="13">
        <f>BY169*VLOOKUP('Données projet'!$B$12,Paramètres!$A$1:$I$89,3,0)*VLOOKUP('Données projet'!$B$12,Paramètres!$A$1:$I$89,5,0)</f>
        <v>398.48140799999999</v>
      </c>
      <c r="CA169" s="13">
        <f t="shared" si="170"/>
        <v>91.468725876329685</v>
      </c>
      <c r="CB169" s="20">
        <f t="shared" si="171"/>
        <v>853.32981650127419</v>
      </c>
      <c r="CC169" s="59">
        <f t="shared" si="119"/>
        <v>1146.6631498346076</v>
      </c>
      <c r="CD169" s="59">
        <f ca="1">AVERAGE(OFFSET($CC$3,0,0,'Données projet'!$E$12+1,1))-AVERAGE(OFFSET($H$3,0,0,'Données projet'!$E$12+1,1))</f>
        <v>535.99935263833549</v>
      </c>
      <c r="CE169" s="59">
        <f t="shared" si="148"/>
        <v>245.89966477332644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26.782804446895376</v>
      </c>
      <c r="CL169" s="21">
        <f>EXP(-LN(2)/25)*CL168+(1-EXP(-LN(2)/25))/(LN(2)/25)*Calculateur!CG169*Calculateur!CI169*VLOOKUP('Données projet'!$B$12,Paramètres!$A$1:$I$89,3,0)*0.475*44/12</f>
        <v>23.81560279590316</v>
      </c>
      <c r="CM169" s="21">
        <f>EXP(-LN(2)/2)*CM168+(1-EXP(-LN(2)/2))/(LN(2)/2)*CG169*CJ169*VLOOKUP('Données projet'!$B$12,Paramètres!$A$1:$I$89,3,0)*0.475*44/12</f>
        <v>9.8078243725365368</v>
      </c>
      <c r="CN169" s="22">
        <f t="shared" si="172"/>
        <v>60.406231615335074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2.5579538487363607E-13</v>
      </c>
      <c r="CU169" s="17">
        <f>CT169*VLOOKUP('Données projet'!$B$13,Paramètres!$A$1:$I$89,3,0)*VLOOKUP('Données projet'!$B$13,Paramètres!$A$1:$I$89,5,0)</f>
        <v>2.4341488824575211E-13</v>
      </c>
      <c r="CV169" s="13">
        <f t="shared" si="173"/>
        <v>3.2970717324875541E-12</v>
      </c>
      <c r="CW169" s="20">
        <f t="shared" si="174"/>
        <v>6.1663475311105072E-12</v>
      </c>
      <c r="CX169" s="59">
        <f t="shared" si="122"/>
        <v>293.33333333333945</v>
      </c>
      <c r="CY169" s="59">
        <f ca="1">AVERAGE(OFFSET($CX$3,0,0,'Données projet'!$E$13+1,1))-AVERAGE(OFFSET($H$3,0,0,'Données projet'!$E$13+1,1))</f>
        <v>449.28947235329758</v>
      </c>
      <c r="CZ169" s="59">
        <f t="shared" si="150"/>
        <v>289.36994109443964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32.425868235009816</v>
      </c>
      <c r="DG169" s="21">
        <f>EXP(-LN(2)/25)*DG168+(1-EXP(-LN(2)/25))/(LN(2)/25)*Calculateur!DB169*Calculateur!DD169*VLOOKUP('Données projet'!$B$13,Paramètres!$A$1:$I$89,3,0)*0.475*44/12</f>
        <v>22.188967364870884</v>
      </c>
      <c r="DH169" s="21">
        <f>EXP(-LN(2)/2)*DH168+(1-EXP(-LN(2)/2))/(LN(2)/2)*DB169*DE169*VLOOKUP('Données projet'!$B$13,Paramètres!$A$1:$I$89,3,0)*0.475*44/12</f>
        <v>1.3676127691007121E-4</v>
      </c>
      <c r="DI169" s="22">
        <f t="shared" si="175"/>
        <v>54.614972361157612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5.6843418860808015E-14</v>
      </c>
      <c r="DP169" s="17">
        <f>DO169*VLOOKUP('Données projet'!$B$14,Paramètres!$A$1:$I$89,3,0)*VLOOKUP('Données projet'!$B$14,Paramètres!$A$1:$I$89,5,0)</f>
        <v>4.4337866711430253E-14</v>
      </c>
      <c r="DQ169" s="13">
        <f t="shared" si="176"/>
        <v>7.3222115536967035E-13</v>
      </c>
      <c r="DR169" s="20">
        <f t="shared" si="177"/>
        <v>1.3525069634579169E-12</v>
      </c>
      <c r="DS169" s="59">
        <f t="shared" si="125"/>
        <v>293.33333333333468</v>
      </c>
      <c r="DT169" s="59">
        <f ca="1">AVERAGE(OFFSET($DS$3,0,0,'Données projet'!$E$14+1,1))-AVERAGE(OFFSET($H$3,0,0,'Données projet'!$E$14+1,1))</f>
        <v>288.82868507674738</v>
      </c>
      <c r="DU169" s="59">
        <f t="shared" si="152"/>
        <v>283.48738729114024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6.2975407120797504</v>
      </c>
      <c r="EB169" s="21">
        <f>EXP(-LN(2)/25)*EB168+(1-EXP(-LN(2)/25))/(LN(2)/25)*Calculateur!DW169*Calculateur!DY169*VLOOKUP('Données projet'!$B$14,Paramètres!$A$1:$I$89,3,0)*0.475*44/12</f>
        <v>2.8754448814944777</v>
      </c>
      <c r="EC169" s="21">
        <f>EXP(-LN(2)/2)*EC168+(1-EXP(-LN(2)/2))/(LN(2)/2)*DW169*DZ169*VLOOKUP('Données projet'!$B$14,Paramètres!$A$1:$I$89,3,0)*0.475*44/12</f>
        <v>1.5262811426791766E-13</v>
      </c>
      <c r="ED169" s="22">
        <f t="shared" si="178"/>
        <v>9.1729855935743814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7.6783333333333319</v>
      </c>
      <c r="EJ169" s="12">
        <f>IF('Données projet'!$A$192&gt;35,EJ168+EI169-ER168,IF(A169&lt;'Données projet'!$A$192,$EG$205^A169,IF(A169='Données projet'!$A$192,'Données projet'!$B$192,EJ168+EI169-ER168)))</f>
        <v>420.29333333333301</v>
      </c>
      <c r="EK169" s="17">
        <f>EJ169*VLOOKUP('Données projet'!$B$15,Paramètres!$A$1:$I$89,3,0)*VLOOKUP('Données projet'!$B$15,Paramètres!$A$1:$I$89,5,0)</f>
        <v>406.50771199999974</v>
      </c>
      <c r="EL169" s="13">
        <f t="shared" si="179"/>
        <v>93.094762212339802</v>
      </c>
      <c r="EM169" s="20">
        <f t="shared" si="180"/>
        <v>870.14097591982454</v>
      </c>
      <c r="EN169" s="59">
        <f t="shared" si="128"/>
        <v>1163.4743092531578</v>
      </c>
      <c r="EO169" s="59">
        <f ca="1">AVERAGE(OFFSET($EN$3,0,0,'Données projet'!$E$15+1,1))-AVERAGE(OFFSET($H$3,0,0,'Données projet'!$E$15+1,1))</f>
        <v>510.71380643466227</v>
      </c>
      <c r="EP169" s="59">
        <f t="shared" si="154"/>
        <v>252.40654099948841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20.859593599962256</v>
      </c>
      <c r="EW169" s="21">
        <f>EXP(-LN(2)/25)*EW168+(1-EXP(-LN(2)/25))/(LN(2)/25)*Calculateur!ER169*Calculateur!ET169*VLOOKUP('Données projet'!$B$15,Paramètres!$A$1:$I$89,3,0)*0.475*44/12</f>
        <v>17.359588587949247</v>
      </c>
      <c r="EX169" s="21">
        <f>EXP(-LN(2)/2)*EX168+(1-EXP(-LN(2)/2))/(LN(2)/2)*ER169*EU169*VLOOKUP('Données projet'!$B$15,Paramètres!$A$1:$I$89,3,0)*0.475*44/12</f>
        <v>0.47521563729821553</v>
      </c>
      <c r="EY169" s="22">
        <f t="shared" si="181"/>
        <v>38.694397825209712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8.1599999999999984</v>
      </c>
      <c r="N170" s="13">
        <f>IF('Données projet'!$A$36&gt;35,N169+M170-V169,IF(A170&lt;'Données projet'!$A$36,$K$205^A170,IF(A170='Données projet'!$A$36,'Données projet'!$B$36,N169+M170-V169)))</f>
        <v>407.28</v>
      </c>
      <c r="O170" s="13">
        <f>N170*VLOOKUP('Données projet'!$B$9,Paramètres!$A$1:$I$89,3,0)*VLOOKUP('Données projet'!$B$9,Paramètres!$A$1:$I$89,5,0)</f>
        <v>412.98191999999995</v>
      </c>
      <c r="P170" s="13">
        <f t="shared" si="141"/>
        <v>94.403638017009442</v>
      </c>
      <c r="Q170" s="20">
        <f t="shared" si="162"/>
        <v>883.69651354629138</v>
      </c>
      <c r="R170" s="59">
        <f t="shared" si="109"/>
        <v>1177.0298468796248</v>
      </c>
      <c r="S170" s="59">
        <f ca="1">AVERAGE(OFFSET($R$3,0,0,'Données projet'!$E$9+1,1))-AVERAGE(OFFSET($H$3,0,0,'Données projet'!$E$9+1,1))</f>
        <v>543.67050511722618</v>
      </c>
      <c r="T170" s="59">
        <f t="shared" si="142"/>
        <v>249.0871389941106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37.335039201103726</v>
      </c>
      <c r="AA170" s="21">
        <f>EXP(-LN(2)/25)*AA169+(1-EXP(-LN(2)/25))/(LN(2)/25)*Calculateur!V170*Calculateur!X170*VLOOKUP('Données projet'!$B$9,Paramètres!$A$1:$I$89,3,0)*0.475*44/12</f>
        <v>22.338455403012642</v>
      </c>
      <c r="AB170" s="21">
        <f>EXP(-LN(2)/2)*AB169+(1-EXP(-LN(2)/2))/(LN(2)/2)*V170*Y170*VLOOKUP('Données projet'!$B$9,Paramètres!$A$1:$I$89,3,0)*0.475*44/12</f>
        <v>2.8174165185194799</v>
      </c>
      <c r="AC170" s="22">
        <f t="shared" si="163"/>
        <v>62.49091112263585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9.6220000000000034</v>
      </c>
      <c r="AI170" s="13">
        <f>IF('Données projet'!$A$62&gt;35,AI169+AH170-AQ169,IF(A170&lt;'Données projet'!$A$62,$AF$205^A170,IF(A170='Données projet'!$A$62,'Données projet'!$B$62,AI169+AH170-AQ169)))</f>
        <v>543.16600000000119</v>
      </c>
      <c r="AJ170" s="13">
        <f>AI170*VLOOKUP('Données projet'!$B$10,Paramètres!$A$1:$I$89,3,0)*VLOOKUP('Données projet'!$B$10,Paramètres!$A$1:$I$89,5,0)</f>
        <v>491.45659680000102</v>
      </c>
      <c r="AK170" s="13">
        <f t="shared" si="164"/>
        <v>110.09012381497753</v>
      </c>
      <c r="AL170" s="20">
        <f t="shared" si="165"/>
        <v>1047.6938717377543</v>
      </c>
      <c r="AM170" s="59">
        <f t="shared" si="113"/>
        <v>1341.0272050710876</v>
      </c>
      <c r="AN170" s="59">
        <f ca="1">AVERAGE(OFFSET($AM$3,0,0,'Données projet'!$E$10+1,1))-AVERAGE(OFFSET($H$3,0,0,'Données projet'!$E$10+1,1))</f>
        <v>635.71275911100679</v>
      </c>
      <c r="AO170" s="59">
        <f t="shared" si="144"/>
        <v>281.7776857269169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55.232113433722205</v>
      </c>
      <c r="AV170" s="21">
        <f>EXP(-LN(2)/25)*AV169+(1-EXP(-LN(2)/25))/(LN(2)/25)*Calculateur!AQ170*Calculateur!AS170*VLOOKUP('Données projet'!$B$10,Paramètres!$A$1:$I$89,3,0)*0.475*44/12</f>
        <v>21.171744878952261</v>
      </c>
      <c r="AW170" s="21">
        <f>EXP(-LN(2)/2)*AW169+(1-EXP(-LN(2)/2))/(LN(2)/2)*AQ170*AT170*VLOOKUP('Données projet'!$B$10,Paramètres!$A$1:$I$89,3,0)*0.475*44/12</f>
        <v>1.7216078382820342E-6</v>
      </c>
      <c r="AX170" s="21">
        <f t="shared" si="166"/>
        <v>76.403860034282303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204.11804238362862</v>
      </c>
      <c r="BJ170" s="59">
        <f t="shared" si="146"/>
        <v>185.53854651509408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1.9671432945372449</v>
      </c>
      <c r="BQ170" s="21">
        <f>EXP(-LN(2)/25)*BQ169+(1-EXP(-LN(2)/25))/(LN(2)/25)*Calculateur!BL170*Calculateur!BN170*VLOOKUP('Données projet'!$B$11,Paramètres!$A$1:$I$89,3,0)*0.475*44/12</f>
        <v>6.3123302234899752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8.2794735180272205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8.1599999999999984</v>
      </c>
      <c r="BY170" s="12">
        <f>IF('Données projet'!$A$114&gt;35,BY169+BX170-CG169,IF(A170&lt;'Données projet'!$A$114,$BV$205^A170,IF(A170='Données projet'!$A$114,'Données projet'!$B$114,BY169+BX170-CG169)))</f>
        <v>407.28</v>
      </c>
      <c r="BZ170" s="13">
        <f>BY170*VLOOKUP('Données projet'!$B$12,Paramètres!$A$1:$I$89,3,0)*VLOOKUP('Données projet'!$B$12,Paramètres!$A$1:$I$89,5,0)</f>
        <v>406.62835200000001</v>
      </c>
      <c r="CA170" s="13">
        <f t="shared" si="170"/>
        <v>93.119173798173449</v>
      </c>
      <c r="CB170" s="20">
        <f t="shared" si="171"/>
        <v>870.39360743181862</v>
      </c>
      <c r="CC170" s="59">
        <f t="shared" si="119"/>
        <v>1163.726940765152</v>
      </c>
      <c r="CD170" s="59">
        <f ca="1">AVERAGE(OFFSET($CC$3,0,0,'Données projet'!$E$12+1,1))-AVERAGE(OFFSET($H$3,0,0,'Données projet'!$E$12+1,1))</f>
        <v>535.99935263833549</v>
      </c>
      <c r="CE170" s="59">
        <f t="shared" si="148"/>
        <v>245.89966477332644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26.257609987589436</v>
      </c>
      <c r="CL170" s="21">
        <f>EXP(-LN(2)/25)*CL169+(1-EXP(-LN(2)/25))/(LN(2)/25)*Calculateur!CG170*Calculateur!CI170*VLOOKUP('Données projet'!$B$12,Paramètres!$A$1:$I$89,3,0)*0.475*44/12</f>
        <v>23.16436388504107</v>
      </c>
      <c r="CM170" s="21">
        <f>EXP(-LN(2)/2)*CM169+(1-EXP(-LN(2)/2))/(LN(2)/2)*CG170*CJ170*VLOOKUP('Données projet'!$B$12,Paramètres!$A$1:$I$89,3,0)*0.475*44/12</f>
        <v>6.9351791225072814</v>
      </c>
      <c r="CN170" s="22">
        <f t="shared" si="172"/>
        <v>56.357152995137781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2.5579538487363607E-13</v>
      </c>
      <c r="CU170" s="17">
        <f>CT170*VLOOKUP('Données projet'!$B$13,Paramètres!$A$1:$I$89,3,0)*VLOOKUP('Données projet'!$B$13,Paramètres!$A$1:$I$89,5,0)</f>
        <v>2.4341488824575211E-13</v>
      </c>
      <c r="CV170" s="13">
        <f t="shared" si="173"/>
        <v>3.2970717324875541E-12</v>
      </c>
      <c r="CW170" s="20">
        <f t="shared" si="174"/>
        <v>6.1663475311105072E-12</v>
      </c>
      <c r="CX170" s="59">
        <f t="shared" si="122"/>
        <v>293.33333333333945</v>
      </c>
      <c r="CY170" s="59">
        <f ca="1">AVERAGE(OFFSET($CX$3,0,0,'Données projet'!$E$13+1,1))-AVERAGE(OFFSET($H$3,0,0,'Données projet'!$E$13+1,1))</f>
        <v>449.28947235329758</v>
      </c>
      <c r="CZ170" s="59">
        <f t="shared" si="150"/>
        <v>289.36994109443964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31.790016736747997</v>
      </c>
      <c r="DG170" s="21">
        <f>EXP(-LN(2)/25)*DG169+(1-EXP(-LN(2)/25))/(LN(2)/25)*Calculateur!DB170*Calculateur!DD170*VLOOKUP('Données projet'!$B$13,Paramètres!$A$1:$I$89,3,0)*0.475*44/12</f>
        <v>21.582208885411408</v>
      </c>
      <c r="DH170" s="21">
        <f>EXP(-LN(2)/2)*DH169+(1-EXP(-LN(2)/2))/(LN(2)/2)*DB170*DE170*VLOOKUP('Données projet'!$B$13,Paramètres!$A$1:$I$89,3,0)*0.475*44/12</f>
        <v>9.6704826306842558E-5</v>
      </c>
      <c r="DI170" s="22">
        <f t="shared" si="175"/>
        <v>53.37232232698571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5.6843418860808015E-14</v>
      </c>
      <c r="DP170" s="17">
        <f>DO170*VLOOKUP('Données projet'!$B$14,Paramètres!$A$1:$I$89,3,0)*VLOOKUP('Données projet'!$B$14,Paramètres!$A$1:$I$89,5,0)</f>
        <v>4.4337866711430253E-14</v>
      </c>
      <c r="DQ170" s="13">
        <f t="shared" si="176"/>
        <v>7.3222115536967035E-13</v>
      </c>
      <c r="DR170" s="20">
        <f t="shared" si="177"/>
        <v>1.3525069634579169E-12</v>
      </c>
      <c r="DS170" s="59">
        <f t="shared" si="125"/>
        <v>293.33333333333468</v>
      </c>
      <c r="DT170" s="59">
        <f ca="1">AVERAGE(OFFSET($DS$3,0,0,'Données projet'!$E$14+1,1))-AVERAGE(OFFSET($H$3,0,0,'Données projet'!$E$14+1,1))</f>
        <v>288.82868507674738</v>
      </c>
      <c r="DU170" s="59">
        <f t="shared" si="152"/>
        <v>283.48738729114024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6.1740497798364213</v>
      </c>
      <c r="EB170" s="21">
        <f>EXP(-LN(2)/25)*EB169+(1-EXP(-LN(2)/25))/(LN(2)/25)*Calculateur!DW170*Calculateur!DY170*VLOOKUP('Données projet'!$B$14,Paramètres!$A$1:$I$89,3,0)*0.475*44/12</f>
        <v>2.796815689996937</v>
      </c>
      <c r="EC170" s="21">
        <f>EXP(-LN(2)/2)*EC169+(1-EXP(-LN(2)/2))/(LN(2)/2)*DW170*DZ170*VLOOKUP('Données projet'!$B$14,Paramètres!$A$1:$I$89,3,0)*0.475*44/12</f>
        <v>1.0792437459855983E-13</v>
      </c>
      <c r="ED170" s="22">
        <f t="shared" si="178"/>
        <v>8.9708654698334662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7.6783333333333319</v>
      </c>
      <c r="EJ170" s="12">
        <f>IF('Données projet'!$A$192&gt;35,EJ169+EI170-ER169,IF(A170&lt;'Données projet'!$A$192,$EG$205^A170,IF(A170='Données projet'!$A$192,'Données projet'!$B$192,EJ169+EI170-ER169)))</f>
        <v>427.97166666666635</v>
      </c>
      <c r="EK170" s="17">
        <f>EJ170*VLOOKUP('Données projet'!$B$15,Paramètres!$A$1:$I$89,3,0)*VLOOKUP('Données projet'!$B$15,Paramètres!$A$1:$I$89,5,0)</f>
        <v>413.9341959999997</v>
      </c>
      <c r="EL170" s="13">
        <f t="shared" si="179"/>
        <v>94.595955161317576</v>
      </c>
      <c r="EM170" s="20">
        <f t="shared" si="180"/>
        <v>885.69001327262743</v>
      </c>
      <c r="EN170" s="59">
        <f t="shared" si="128"/>
        <v>1179.0233466059608</v>
      </c>
      <c r="EO170" s="59">
        <f ca="1">AVERAGE(OFFSET($EN$3,0,0,'Données projet'!$E$15+1,1))-AVERAGE(OFFSET($H$3,0,0,'Données projet'!$E$15+1,1))</f>
        <v>510.71380643466227</v>
      </c>
      <c r="EP170" s="59">
        <f t="shared" si="154"/>
        <v>252.40654099948841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20.450549692562792</v>
      </c>
      <c r="EW170" s="21">
        <f>EXP(-LN(2)/25)*EW169+(1-EXP(-LN(2)/25))/(LN(2)/25)*Calculateur!ER170*Calculateur!ET170*VLOOKUP('Données projet'!$B$15,Paramètres!$A$1:$I$89,3,0)*0.475*44/12</f>
        <v>16.884889725110686</v>
      </c>
      <c r="EX170" s="21">
        <f>EXP(-LN(2)/2)*EX169+(1-EXP(-LN(2)/2))/(LN(2)/2)*ER170*EU170*VLOOKUP('Données projet'!$B$15,Paramètres!$A$1:$I$89,3,0)*0.475*44/12</f>
        <v>0.33602819965945502</v>
      </c>
      <c r="EY170" s="22">
        <f t="shared" si="181"/>
        <v>37.671467617332929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8.1599999999999984</v>
      </c>
      <c r="N171" s="13">
        <f>IF('Données projet'!$A$36&gt;35,N170+M171-V170,IF(A171&lt;'Données projet'!$A$36,$K$205^A171,IF(A171='Données projet'!$A$36,'Données projet'!$B$36,N170+M171-V170)))</f>
        <v>415.44</v>
      </c>
      <c r="O171" s="13">
        <f>N171*VLOOKUP('Données projet'!$B$9,Paramètres!$A$1:$I$89,3,0)*VLOOKUP('Données projet'!$B$9,Paramètres!$A$1:$I$89,5,0)</f>
        <v>421.25616000000002</v>
      </c>
      <c r="P171" s="13">
        <f t="shared" si="141"/>
        <v>96.072953976543531</v>
      </c>
      <c r="Q171" s="20">
        <f t="shared" si="162"/>
        <v>901.01487350914658</v>
      </c>
      <c r="R171" s="59">
        <f t="shared" si="109"/>
        <v>1194.3482068424798</v>
      </c>
      <c r="S171" s="59">
        <f ca="1">AVERAGE(OFFSET($R$3,0,0,'Données projet'!$E$9+1,1))-AVERAGE(OFFSET($H$3,0,0,'Données projet'!$E$9+1,1))</f>
        <v>543.67050511722618</v>
      </c>
      <c r="T171" s="59">
        <f t="shared" si="142"/>
        <v>249.0871389941106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36.602921854495435</v>
      </c>
      <c r="AA171" s="21">
        <f>EXP(-LN(2)/25)*AA170+(1-EXP(-LN(2)/25))/(LN(2)/25)*Calculateur!V171*Calculateur!X171*VLOOKUP('Données projet'!$B$9,Paramètres!$A$1:$I$89,3,0)*0.475*44/12</f>
        <v>21.727609165288946</v>
      </c>
      <c r="AB171" s="21">
        <f>EXP(-LN(2)/2)*AB170+(1-EXP(-LN(2)/2))/(LN(2)/2)*V171*Y171*VLOOKUP('Données projet'!$B$9,Paramètres!$A$1:$I$89,3,0)*0.475*44/12</f>
        <v>1.9922143256721185</v>
      </c>
      <c r="AC171" s="22">
        <f t="shared" si="163"/>
        <v>60.322745345456497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9.6220000000000034</v>
      </c>
      <c r="AI171" s="13">
        <f>IF('Données projet'!$A$62&gt;35,AI170+AH171-AQ170,IF(A171&lt;'Données projet'!$A$62,$AF$205^A171,IF(A171='Données projet'!$A$62,'Données projet'!$B$62,AI170+AH171-AQ170)))</f>
        <v>552.78800000000115</v>
      </c>
      <c r="AJ171" s="13">
        <f>AI171*VLOOKUP('Données projet'!$B$10,Paramètres!$A$1:$I$89,3,0)*VLOOKUP('Données projet'!$B$10,Paramètres!$A$1:$I$89,5,0)</f>
        <v>500.16258240000104</v>
      </c>
      <c r="AK171" s="13">
        <f t="shared" si="164"/>
        <v>111.81156339666074</v>
      </c>
      <c r="AL171" s="20">
        <f t="shared" si="165"/>
        <v>1065.8549705958526</v>
      </c>
      <c r="AM171" s="59">
        <f t="shared" si="113"/>
        <v>1359.1883039291858</v>
      </c>
      <c r="AN171" s="59">
        <f ca="1">AVERAGE(OFFSET($AM$3,0,0,'Données projet'!$E$10+1,1))-AVERAGE(OFFSET($H$3,0,0,'Données projet'!$E$10+1,1))</f>
        <v>635.71275911100679</v>
      </c>
      <c r="AO171" s="59">
        <f t="shared" si="144"/>
        <v>281.7776857269169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54.149045377549669</v>
      </c>
      <c r="AV171" s="21">
        <f>EXP(-LN(2)/25)*AV170+(1-EXP(-LN(2)/25))/(LN(2)/25)*Calculateur!AQ171*Calculateur!AS171*VLOOKUP('Données projet'!$B$10,Paramètres!$A$1:$I$89,3,0)*0.475*44/12</f>
        <v>20.592802401863636</v>
      </c>
      <c r="AW171" s="21">
        <f>EXP(-LN(2)/2)*AW170+(1-EXP(-LN(2)/2))/(LN(2)/2)*AQ171*AT171*VLOOKUP('Données projet'!$B$10,Paramètres!$A$1:$I$89,3,0)*0.475*44/12</f>
        <v>1.2173605769931395E-6</v>
      </c>
      <c r="AX171" s="21">
        <f t="shared" si="166"/>
        <v>74.741848996773882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204.11804238362862</v>
      </c>
      <c r="BJ171" s="59">
        <f t="shared" si="146"/>
        <v>185.53854651509408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1.928568814370305</v>
      </c>
      <c r="BQ171" s="21">
        <f>EXP(-LN(2)/25)*BQ170+(1-EXP(-LN(2)/25))/(LN(2)/25)*Calculateur!BL171*Calculateur!BN171*VLOOKUP('Données projet'!$B$11,Paramètres!$A$1:$I$89,3,0)*0.475*44/12</f>
        <v>6.1397192215776224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8.0682880359479281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8.1599999999999984</v>
      </c>
      <c r="BY171" s="12">
        <f>IF('Données projet'!$A$114&gt;35,BY170+BX171-CG170,IF(A171&lt;'Données projet'!$A$114,$BV$205^A171,IF(A171='Données projet'!$A$114,'Données projet'!$B$114,BY170+BX171-CG170)))</f>
        <v>415.44</v>
      </c>
      <c r="BZ171" s="13">
        <f>BY171*VLOOKUP('Données projet'!$B$12,Paramètres!$A$1:$I$89,3,0)*VLOOKUP('Données projet'!$B$12,Paramètres!$A$1:$I$89,5,0)</f>
        <v>414.77529600000003</v>
      </c>
      <c r="CA171" s="13">
        <f t="shared" si="170"/>
        <v>94.765776897642056</v>
      </c>
      <c r="CB171" s="20">
        <f t="shared" si="171"/>
        <v>887.45070196339327</v>
      </c>
      <c r="CC171" s="59">
        <f t="shared" si="119"/>
        <v>1180.7840352967266</v>
      </c>
      <c r="CD171" s="59">
        <f ca="1">AVERAGE(OFFSET($CC$3,0,0,'Données projet'!$E$12+1,1))-AVERAGE(OFFSET($H$3,0,0,'Données projet'!$E$12+1,1))</f>
        <v>535.99935263833549</v>
      </c>
      <c r="CE171" s="59">
        <f t="shared" si="148"/>
        <v>245.89966477332644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25.742714271293494</v>
      </c>
      <c r="CL171" s="21">
        <f>EXP(-LN(2)/25)*CL170+(1-EXP(-LN(2)/25))/(LN(2)/25)*Calculateur!CG171*Calculateur!CI171*VLOOKUP('Données projet'!$B$12,Paramètres!$A$1:$I$89,3,0)*0.475*44/12</f>
        <v>22.530933136443668</v>
      </c>
      <c r="CM171" s="21">
        <f>EXP(-LN(2)/2)*CM170+(1-EXP(-LN(2)/2))/(LN(2)/2)*CG171*CJ171*VLOOKUP('Données projet'!$B$12,Paramètres!$A$1:$I$89,3,0)*0.475*44/12</f>
        <v>4.9039121862682693</v>
      </c>
      <c r="CN171" s="22">
        <f t="shared" si="172"/>
        <v>53.17755959400543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2.5579538487363607E-13</v>
      </c>
      <c r="CU171" s="17">
        <f>CT171*VLOOKUP('Données projet'!$B$13,Paramètres!$A$1:$I$89,3,0)*VLOOKUP('Données projet'!$B$13,Paramètres!$A$1:$I$89,5,0)</f>
        <v>2.4341488824575211E-13</v>
      </c>
      <c r="CV171" s="13">
        <f t="shared" si="173"/>
        <v>3.2970717324875541E-12</v>
      </c>
      <c r="CW171" s="20">
        <f t="shared" si="174"/>
        <v>6.1663475311105072E-12</v>
      </c>
      <c r="CX171" s="59">
        <f t="shared" si="122"/>
        <v>293.33333333333945</v>
      </c>
      <c r="CY171" s="59">
        <f ca="1">AVERAGE(OFFSET($CX$3,0,0,'Données projet'!$E$13+1,1))-AVERAGE(OFFSET($H$3,0,0,'Données projet'!$E$13+1,1))</f>
        <v>449.28947235329758</v>
      </c>
      <c r="CZ171" s="59">
        <f t="shared" si="150"/>
        <v>289.36994109443964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31.166633898535977</v>
      </c>
      <c r="DG171" s="21">
        <f>EXP(-LN(2)/25)*DG170+(1-EXP(-LN(2)/25))/(LN(2)/25)*Calculateur!DB171*Calculateur!DD171*VLOOKUP('Données projet'!$B$13,Paramètres!$A$1:$I$89,3,0)*0.475*44/12</f>
        <v>20.992042248480793</v>
      </c>
      <c r="DH171" s="21">
        <f>EXP(-LN(2)/2)*DH170+(1-EXP(-LN(2)/2))/(LN(2)/2)*DB171*DE171*VLOOKUP('Données projet'!$B$13,Paramètres!$A$1:$I$89,3,0)*0.475*44/12</f>
        <v>6.8380638455035604E-5</v>
      </c>
      <c r="DI171" s="22">
        <f t="shared" si="175"/>
        <v>52.158744527655223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5.6843418860808015E-14</v>
      </c>
      <c r="DP171" s="17">
        <f>DO171*VLOOKUP('Données projet'!$B$14,Paramètres!$A$1:$I$89,3,0)*VLOOKUP('Données projet'!$B$14,Paramètres!$A$1:$I$89,5,0)</f>
        <v>4.4337866711430253E-14</v>
      </c>
      <c r="DQ171" s="13">
        <f t="shared" si="176"/>
        <v>7.3222115536967035E-13</v>
      </c>
      <c r="DR171" s="20">
        <f t="shared" si="177"/>
        <v>1.3525069634579169E-12</v>
      </c>
      <c r="DS171" s="59">
        <f t="shared" si="125"/>
        <v>293.33333333333468</v>
      </c>
      <c r="DT171" s="59">
        <f ca="1">AVERAGE(OFFSET($DS$3,0,0,'Données projet'!$E$14+1,1))-AVERAGE(OFFSET($H$3,0,0,'Données projet'!$E$14+1,1))</f>
        <v>288.82868507674738</v>
      </c>
      <c r="DU171" s="59">
        <f t="shared" si="152"/>
        <v>283.48738729114024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6.0529804294523535</v>
      </c>
      <c r="EB171" s="21">
        <f>EXP(-LN(2)/25)*EB170+(1-EXP(-LN(2)/25))/(LN(2)/25)*Calculateur!DW171*Calculateur!DY171*VLOOKUP('Données projet'!$B$14,Paramètres!$A$1:$I$89,3,0)*0.475*44/12</f>
        <v>2.7203366178758257</v>
      </c>
      <c r="EC171" s="21">
        <f>EXP(-LN(2)/2)*EC170+(1-EXP(-LN(2)/2))/(LN(2)/2)*DW171*DZ171*VLOOKUP('Données projet'!$B$14,Paramètres!$A$1:$I$89,3,0)*0.475*44/12</f>
        <v>7.6314057133958831E-14</v>
      </c>
      <c r="ED171" s="22">
        <f t="shared" si="178"/>
        <v>8.7733170473282556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>
        <f>VLOOKUP(A171,'Données projet'!$A$191:$I$211,2,0)</f>
        <v>435.65</v>
      </c>
      <c r="EH171" s="12">
        <f>VLOOKUP(A171,'Données projet'!$A$191:$I$211,9,0)</f>
        <v>7.6783333333333319</v>
      </c>
      <c r="EI171" s="12">
        <f t="array" ref="EI171">INDEX(EH:EH,MIN(IF(ISNUMBER(EH171:EH367),ROW(EH171:EH367),"")))</f>
        <v>7.6783333333333319</v>
      </c>
      <c r="EJ171" s="12">
        <f>IF('Données projet'!$A$192&gt;35,EJ170+EI171-ER170,IF(A171&lt;'Données projet'!$A$192,$EG$205^A171,IF(A171='Données projet'!$A$192,'Données projet'!$B$192,EJ170+EI171-ER170)))</f>
        <v>435.64999999999969</v>
      </c>
      <c r="EK171" s="17">
        <f>EJ171*VLOOKUP('Données projet'!$B$15,Paramètres!$A$1:$I$89,3,0)*VLOOKUP('Données projet'!$B$15,Paramètres!$A$1:$I$89,5,0)</f>
        <v>421.36067999999966</v>
      </c>
      <c r="EL171" s="13">
        <f t="shared" si="179"/>
        <v>96.094016175803517</v>
      </c>
      <c r="EM171" s="20">
        <f t="shared" si="180"/>
        <v>901.23359583952379</v>
      </c>
      <c r="EN171" s="59">
        <f t="shared" si="128"/>
        <v>1194.566929172857</v>
      </c>
      <c r="EO171" s="59">
        <f ca="1">AVERAGE(OFFSET($EN$3,0,0,'Données projet'!$E$15+1,1))-AVERAGE(OFFSET($H$3,0,0,'Données projet'!$E$15+1,1))</f>
        <v>510.71380643466227</v>
      </c>
      <c r="EP171" s="59">
        <f t="shared" si="154"/>
        <v>252.40654099948841</v>
      </c>
      <c r="EQ171" s="15">
        <f>IF(ISNA(VLOOKUP(A171,'Données projet'!$A$191:$I$211,3,0)),0,VLOOKUP(A171,'Données projet'!$A$191:$I$211,3,0))</f>
        <v>12</v>
      </c>
      <c r="ER171" s="15">
        <f>IF(ISNA(VLOOKUP(A171,'Données projet'!$A$191:$I$211,4,0)),0,VLOOKUP(A171,'Données projet'!$A$191:$I$211,4,0))</f>
        <v>71.37</v>
      </c>
      <c r="ES171" s="16">
        <f>IF(ISNA(VLOOKUP(A171,'Données projet'!$A$191:$I$211,5,0)),0%,VLOOKUP(A171,'Données projet'!$A$191:$I$211,5,0)*VLOOKUP('Données projet'!$B$15,Paramètres!$A$1:$I$89,7,0))</f>
        <v>0.1075</v>
      </c>
      <c r="ET171" s="16">
        <f>IF(ISNA(VLOOKUP(A171,'Données projet'!$A$191:$I$211,6,0)),0%,VLOOKUP(A171,'Données projet'!$A$191:$I$211,6,0)*VLOOKUP('Données projet'!$B$15,Paramètres!$A$1:$I$89,7,0))</f>
        <v>0.1075</v>
      </c>
      <c r="EU171" s="16">
        <f>IF(ISNA(VLOOKUP(A171,'Données projet'!$A$191:$I$211,7,0)),0%,VLOOKUP(A171,'Données projet'!$A$191:$I$211,7,0))</f>
        <v>0.25</v>
      </c>
      <c r="EV171" s="21">
        <f>EXP(-LN(2)/35)*EV170+(1-EXP(-LN(2)/35))/(LN(2)/35)*ER171*ES171*VLOOKUP('Données projet'!$B$15,Paramètres!$A$1:$I$89,3,0)*0.475*44/12</f>
        <v>28.252807336425349</v>
      </c>
      <c r="EW171" s="21">
        <f>EXP(-LN(2)/25)*EW170+(1-EXP(-LN(2)/25))/(LN(2)/25)*Calculateur!ER171*Calculateur!ET171*VLOOKUP('Données projet'!$B$15,Paramètres!$A$1:$I$89,3,0)*0.475*44/12</f>
        <v>24.59415253654435</v>
      </c>
      <c r="EX171" s="21">
        <f>EXP(-LN(2)/2)*EX170+(1-EXP(-LN(2)/2))/(LN(2)/2)*ER171*EU171*VLOOKUP('Données projet'!$B$15,Paramètres!$A$1:$I$89,3,0)*0.475*44/12</f>
        <v>16.520302762153577</v>
      </c>
      <c r="EY171" s="22">
        <f t="shared" si="181"/>
        <v>69.367262635123268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8.1599999999999984</v>
      </c>
      <c r="N172" s="13">
        <f>IF('Données projet'!$A$36&gt;35,N171+M172-V171,IF(A172&lt;'Données projet'!$A$36,$K$205^A172,IF(A172='Données projet'!$A$36,'Données projet'!$B$36,N171+M172-V171)))</f>
        <v>423.6</v>
      </c>
      <c r="O172" s="13">
        <f>N172*VLOOKUP('Données projet'!$B$9,Paramètres!$A$1:$I$89,3,0)*VLOOKUP('Données projet'!$B$9,Paramètres!$A$1:$I$89,5,0)</f>
        <v>429.53040000000004</v>
      </c>
      <c r="P172" s="13">
        <f t="shared" si="141"/>
        <v>97.738457465291802</v>
      </c>
      <c r="Q172" s="20">
        <f t="shared" si="162"/>
        <v>918.32659341871658</v>
      </c>
      <c r="R172" s="59">
        <f t="shared" si="109"/>
        <v>1211.6599267520498</v>
      </c>
      <c r="S172" s="59">
        <f ca="1">AVERAGE(OFFSET($R$3,0,0,'Données projet'!$E$9+1,1))-AVERAGE(OFFSET($H$3,0,0,'Données projet'!$E$9+1,1))</f>
        <v>543.67050511722618</v>
      </c>
      <c r="T172" s="59">
        <f t="shared" si="142"/>
        <v>249.0871389941106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35.885160882506639</v>
      </c>
      <c r="AA172" s="21">
        <f>EXP(-LN(2)/25)*AA171+(1-EXP(-LN(2)/25))/(LN(2)/25)*Calculateur!V172*Calculateur!X172*VLOOKUP('Données projet'!$B$9,Paramètres!$A$1:$I$89,3,0)*0.475*44/12</f>
        <v>21.133466550058813</v>
      </c>
      <c r="AB172" s="21">
        <f>EXP(-LN(2)/2)*AB171+(1-EXP(-LN(2)/2))/(LN(2)/2)*V172*Y172*VLOOKUP('Données projet'!$B$9,Paramètres!$A$1:$I$89,3,0)*0.475*44/12</f>
        <v>1.4087082592597402</v>
      </c>
      <c r="AC172" s="22">
        <f t="shared" si="163"/>
        <v>58.427335691825192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9.6220000000000034</v>
      </c>
      <c r="AI172" s="13">
        <f>IF('Données projet'!$A$62&gt;35,AI171+AH172-AQ171,IF(A172&lt;'Données projet'!$A$62,$AF$205^A172,IF(A172='Données projet'!$A$62,'Données projet'!$B$62,AI171+AH172-AQ171)))</f>
        <v>562.41000000000111</v>
      </c>
      <c r="AJ172" s="13">
        <f>AI172*VLOOKUP('Données projet'!$B$10,Paramètres!$A$1:$I$89,3,0)*VLOOKUP('Données projet'!$B$10,Paramètres!$A$1:$I$89,5,0)</f>
        <v>508.86856800000095</v>
      </c>
      <c r="AK172" s="13">
        <f t="shared" si="164"/>
        <v>113.52951852374844</v>
      </c>
      <c r="AL172" s="20">
        <f t="shared" si="165"/>
        <v>1084.0100006955302</v>
      </c>
      <c r="AM172" s="59">
        <f t="shared" si="113"/>
        <v>1377.3433340288634</v>
      </c>
      <c r="AN172" s="59">
        <f ca="1">AVERAGE(OFFSET($AM$3,0,0,'Données projet'!$E$10+1,1))-AVERAGE(OFFSET($H$3,0,0,'Données projet'!$E$10+1,1))</f>
        <v>635.71275911100679</v>
      </c>
      <c r="AO172" s="59">
        <f t="shared" si="144"/>
        <v>281.7776857269169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53.087215625352393</v>
      </c>
      <c r="AV172" s="21">
        <f>EXP(-LN(2)/25)*AV171+(1-EXP(-LN(2)/25))/(LN(2)/25)*Calculateur!AQ172*Calculateur!AS172*VLOOKUP('Données projet'!$B$10,Paramètres!$A$1:$I$89,3,0)*0.475*44/12</f>
        <v>20.029691137256261</v>
      </c>
      <c r="AW172" s="21">
        <f>EXP(-LN(2)/2)*AW171+(1-EXP(-LN(2)/2))/(LN(2)/2)*AQ172*AT172*VLOOKUP('Données projet'!$B$10,Paramètres!$A$1:$I$89,3,0)*0.475*44/12</f>
        <v>8.6080391914101712E-7</v>
      </c>
      <c r="AX172" s="21">
        <f t="shared" si="166"/>
        <v>73.116907623412573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204.11804238362862</v>
      </c>
      <c r="BJ172" s="59">
        <f t="shared" si="146"/>
        <v>185.53854651509408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1.890750756231329</v>
      </c>
      <c r="BQ172" s="21">
        <f>EXP(-LN(2)/25)*BQ171+(1-EXP(-LN(2)/25))/(LN(2)/25)*Calculateur!BL172*Calculateur!BN172*VLOOKUP('Données projet'!$B$11,Paramètres!$A$1:$I$89,3,0)*0.475*44/12</f>
        <v>5.9718282765897808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7.8625790328211096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8.1599999999999984</v>
      </c>
      <c r="BY172" s="12">
        <f>IF('Données projet'!$A$114&gt;35,BY171+BX172-CG171,IF(A172&lt;'Données projet'!$A$114,$BV$205^A172,IF(A172='Données projet'!$A$114,'Données projet'!$B$114,BY171+BX172-CG171)))</f>
        <v>423.6</v>
      </c>
      <c r="BZ172" s="13">
        <f>BY172*VLOOKUP('Données projet'!$B$12,Paramètres!$A$1:$I$89,3,0)*VLOOKUP('Données projet'!$B$12,Paramètres!$A$1:$I$89,5,0)</f>
        <v>422.9222400000001</v>
      </c>
      <c r="CA172" s="13">
        <f t="shared" si="170"/>
        <v>96.408619399138445</v>
      </c>
      <c r="CB172" s="20">
        <f t="shared" si="171"/>
        <v>904.50124678683278</v>
      </c>
      <c r="CC172" s="59">
        <f t="shared" si="119"/>
        <v>1197.834580120166</v>
      </c>
      <c r="CD172" s="59">
        <f ca="1">AVERAGE(OFFSET($CC$3,0,0,'Données projet'!$E$12+1,1))-AVERAGE(OFFSET($H$3,0,0,'Données projet'!$E$12+1,1))</f>
        <v>535.99935263833549</v>
      </c>
      <c r="CE172" s="59">
        <f t="shared" si="148"/>
        <v>245.89966477332644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25.237915345938738</v>
      </c>
      <c r="CL172" s="21">
        <f>EXP(-LN(2)/25)*CL171+(1-EXP(-LN(2)/25))/(LN(2)/25)*Calculateur!CG172*Calculateur!CI172*VLOOKUP('Données projet'!$B$12,Paramètres!$A$1:$I$89,3,0)*0.475*44/12</f>
        <v>21.914823584977338</v>
      </c>
      <c r="CM172" s="21">
        <f>EXP(-LN(2)/2)*CM171+(1-EXP(-LN(2)/2))/(LN(2)/2)*CG172*CJ172*VLOOKUP('Données projet'!$B$12,Paramètres!$A$1:$I$89,3,0)*0.475*44/12</f>
        <v>3.4675895612536412</v>
      </c>
      <c r="CN172" s="22">
        <f t="shared" si="172"/>
        <v>50.620328492169712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2.5579538487363607E-13</v>
      </c>
      <c r="CU172" s="17">
        <f>CT172*VLOOKUP('Données projet'!$B$13,Paramètres!$A$1:$I$89,3,0)*VLOOKUP('Données projet'!$B$13,Paramètres!$A$1:$I$89,5,0)</f>
        <v>2.4341488824575211E-13</v>
      </c>
      <c r="CV172" s="13">
        <f t="shared" si="173"/>
        <v>3.2970717324875541E-12</v>
      </c>
      <c r="CW172" s="20">
        <f t="shared" si="174"/>
        <v>6.1663475311105072E-12</v>
      </c>
      <c r="CX172" s="59">
        <f t="shared" si="122"/>
        <v>293.33333333333945</v>
      </c>
      <c r="CY172" s="59">
        <f ca="1">AVERAGE(OFFSET($CX$3,0,0,'Données projet'!$E$13+1,1))-AVERAGE(OFFSET($H$3,0,0,'Données projet'!$E$13+1,1))</f>
        <v>449.28947235329758</v>
      </c>
      <c r="CZ172" s="59">
        <f t="shared" si="150"/>
        <v>289.36994109443964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30.555475217555305</v>
      </c>
      <c r="DG172" s="21">
        <f>EXP(-LN(2)/25)*DG171+(1-EXP(-LN(2)/25))/(LN(2)/25)*Calculateur!DB172*Calculateur!DD172*VLOOKUP('Données projet'!$B$13,Paramètres!$A$1:$I$89,3,0)*0.475*44/12</f>
        <v>20.418013749272561</v>
      </c>
      <c r="DH172" s="21">
        <f>EXP(-LN(2)/2)*DH171+(1-EXP(-LN(2)/2))/(LN(2)/2)*DB172*DE172*VLOOKUP('Données projet'!$B$13,Paramètres!$A$1:$I$89,3,0)*0.475*44/12</f>
        <v>4.8352413153421279E-5</v>
      </c>
      <c r="DI172" s="22">
        <f t="shared" si="175"/>
        <v>50.973537319241018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5.6843418860808015E-14</v>
      </c>
      <c r="DP172" s="17">
        <f>DO172*VLOOKUP('Données projet'!$B$14,Paramètres!$A$1:$I$89,3,0)*VLOOKUP('Données projet'!$B$14,Paramètres!$A$1:$I$89,5,0)</f>
        <v>4.4337866711430253E-14</v>
      </c>
      <c r="DQ172" s="13">
        <f t="shared" si="176"/>
        <v>7.3222115536967035E-13</v>
      </c>
      <c r="DR172" s="20">
        <f t="shared" si="177"/>
        <v>1.3525069634579169E-12</v>
      </c>
      <c r="DS172" s="59">
        <f t="shared" si="125"/>
        <v>293.33333333333468</v>
      </c>
      <c r="DT172" s="59">
        <f ca="1">AVERAGE(OFFSET($DS$3,0,0,'Données projet'!$E$14+1,1))-AVERAGE(OFFSET($H$3,0,0,'Données projet'!$E$14+1,1))</f>
        <v>288.82868507674738</v>
      </c>
      <c r="DU172" s="59">
        <f t="shared" si="152"/>
        <v>283.48738729114024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5.9342851751843044</v>
      </c>
      <c r="EB172" s="21">
        <f>EXP(-LN(2)/25)*EB171+(1-EXP(-LN(2)/25))/(LN(2)/25)*Calculateur!DW172*Calculateur!DY172*VLOOKUP('Données projet'!$B$14,Paramètres!$A$1:$I$89,3,0)*0.475*44/12</f>
        <v>2.6459488700037261</v>
      </c>
      <c r="EC172" s="21">
        <f>EXP(-LN(2)/2)*EC171+(1-EXP(-LN(2)/2))/(LN(2)/2)*DW172*DZ172*VLOOKUP('Données projet'!$B$14,Paramètres!$A$1:$I$89,3,0)*0.475*44/12</f>
        <v>5.3962187299279914E-14</v>
      </c>
      <c r="ED172" s="22">
        <f t="shared" si="178"/>
        <v>8.5802340451880834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7.688333333333337</v>
      </c>
      <c r="EJ172" s="12">
        <f>IF('Données projet'!$A$192&gt;35,EJ171+EI172-ER171,IF(A172&lt;'Données projet'!$A$192,$EG$205^A172,IF(A172='Données projet'!$A$192,'Données projet'!$B$192,EJ171+EI172-ER171)))</f>
        <v>371.96833333333302</v>
      </c>
      <c r="EK172" s="17">
        <f>EJ172*VLOOKUP('Données projet'!$B$15,Paramètres!$A$1:$I$89,3,0)*VLOOKUP('Données projet'!$B$15,Paramètres!$A$1:$I$89,5,0)</f>
        <v>359.76777199999975</v>
      </c>
      <c r="EL172" s="13">
        <f t="shared" si="179"/>
        <v>83.570563558559556</v>
      </c>
      <c r="EM172" s="20">
        <f t="shared" si="180"/>
        <v>772.14760109782401</v>
      </c>
      <c r="EN172" s="59">
        <f t="shared" si="128"/>
        <v>1065.4809344311573</v>
      </c>
      <c r="EO172" s="59">
        <f ca="1">AVERAGE(OFFSET($EN$3,0,0,'Données projet'!$E$15+1,1))-AVERAGE(OFFSET($H$3,0,0,'Données projet'!$E$15+1,1))</f>
        <v>510.71380643466227</v>
      </c>
      <c r="EP172" s="59">
        <f t="shared" si="154"/>
        <v>252.40654099948841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27.698787017068955</v>
      </c>
      <c r="EW172" s="21">
        <f>EXP(-LN(2)/25)*EW171+(1-EXP(-LN(2)/25))/(LN(2)/25)*Calculateur!ER172*Calculateur!ET172*VLOOKUP('Données projet'!$B$15,Paramètres!$A$1:$I$89,3,0)*0.475*44/12</f>
        <v>23.921624142082273</v>
      </c>
      <c r="EX172" s="21">
        <f>EXP(-LN(2)/2)*EX171+(1-EXP(-LN(2)/2))/(LN(2)/2)*ER172*EU172*VLOOKUP('Données projet'!$B$15,Paramètres!$A$1:$I$89,3,0)*0.475*44/12</f>
        <v>11.681618110373647</v>
      </c>
      <c r="EY172" s="22">
        <f t="shared" si="181"/>
        <v>63.30202926952488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8.1599999999999984</v>
      </c>
      <c r="N173" s="13">
        <f>IF('Données projet'!$A$36&gt;35,N172+M173-V172,IF(A173&lt;'Données projet'!$A$36,$K$205^A173,IF(A173='Données projet'!$A$36,'Données projet'!$B$36,N172+M173-V172)))</f>
        <v>431.76000000000005</v>
      </c>
      <c r="O173" s="13">
        <f>N173*VLOOKUP('Données projet'!$B$9,Paramètres!$A$1:$I$89,3,0)*VLOOKUP('Données projet'!$B$9,Paramètres!$A$1:$I$89,5,0)</f>
        <v>437.80464000000012</v>
      </c>
      <c r="P173" s="13">
        <f t="shared" si="141"/>
        <v>99.400230391560171</v>
      </c>
      <c r="Q173" s="20">
        <f t="shared" si="162"/>
        <v>935.63181593196748</v>
      </c>
      <c r="R173" s="59">
        <f t="shared" si="109"/>
        <v>1228.9651492653009</v>
      </c>
      <c r="S173" s="59">
        <f ca="1">AVERAGE(OFFSET($R$3,0,0,'Données projet'!$E$9+1,1))-AVERAGE(OFFSET($H$3,0,0,'Données projet'!$E$9+1,1))</f>
        <v>543.67050511722618</v>
      </c>
      <c r="T173" s="59">
        <f t="shared" si="142"/>
        <v>249.0871389941106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35.181474765387584</v>
      </c>
      <c r="AA173" s="21">
        <f>EXP(-LN(2)/25)*AA172+(1-EXP(-LN(2)/25))/(LN(2)/25)*Calculateur!V173*Calculateur!X173*VLOOKUP('Données projet'!$B$9,Paramètres!$A$1:$I$89,3,0)*0.475*44/12</f>
        <v>20.555570795886752</v>
      </c>
      <c r="AB173" s="21">
        <f>EXP(-LN(2)/2)*AB172+(1-EXP(-LN(2)/2))/(LN(2)/2)*V173*Y173*VLOOKUP('Données projet'!$B$9,Paramètres!$A$1:$I$89,3,0)*0.475*44/12</f>
        <v>0.99610716283605949</v>
      </c>
      <c r="AC173" s="22">
        <f t="shared" si="163"/>
        <v>56.733152724110397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9.6220000000000034</v>
      </c>
      <c r="AI173" s="13">
        <f>IF('Données projet'!$A$62&gt;35,AI172+AH173-AQ172,IF(A173&lt;'Données projet'!$A$62,$AF$205^A173,IF(A173='Données projet'!$A$62,'Données projet'!$B$62,AI172+AH173-AQ172)))</f>
        <v>572.03200000000106</v>
      </c>
      <c r="AJ173" s="13">
        <f>AI173*VLOOKUP('Données projet'!$B$10,Paramètres!$A$1:$I$89,3,0)*VLOOKUP('Données projet'!$B$10,Paramètres!$A$1:$I$89,5,0)</f>
        <v>517.57455360000097</v>
      </c>
      <c r="AK173" s="13">
        <f t="shared" si="164"/>
        <v>115.24405568945055</v>
      </c>
      <c r="AL173" s="20">
        <f t="shared" si="165"/>
        <v>1102.1590778457946</v>
      </c>
      <c r="AM173" s="59">
        <f t="shared" si="113"/>
        <v>1395.4924111791279</v>
      </c>
      <c r="AN173" s="59">
        <f ca="1">AVERAGE(OFFSET($AM$3,0,0,'Données projet'!$E$10+1,1))-AVERAGE(OFFSET($H$3,0,0,'Données projet'!$E$10+1,1))</f>
        <v>635.71275911100679</v>
      </c>
      <c r="AO173" s="59">
        <f t="shared" si="144"/>
        <v>281.7776857269169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52.046207706943505</v>
      </c>
      <c r="AV173" s="21">
        <f>EXP(-LN(2)/25)*AV172+(1-EXP(-LN(2)/25))/(LN(2)/25)*Calculateur!AQ173*Calculateur!AS173*VLOOKUP('Données projet'!$B$10,Paramètres!$A$1:$I$89,3,0)*0.475*44/12</f>
        <v>19.481978179792311</v>
      </c>
      <c r="AW173" s="21">
        <f>EXP(-LN(2)/2)*AW172+(1-EXP(-LN(2)/2))/(LN(2)/2)*AQ173*AT173*VLOOKUP('Données projet'!$B$10,Paramètres!$A$1:$I$89,3,0)*0.475*44/12</f>
        <v>6.0868028849656974E-7</v>
      </c>
      <c r="AX173" s="21">
        <f t="shared" si="166"/>
        <v>71.528186495416108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204.11804238362862</v>
      </c>
      <c r="BJ173" s="59">
        <f t="shared" si="146"/>
        <v>185.53854651509408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1.8536742871457206</v>
      </c>
      <c r="BQ173" s="21">
        <f>EXP(-LN(2)/25)*BQ172+(1-EXP(-LN(2)/25))/(LN(2)/25)*Calculateur!BL173*Calculateur!BN173*VLOOKUP('Données projet'!$B$11,Paramètres!$A$1:$I$89,3,0)*0.475*44/12</f>
        <v>5.808528318321633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7.6622026054673533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8.1599999999999984</v>
      </c>
      <c r="BY173" s="12">
        <f>IF('Données projet'!$A$114&gt;35,BY172+BX173-CG172,IF(A173&lt;'Données projet'!$A$114,$BV$205^A173,IF(A173='Données projet'!$A$114,'Données projet'!$B$114,BY172+BX173-CG172)))</f>
        <v>431.76000000000005</v>
      </c>
      <c r="BZ173" s="13">
        <f>BY173*VLOOKUP('Données projet'!$B$12,Paramètres!$A$1:$I$89,3,0)*VLOOKUP('Données projet'!$B$12,Paramètres!$A$1:$I$89,5,0)</f>
        <v>431.06918400000006</v>
      </c>
      <c r="CA173" s="13">
        <f t="shared" si="170"/>
        <v>98.047782096516713</v>
      </c>
      <c r="CB173" s="20">
        <f t="shared" si="171"/>
        <v>921.54538261810001</v>
      </c>
      <c r="CC173" s="59">
        <f t="shared" si="119"/>
        <v>1214.8787159514334</v>
      </c>
      <c r="CD173" s="59">
        <f ca="1">AVERAGE(OFFSET($CC$3,0,0,'Données projet'!$E$12+1,1))-AVERAGE(OFFSET($H$3,0,0,'Données projet'!$E$12+1,1))</f>
        <v>535.99935263833549</v>
      </c>
      <c r="CE173" s="59">
        <f t="shared" si="148"/>
        <v>245.89966477332644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24.743015219613248</v>
      </c>
      <c r="CL173" s="21">
        <f>EXP(-LN(2)/25)*CL172+(1-EXP(-LN(2)/25))/(LN(2)/25)*Calculateur!CG173*Calculateur!CI173*VLOOKUP('Données projet'!$B$12,Paramètres!$A$1:$I$89,3,0)*0.475*44/12</f>
        <v>21.315561581595649</v>
      </c>
      <c r="CM173" s="21">
        <f>EXP(-LN(2)/2)*CM172+(1-EXP(-LN(2)/2))/(LN(2)/2)*CG173*CJ173*VLOOKUP('Données projet'!$B$12,Paramètres!$A$1:$I$89,3,0)*0.475*44/12</f>
        <v>2.4519560931341351</v>
      </c>
      <c r="CN173" s="22">
        <f t="shared" si="172"/>
        <v>48.510532894343037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2.5579538487363607E-13</v>
      </c>
      <c r="CU173" s="17">
        <f>CT173*VLOOKUP('Données projet'!$B$13,Paramètres!$A$1:$I$89,3,0)*VLOOKUP('Données projet'!$B$13,Paramètres!$A$1:$I$89,5,0)</f>
        <v>2.4341488824575211E-13</v>
      </c>
      <c r="CV173" s="13">
        <f t="shared" si="173"/>
        <v>3.2970717324875541E-12</v>
      </c>
      <c r="CW173" s="20">
        <f t="shared" si="174"/>
        <v>6.1663475311105072E-12</v>
      </c>
      <c r="CX173" s="59">
        <f t="shared" si="122"/>
        <v>293.33333333333945</v>
      </c>
      <c r="CY173" s="59">
        <f ca="1">AVERAGE(OFFSET($CX$3,0,0,'Données projet'!$E$13+1,1))-AVERAGE(OFFSET($H$3,0,0,'Données projet'!$E$13+1,1))</f>
        <v>449.28947235329758</v>
      </c>
      <c r="CZ173" s="59">
        <f t="shared" si="150"/>
        <v>289.36994109443964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29.956300985538679</v>
      </c>
      <c r="DG173" s="21">
        <f>EXP(-LN(2)/25)*DG172+(1-EXP(-LN(2)/25))/(LN(2)/25)*Calculateur!DB173*Calculateur!DD173*VLOOKUP('Données projet'!$B$13,Paramètres!$A$1:$I$89,3,0)*0.475*44/12</f>
        <v>19.859682089562025</v>
      </c>
      <c r="DH173" s="21">
        <f>EXP(-LN(2)/2)*DH172+(1-EXP(-LN(2)/2))/(LN(2)/2)*DB173*DE173*VLOOKUP('Données projet'!$B$13,Paramètres!$A$1:$I$89,3,0)*0.475*44/12</f>
        <v>3.4190319227517802E-5</v>
      </c>
      <c r="DI173" s="22">
        <f t="shared" si="175"/>
        <v>49.81601726541993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5.6843418860808015E-14</v>
      </c>
      <c r="DP173" s="17">
        <f>DO173*VLOOKUP('Données projet'!$B$14,Paramètres!$A$1:$I$89,3,0)*VLOOKUP('Données projet'!$B$14,Paramètres!$A$1:$I$89,5,0)</f>
        <v>4.4337866711430253E-14</v>
      </c>
      <c r="DQ173" s="13">
        <f t="shared" si="176"/>
        <v>7.3222115536967035E-13</v>
      </c>
      <c r="DR173" s="20">
        <f t="shared" si="177"/>
        <v>1.3525069634579169E-12</v>
      </c>
      <c r="DS173" s="59">
        <f t="shared" si="125"/>
        <v>293.33333333333468</v>
      </c>
      <c r="DT173" s="59">
        <f ca="1">AVERAGE(OFFSET($DS$3,0,0,'Données projet'!$E$14+1,1))-AVERAGE(OFFSET($H$3,0,0,'Données projet'!$E$14+1,1))</f>
        <v>288.82868507674738</v>
      </c>
      <c r="DU173" s="59">
        <f t="shared" si="152"/>
        <v>283.48738729114024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5.8179174624554957</v>
      </c>
      <c r="EB173" s="21">
        <f>EXP(-LN(2)/25)*EB172+(1-EXP(-LN(2)/25))/(LN(2)/25)*Calculateur!DW173*Calculateur!DY173*VLOOKUP('Données projet'!$B$14,Paramètres!$A$1:$I$89,3,0)*0.475*44/12</f>
        <v>2.5735952590090707</v>
      </c>
      <c r="EC173" s="21">
        <f>EXP(-LN(2)/2)*EC172+(1-EXP(-LN(2)/2))/(LN(2)/2)*DW173*DZ173*VLOOKUP('Données projet'!$B$14,Paramètres!$A$1:$I$89,3,0)*0.475*44/12</f>
        <v>3.8157028566979415E-14</v>
      </c>
      <c r="ED173" s="22">
        <f t="shared" si="178"/>
        <v>8.3915127214646041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7.688333333333337</v>
      </c>
      <c r="EJ173" s="12">
        <f>IF('Données projet'!$A$192&gt;35,EJ172+EI173-ER172,IF(A173&lt;'Données projet'!$A$192,$EG$205^A173,IF(A173='Données projet'!$A$192,'Données projet'!$B$192,EJ172+EI173-ER172)))</f>
        <v>379.65666666666635</v>
      </c>
      <c r="EK173" s="17">
        <f>EJ173*VLOOKUP('Données projet'!$B$15,Paramètres!$A$1:$I$89,3,0)*VLOOKUP('Données projet'!$B$15,Paramètres!$A$1:$I$89,5,0)</f>
        <v>367.20392799999973</v>
      </c>
      <c r="EL173" s="13">
        <f t="shared" si="179"/>
        <v>85.095025204163747</v>
      </c>
      <c r="EM173" s="20">
        <f t="shared" si="180"/>
        <v>787.754010163918</v>
      </c>
      <c r="EN173" s="59">
        <f t="shared" si="128"/>
        <v>1081.0873434972514</v>
      </c>
      <c r="EO173" s="59">
        <f ca="1">AVERAGE(OFFSET($EN$3,0,0,'Données projet'!$E$15+1,1))-AVERAGE(OFFSET($H$3,0,0,'Données projet'!$E$15+1,1))</f>
        <v>510.71380643466227</v>
      </c>
      <c r="EP173" s="59">
        <f t="shared" si="154"/>
        <v>252.40654099948841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27.155630698256111</v>
      </c>
      <c r="EW173" s="21">
        <f>EXP(-LN(2)/25)*EW172+(1-EXP(-LN(2)/25))/(LN(2)/25)*Calculateur!ER173*Calculateur!ET173*VLOOKUP('Données projet'!$B$15,Paramètres!$A$1:$I$89,3,0)*0.475*44/12</f>
        <v>23.267486071933494</v>
      </c>
      <c r="EX173" s="21">
        <f>EXP(-LN(2)/2)*EX172+(1-EXP(-LN(2)/2))/(LN(2)/2)*ER173*EU173*VLOOKUP('Données projet'!$B$15,Paramètres!$A$1:$I$89,3,0)*0.475*44/12</f>
        <v>8.2601513810767901</v>
      </c>
      <c r="EY173" s="22">
        <f t="shared" si="181"/>
        <v>58.683268151266397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8.1599999999999984</v>
      </c>
      <c r="N174" s="13">
        <f>IF('Données projet'!$A$36&gt;35,N173+M174-V173,IF(A174&lt;'Données projet'!$A$36,$K$205^A174,IF(A174='Données projet'!$A$36,'Données projet'!$B$36,N173+M174-V173)))</f>
        <v>439.92000000000007</v>
      </c>
      <c r="O174" s="13">
        <f>N174*VLOOKUP('Données projet'!$B$9,Paramètres!$A$1:$I$89,3,0)*VLOOKUP('Données projet'!$B$9,Paramètres!$A$1:$I$89,5,0)</f>
        <v>446.07888000000008</v>
      </c>
      <c r="P174" s="13">
        <f t="shared" si="141"/>
        <v>101.05835139044871</v>
      </c>
      <c r="Q174" s="20">
        <f t="shared" si="162"/>
        <v>952.9306780050315</v>
      </c>
      <c r="R174" s="59">
        <f t="shared" si="109"/>
        <v>1246.2640113383648</v>
      </c>
      <c r="S174" s="59">
        <f ca="1">AVERAGE(OFFSET($R$3,0,0,'Données projet'!$E$9+1,1))-AVERAGE(OFFSET($H$3,0,0,'Données projet'!$E$9+1,1))</f>
        <v>543.67050511722618</v>
      </c>
      <c r="T174" s="59">
        <f t="shared" si="142"/>
        <v>249.0871389941106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34.491587503819083</v>
      </c>
      <c r="AA174" s="21">
        <f>EXP(-LN(2)/25)*AA173+(1-EXP(-LN(2)/25))/(LN(2)/25)*Calculateur!V174*Calculateur!X174*VLOOKUP('Données projet'!$B$9,Paramètres!$A$1:$I$89,3,0)*0.475*44/12</f>
        <v>19.993477631502742</v>
      </c>
      <c r="AB174" s="21">
        <f>EXP(-LN(2)/2)*AB173+(1-EXP(-LN(2)/2))/(LN(2)/2)*V174*Y174*VLOOKUP('Données projet'!$B$9,Paramètres!$A$1:$I$89,3,0)*0.475*44/12</f>
        <v>0.70435412962987021</v>
      </c>
      <c r="AC174" s="22">
        <f t="shared" si="163"/>
        <v>55.189419264951695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9.6220000000000034</v>
      </c>
      <c r="AI174" s="13">
        <f>IF('Données projet'!$A$62&gt;35,AI173+AH174-AQ173,IF(A174&lt;'Données projet'!$A$62,$AF$205^A174,IF(A174='Données projet'!$A$62,'Données projet'!$B$62,AI173+AH174-AQ173)))</f>
        <v>581.65400000000102</v>
      </c>
      <c r="AJ174" s="13">
        <f>AI174*VLOOKUP('Données projet'!$B$10,Paramètres!$A$1:$I$89,3,0)*VLOOKUP('Données projet'!$B$10,Paramètres!$A$1:$I$89,5,0)</f>
        <v>526.28053920000093</v>
      </c>
      <c r="AK174" s="13">
        <f t="shared" si="164"/>
        <v>116.95523902184036</v>
      </c>
      <c r="AL174" s="20">
        <f t="shared" si="165"/>
        <v>1120.3023137363737</v>
      </c>
      <c r="AM174" s="59">
        <f t="shared" si="113"/>
        <v>1413.6356470697069</v>
      </c>
      <c r="AN174" s="59">
        <f ca="1">AVERAGE(OFFSET($AM$3,0,0,'Données projet'!$E$10+1,1))-AVERAGE(OFFSET($H$3,0,0,'Données projet'!$E$10+1,1))</f>
        <v>635.71275911100679</v>
      </c>
      <c r="AO174" s="59">
        <f t="shared" si="144"/>
        <v>281.7776857269169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51.025613318862483</v>
      </c>
      <c r="AV174" s="21">
        <f>EXP(-LN(2)/25)*AV173+(1-EXP(-LN(2)/25))/(LN(2)/25)*Calculateur!AQ174*Calculateur!AS174*VLOOKUP('Données projet'!$B$10,Paramètres!$A$1:$I$89,3,0)*0.475*44/12</f>
        <v>18.949242461953183</v>
      </c>
      <c r="AW174" s="21">
        <f>EXP(-LN(2)/2)*AW173+(1-EXP(-LN(2)/2))/(LN(2)/2)*AQ174*AT174*VLOOKUP('Données projet'!$B$10,Paramètres!$A$1:$I$89,3,0)*0.475*44/12</f>
        <v>4.3040195957050856E-7</v>
      </c>
      <c r="AX174" s="21">
        <f t="shared" si="166"/>
        <v>69.974856211217613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204.11804238362862</v>
      </c>
      <c r="BJ174" s="59">
        <f t="shared" si="146"/>
        <v>185.53854651509408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1.8173248650044678</v>
      </c>
      <c r="BQ174" s="21">
        <f>EXP(-LN(2)/25)*BQ173+(1-EXP(-LN(2)/25))/(LN(2)/25)*Calculateur!BL174*Calculateur!BN174*VLOOKUP('Données projet'!$B$11,Paramètres!$A$1:$I$89,3,0)*0.475*44/12</f>
        <v>5.6496938059998989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7.4670186710043662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8.1599999999999984</v>
      </c>
      <c r="BY174" s="12">
        <f>IF('Données projet'!$A$114&gt;35,BY173+BX174-CG173,IF(A174&lt;'Données projet'!$A$114,$BV$205^A174,IF(A174='Données projet'!$A$114,'Données projet'!$B$114,BY173+BX174-CG173)))</f>
        <v>439.92000000000007</v>
      </c>
      <c r="BZ174" s="13">
        <f>BY174*VLOOKUP('Données projet'!$B$12,Paramètres!$A$1:$I$89,3,0)*VLOOKUP('Données projet'!$B$12,Paramètres!$A$1:$I$89,5,0)</f>
        <v>439.21612800000008</v>
      </c>
      <c r="CA174" s="13">
        <f t="shared" si="170"/>
        <v>99.683342554960845</v>
      </c>
      <c r="CB174" s="20">
        <f t="shared" si="171"/>
        <v>938.58324454989008</v>
      </c>
      <c r="CC174" s="59">
        <f t="shared" si="119"/>
        <v>1231.9165778832235</v>
      </c>
      <c r="CD174" s="59">
        <f ca="1">AVERAGE(OFFSET($CC$3,0,0,'Données projet'!$E$12+1,1))-AVERAGE(OFFSET($H$3,0,0,'Données projet'!$E$12+1,1))</f>
        <v>535.99935263833549</v>
      </c>
      <c r="CE174" s="59">
        <f t="shared" si="148"/>
        <v>245.89966477332644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24.257819782905731</v>
      </c>
      <c r="CL174" s="21">
        <f>EXP(-LN(2)/25)*CL173+(1-EXP(-LN(2)/25))/(LN(2)/25)*Calculateur!CG174*Calculateur!CI174*VLOOKUP('Données projet'!$B$12,Paramètres!$A$1:$I$89,3,0)*0.475*44/12</f>
        <v>20.732686429210251</v>
      </c>
      <c r="CM174" s="21">
        <f>EXP(-LN(2)/2)*CM173+(1-EXP(-LN(2)/2))/(LN(2)/2)*CG174*CJ174*VLOOKUP('Données projet'!$B$12,Paramètres!$A$1:$I$89,3,0)*0.475*44/12</f>
        <v>1.733794780626821</v>
      </c>
      <c r="CN174" s="22">
        <f t="shared" si="172"/>
        <v>46.724300992742805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2.5579538487363607E-13</v>
      </c>
      <c r="CU174" s="17">
        <f>CT174*VLOOKUP('Données projet'!$B$13,Paramètres!$A$1:$I$89,3,0)*VLOOKUP('Données projet'!$B$13,Paramètres!$A$1:$I$89,5,0)</f>
        <v>2.4341488824575211E-13</v>
      </c>
      <c r="CV174" s="13">
        <f t="shared" si="173"/>
        <v>3.2970717324875541E-12</v>
      </c>
      <c r="CW174" s="20">
        <f t="shared" si="174"/>
        <v>6.1663475311105072E-12</v>
      </c>
      <c r="CX174" s="59">
        <f t="shared" si="122"/>
        <v>293.33333333333945</v>
      </c>
      <c r="CY174" s="59">
        <f ca="1">AVERAGE(OFFSET($CX$3,0,0,'Données projet'!$E$13+1,1))-AVERAGE(OFFSET($H$3,0,0,'Données projet'!$E$13+1,1))</f>
        <v>449.28947235329758</v>
      </c>
      <c r="CZ174" s="59">
        <f t="shared" si="150"/>
        <v>289.36994109443964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29.368876194751703</v>
      </c>
      <c r="DG174" s="21">
        <f>EXP(-LN(2)/25)*DG173+(1-EXP(-LN(2)/25))/(LN(2)/25)*Calculateur!DB174*Calculateur!DD174*VLOOKUP('Données projet'!$B$13,Paramètres!$A$1:$I$89,3,0)*0.475*44/12</f>
        <v>19.316618038447661</v>
      </c>
      <c r="DH174" s="21">
        <f>EXP(-LN(2)/2)*DH173+(1-EXP(-LN(2)/2))/(LN(2)/2)*DB174*DE174*VLOOKUP('Données projet'!$B$13,Paramètres!$A$1:$I$89,3,0)*0.475*44/12</f>
        <v>2.4176206576710639E-5</v>
      </c>
      <c r="DI174" s="22">
        <f t="shared" si="175"/>
        <v>48.685518409405944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5.6843418860808015E-14</v>
      </c>
      <c r="DP174" s="17">
        <f>DO174*VLOOKUP('Données projet'!$B$14,Paramètres!$A$1:$I$89,3,0)*VLOOKUP('Données projet'!$B$14,Paramètres!$A$1:$I$89,5,0)</f>
        <v>4.4337866711430253E-14</v>
      </c>
      <c r="DQ174" s="13">
        <f t="shared" si="176"/>
        <v>7.3222115536967035E-13</v>
      </c>
      <c r="DR174" s="20">
        <f t="shared" si="177"/>
        <v>1.3525069634579169E-12</v>
      </c>
      <c r="DS174" s="59">
        <f t="shared" si="125"/>
        <v>293.33333333333468</v>
      </c>
      <c r="DT174" s="59">
        <f ca="1">AVERAGE(OFFSET($DS$3,0,0,'Données projet'!$E$14+1,1))-AVERAGE(OFFSET($H$3,0,0,'Données projet'!$E$14+1,1))</f>
        <v>288.82868507674738</v>
      </c>
      <c r="DU174" s="59">
        <f t="shared" si="152"/>
        <v>283.48738729114024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5.703831649596002</v>
      </c>
      <c r="EB174" s="21">
        <f>EXP(-LN(2)/25)*EB173+(1-EXP(-LN(2)/25))/(LN(2)/25)*Calculateur!DW174*Calculateur!DY174*VLOOKUP('Données projet'!$B$14,Paramètres!$A$1:$I$89,3,0)*0.475*44/12</f>
        <v>2.5032201613119751</v>
      </c>
      <c r="EC174" s="21">
        <f>EXP(-LN(2)/2)*EC173+(1-EXP(-LN(2)/2))/(LN(2)/2)*DW174*DZ174*VLOOKUP('Données projet'!$B$14,Paramètres!$A$1:$I$89,3,0)*0.475*44/12</f>
        <v>2.6981093649639957E-14</v>
      </c>
      <c r="ED174" s="22">
        <f t="shared" si="178"/>
        <v>8.2070518109080037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7.688333333333337</v>
      </c>
      <c r="EJ174" s="12">
        <f>IF('Données projet'!$A$192&gt;35,EJ173+EI174-ER173,IF(A174&lt;'Données projet'!$A$192,$EG$205^A174,IF(A174='Données projet'!$A$192,'Données projet'!$B$192,EJ173+EI174-ER173)))</f>
        <v>387.34499999999969</v>
      </c>
      <c r="EK174" s="17">
        <f>EJ174*VLOOKUP('Données projet'!$B$15,Paramètres!$A$1:$I$89,3,0)*VLOOKUP('Données projet'!$B$15,Paramètres!$A$1:$I$89,5,0)</f>
        <v>374.64008399999972</v>
      </c>
      <c r="EL174" s="13">
        <f t="shared" si="179"/>
        <v>86.615897380176207</v>
      </c>
      <c r="EM174" s="20">
        <f t="shared" si="180"/>
        <v>803.35416757047312</v>
      </c>
      <c r="EN174" s="59">
        <f t="shared" si="128"/>
        <v>1096.6875009038065</v>
      </c>
      <c r="EO174" s="59">
        <f ca="1">AVERAGE(OFFSET($EN$3,0,0,'Données projet'!$E$15+1,1))-AVERAGE(OFFSET($H$3,0,0,'Données projet'!$E$15+1,1))</f>
        <v>510.71380643466227</v>
      </c>
      <c r="EP174" s="59">
        <f t="shared" si="154"/>
        <v>252.40654099948841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26.623125343562545</v>
      </c>
      <c r="EW174" s="21">
        <f>EXP(-LN(2)/25)*EW173+(1-EXP(-LN(2)/25))/(LN(2)/25)*Calculateur!ER174*Calculateur!ET174*VLOOKUP('Données projet'!$B$15,Paramètres!$A$1:$I$89,3,0)*0.475*44/12</f>
        <v>22.631235441712558</v>
      </c>
      <c r="EX174" s="21">
        <f>EXP(-LN(2)/2)*EX173+(1-EXP(-LN(2)/2))/(LN(2)/2)*ER174*EU174*VLOOKUP('Données projet'!$B$15,Paramètres!$A$1:$I$89,3,0)*0.475*44/12</f>
        <v>5.840809055186825</v>
      </c>
      <c r="EY174" s="22">
        <f t="shared" si="181"/>
        <v>55.095169840461928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8.1599999999999984</v>
      </c>
      <c r="N175" s="13">
        <f>IF('Données projet'!$A$36&gt;35,N174+M175-V174,IF(A175&lt;'Données projet'!$A$36,$K$205^A175,IF(A175='Données projet'!$A$36,'Données projet'!$B$36,N174+M175-V174)))</f>
        <v>448.0800000000001</v>
      </c>
      <c r="O175" s="13">
        <f>N175*VLOOKUP('Données projet'!$B$9,Paramètres!$A$1:$I$89,3,0)*VLOOKUP('Données projet'!$B$9,Paramètres!$A$1:$I$89,5,0)</f>
        <v>454.3531200000001</v>
      </c>
      <c r="P175" s="13">
        <f t="shared" si="141"/>
        <v>102.71289601290015</v>
      </c>
      <c r="Q175" s="20">
        <f t="shared" si="162"/>
        <v>970.22331122246794</v>
      </c>
      <c r="R175" s="59">
        <f t="shared" si="109"/>
        <v>1263.5566445558013</v>
      </c>
      <c r="S175" s="59">
        <f ca="1">AVERAGE(OFFSET($R$3,0,0,'Données projet'!$E$9+1,1))-AVERAGE(OFFSET($H$3,0,0,'Données projet'!$E$9+1,1))</f>
        <v>543.67050511722618</v>
      </c>
      <c r="T175" s="59">
        <f t="shared" si="142"/>
        <v>249.0871389941106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33.815228510660262</v>
      </c>
      <c r="AA175" s="21">
        <f>EXP(-LN(2)/25)*AA174+(1-EXP(-LN(2)/25))/(LN(2)/25)*Calculateur!V175*Calculateur!X175*VLOOKUP('Données projet'!$B$9,Paramètres!$A$1:$I$89,3,0)*0.475*44/12</f>
        <v>19.446754934258006</v>
      </c>
      <c r="AB175" s="21">
        <f>EXP(-LN(2)/2)*AB174+(1-EXP(-LN(2)/2))/(LN(2)/2)*V175*Y175*VLOOKUP('Données projet'!$B$9,Paramètres!$A$1:$I$89,3,0)*0.475*44/12</f>
        <v>0.4980535814180298</v>
      </c>
      <c r="AC175" s="22">
        <f t="shared" si="163"/>
        <v>53.760037026336299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9.6220000000000034</v>
      </c>
      <c r="AI175" s="13">
        <f>IF('Données projet'!$A$62&gt;35,AI174+AH175-AQ174,IF(A175&lt;'Données projet'!$A$62,$AF$205^A175,IF(A175='Données projet'!$A$62,'Données projet'!$B$62,AI174+AH175-AQ174)))</f>
        <v>591.27600000000098</v>
      </c>
      <c r="AJ175" s="13">
        <f>AI175*VLOOKUP('Données projet'!$B$10,Paramètres!$A$1:$I$89,3,0)*VLOOKUP('Données projet'!$B$10,Paramètres!$A$1:$I$89,5,0)</f>
        <v>534.98652480000089</v>
      </c>
      <c r="AK175" s="13">
        <f t="shared" si="164"/>
        <v>118.66313040568902</v>
      </c>
      <c r="AL175" s="20">
        <f t="shared" si="165"/>
        <v>1138.4398161499098</v>
      </c>
      <c r="AM175" s="59">
        <f t="shared" si="113"/>
        <v>1431.7731494832431</v>
      </c>
      <c r="AN175" s="59">
        <f ca="1">AVERAGE(OFFSET($AM$3,0,0,'Données projet'!$E$10+1,1))-AVERAGE(OFFSET($H$3,0,0,'Données projet'!$E$10+1,1))</f>
        <v>635.71275911100679</v>
      </c>
      <c r="AO175" s="59">
        <f t="shared" si="144"/>
        <v>281.7776857269169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50.025032164230616</v>
      </c>
      <c r="AV175" s="21">
        <f>EXP(-LN(2)/25)*AV174+(1-EXP(-LN(2)/25))/(LN(2)/25)*Calculateur!AQ175*Calculateur!AS175*VLOOKUP('Données projet'!$B$10,Paramètres!$A$1:$I$89,3,0)*0.475*44/12</f>
        <v>18.431074430333723</v>
      </c>
      <c r="AW175" s="21">
        <f>EXP(-LN(2)/2)*AW174+(1-EXP(-LN(2)/2))/(LN(2)/2)*AQ175*AT175*VLOOKUP('Données projet'!$B$10,Paramètres!$A$1:$I$89,3,0)*0.475*44/12</f>
        <v>3.0434014424828487E-7</v>
      </c>
      <c r="AX175" s="21">
        <f t="shared" si="166"/>
        <v>68.456106898904494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204.11804238362862</v>
      </c>
      <c r="BJ175" s="59">
        <f t="shared" si="146"/>
        <v>185.53854651509408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1.7816882328604466</v>
      </c>
      <c r="BQ175" s="21">
        <f>EXP(-LN(2)/25)*BQ174+(1-EXP(-LN(2)/25))/(LN(2)/25)*Calculateur!BL175*Calculateur!BN175*VLOOKUP('Données projet'!$B$11,Paramètres!$A$1:$I$89,3,0)*0.475*44/12</f>
        <v>5.4952026317703471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7.2768908646307935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8.1599999999999984</v>
      </c>
      <c r="BY175" s="12">
        <f>IF('Données projet'!$A$114&gt;35,BY174+BX175-CG174,IF(A175&lt;'Données projet'!$A$114,$BV$205^A175,IF(A175='Données projet'!$A$114,'Données projet'!$B$114,BY174+BX175-CG174)))</f>
        <v>448.0800000000001</v>
      </c>
      <c r="BZ175" s="13">
        <f>BY175*VLOOKUP('Données projet'!$B$12,Paramètres!$A$1:$I$89,3,0)*VLOOKUP('Données projet'!$B$12,Paramètres!$A$1:$I$89,5,0)</f>
        <v>447.36307200000016</v>
      </c>
      <c r="CA175" s="13">
        <f t="shared" si="170"/>
        <v>101.31537529746099</v>
      </c>
      <c r="CB175" s="20">
        <f t="shared" si="171"/>
        <v>955.61496237641143</v>
      </c>
      <c r="CC175" s="59">
        <f t="shared" si="119"/>
        <v>1248.9482957097448</v>
      </c>
      <c r="CD175" s="59">
        <f ca="1">AVERAGE(OFFSET($CC$3,0,0,'Données projet'!$E$12+1,1))-AVERAGE(OFFSET($H$3,0,0,'Données projet'!$E$12+1,1))</f>
        <v>535.99935263833549</v>
      </c>
      <c r="CE175" s="59">
        <f t="shared" si="148"/>
        <v>245.89966477332644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23.782138732772051</v>
      </c>
      <c r="CL175" s="21">
        <f>EXP(-LN(2)/25)*CL174+(1-EXP(-LN(2)/25))/(LN(2)/25)*Calculateur!CG175*Calculateur!CI175*VLOOKUP('Données projet'!$B$12,Paramètres!$A$1:$I$89,3,0)*0.475*44/12</f>
        <v>20.165750028518904</v>
      </c>
      <c r="CM175" s="21">
        <f>EXP(-LN(2)/2)*CM174+(1-EXP(-LN(2)/2))/(LN(2)/2)*CG175*CJ175*VLOOKUP('Données projet'!$B$12,Paramètres!$A$1:$I$89,3,0)*0.475*44/12</f>
        <v>1.2259780465670678</v>
      </c>
      <c r="CN175" s="22">
        <f t="shared" si="172"/>
        <v>45.173866807858019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2.5579538487363607E-13</v>
      </c>
      <c r="CU175" s="17">
        <f>CT175*VLOOKUP('Données projet'!$B$13,Paramètres!$A$1:$I$89,3,0)*VLOOKUP('Données projet'!$B$13,Paramètres!$A$1:$I$89,5,0)</f>
        <v>2.4341488824575211E-13</v>
      </c>
      <c r="CV175" s="13">
        <f t="shared" si="173"/>
        <v>3.2970717324875541E-12</v>
      </c>
      <c r="CW175" s="20">
        <f t="shared" si="174"/>
        <v>6.1663475311105072E-12</v>
      </c>
      <c r="CX175" s="59">
        <f t="shared" si="122"/>
        <v>293.33333333333945</v>
      </c>
      <c r="CY175" s="59">
        <f ca="1">AVERAGE(OFFSET($CX$3,0,0,'Données projet'!$E$13+1,1))-AVERAGE(OFFSET($H$3,0,0,'Données projet'!$E$13+1,1))</f>
        <v>449.28947235329758</v>
      </c>
      <c r="CZ175" s="59">
        <f t="shared" si="150"/>
        <v>289.36994109443964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28.792970445818316</v>
      </c>
      <c r="DG175" s="21">
        <f>EXP(-LN(2)/25)*DG174+(1-EXP(-LN(2)/25))/(LN(2)/25)*Calculateur!DB175*Calculateur!DD175*VLOOKUP('Données projet'!$B$13,Paramètres!$A$1:$I$89,3,0)*0.475*44/12</f>
        <v>18.788404102369515</v>
      </c>
      <c r="DH175" s="21">
        <f>EXP(-LN(2)/2)*DH174+(1-EXP(-LN(2)/2))/(LN(2)/2)*DB175*DE175*VLOOKUP('Données projet'!$B$13,Paramètres!$A$1:$I$89,3,0)*0.475*44/12</f>
        <v>1.7095159613758901E-5</v>
      </c>
      <c r="DI175" s="22">
        <f t="shared" si="175"/>
        <v>47.581391643347445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5.6843418860808015E-14</v>
      </c>
      <c r="DP175" s="17">
        <f>DO175*VLOOKUP('Données projet'!$B$14,Paramètres!$A$1:$I$89,3,0)*VLOOKUP('Données projet'!$B$14,Paramètres!$A$1:$I$89,5,0)</f>
        <v>4.4337866711430253E-14</v>
      </c>
      <c r="DQ175" s="13">
        <f t="shared" si="176"/>
        <v>7.3222115536967035E-13</v>
      </c>
      <c r="DR175" s="20">
        <f t="shared" si="177"/>
        <v>1.3525069634579169E-12</v>
      </c>
      <c r="DS175" s="59">
        <f t="shared" si="125"/>
        <v>293.33333333333468</v>
      </c>
      <c r="DT175" s="59">
        <f ca="1">AVERAGE(OFFSET($DS$3,0,0,'Données projet'!$E$14+1,1))-AVERAGE(OFFSET($H$3,0,0,'Données projet'!$E$14+1,1))</f>
        <v>288.82868507674738</v>
      </c>
      <c r="DU175" s="59">
        <f t="shared" si="152"/>
        <v>283.48738729114024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5.5919829899412088</v>
      </c>
      <c r="EB175" s="21">
        <f>EXP(-LN(2)/25)*EB174+(1-EXP(-LN(2)/25))/(LN(2)/25)*Calculateur!DW175*Calculateur!DY175*VLOOKUP('Données projet'!$B$14,Paramètres!$A$1:$I$89,3,0)*0.475*44/12</f>
        <v>2.4347694743622719</v>
      </c>
      <c r="EC175" s="21">
        <f>EXP(-LN(2)/2)*EC174+(1-EXP(-LN(2)/2))/(LN(2)/2)*DW175*DZ175*VLOOKUP('Données projet'!$B$14,Paramètres!$A$1:$I$89,3,0)*0.475*44/12</f>
        <v>1.9078514283489708E-14</v>
      </c>
      <c r="ED175" s="22">
        <f t="shared" si="178"/>
        <v>8.0267524643035006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7.688333333333337</v>
      </c>
      <c r="EJ175" s="12">
        <f>IF('Données projet'!$A$192&gt;35,EJ174+EI175-ER174,IF(A175&lt;'Données projet'!$A$192,$EG$205^A175,IF(A175='Données projet'!$A$192,'Données projet'!$B$192,EJ174+EI175-ER174)))</f>
        <v>395.03333333333302</v>
      </c>
      <c r="EK175" s="17">
        <f>EJ175*VLOOKUP('Données projet'!$B$15,Paramètres!$A$1:$I$89,3,0)*VLOOKUP('Données projet'!$B$15,Paramètres!$A$1:$I$89,5,0)</f>
        <v>382.0762399999997</v>
      </c>
      <c r="EL175" s="13">
        <f t="shared" si="179"/>
        <v>88.133259545087228</v>
      </c>
      <c r="EM175" s="20">
        <f t="shared" si="180"/>
        <v>818.94821170769308</v>
      </c>
      <c r="EN175" s="59">
        <f t="shared" si="128"/>
        <v>1112.2815450410264</v>
      </c>
      <c r="EO175" s="59">
        <f ca="1">AVERAGE(OFFSET($EN$3,0,0,'Données projet'!$E$15+1,1))-AVERAGE(OFFSET($H$3,0,0,'Données projet'!$E$15+1,1))</f>
        <v>510.71380643466227</v>
      </c>
      <c r="EP175" s="59">
        <f t="shared" si="154"/>
        <v>252.40654099948841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26.101062094078326</v>
      </c>
      <c r="EW175" s="21">
        <f>EXP(-LN(2)/25)*EW174+(1-EXP(-LN(2)/25))/(LN(2)/25)*Calculateur!ER175*Calculateur!ET175*VLOOKUP('Données projet'!$B$15,Paramètres!$A$1:$I$89,3,0)*0.475*44/12</f>
        <v>22.012383118433981</v>
      </c>
      <c r="EX175" s="21">
        <f>EXP(-LN(2)/2)*EX174+(1-EXP(-LN(2)/2))/(LN(2)/2)*ER175*EU175*VLOOKUP('Données projet'!$B$15,Paramètres!$A$1:$I$89,3,0)*0.475*44/12</f>
        <v>4.130075690538396</v>
      </c>
      <c r="EY175" s="22">
        <f t="shared" si="181"/>
        <v>52.243520903050701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8.1599999999999984</v>
      </c>
      <c r="N176" s="13">
        <f>IF('Données projet'!$A$36&gt;35,N175+M176-V175,IF(A176&lt;'Données projet'!$A$36,$K$205^A176,IF(A176='Données projet'!$A$36,'Données projet'!$B$36,N175+M176-V175)))</f>
        <v>456.24000000000012</v>
      </c>
      <c r="O176" s="13">
        <f>N176*VLOOKUP('Données projet'!$B$9,Paramètres!$A$1:$I$89,3,0)*VLOOKUP('Données projet'!$B$9,Paramètres!$A$1:$I$89,5,0)</f>
        <v>462.62736000000018</v>
      </c>
      <c r="P176" s="13">
        <f t="shared" si="141"/>
        <v>104.3639369005883</v>
      </c>
      <c r="Q176" s="20">
        <f t="shared" si="162"/>
        <v>987.50984210185823</v>
      </c>
      <c r="R176" s="59">
        <f t="shared" si="109"/>
        <v>1280.8431754351916</v>
      </c>
      <c r="S176" s="59">
        <f ca="1">AVERAGE(OFFSET($R$3,0,0,'Données projet'!$E$9+1,1))-AVERAGE(OFFSET($H$3,0,0,'Données projet'!$E$9+1,1))</f>
        <v>543.67050511722618</v>
      </c>
      <c r="T176" s="59">
        <f t="shared" si="142"/>
        <v>249.0871389941106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33.152132504819029</v>
      </c>
      <c r="AA176" s="21">
        <f>EXP(-LN(2)/25)*AA175+(1-EXP(-LN(2)/25))/(LN(2)/25)*Calculateur!V176*Calculateur!X176*VLOOKUP('Données projet'!$B$9,Paramètres!$A$1:$I$89,3,0)*0.475*44/12</f>
        <v>18.914982397920326</v>
      </c>
      <c r="AB176" s="21">
        <f>EXP(-LN(2)/2)*AB175+(1-EXP(-LN(2)/2))/(LN(2)/2)*V176*Y176*VLOOKUP('Données projet'!$B$9,Paramètres!$A$1:$I$89,3,0)*0.475*44/12</f>
        <v>0.35217706481493516</v>
      </c>
      <c r="AC176" s="22">
        <f t="shared" si="163"/>
        <v>52.419291967554294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9.6220000000000034</v>
      </c>
      <c r="AI176" s="13">
        <f>IF('Données projet'!$A$62&gt;35,AI175+AH176-AQ175,IF(A176&lt;'Données projet'!$A$62,$AF$205^A176,IF(A176='Données projet'!$A$62,'Données projet'!$B$62,AI175+AH176-AQ175)))</f>
        <v>600.89800000000093</v>
      </c>
      <c r="AJ176" s="13">
        <f>AI176*VLOOKUP('Données projet'!$B$10,Paramètres!$A$1:$I$89,3,0)*VLOOKUP('Données projet'!$B$10,Paramètres!$A$1:$I$89,5,0)</f>
        <v>543.69251040000086</v>
      </c>
      <c r="AK176" s="13">
        <f t="shared" si="164"/>
        <v>120.36778959614513</v>
      </c>
      <c r="AL176" s="20">
        <f t="shared" si="165"/>
        <v>1156.5716891599543</v>
      </c>
      <c r="AM176" s="59">
        <f t="shared" si="113"/>
        <v>1449.9050224932876</v>
      </c>
      <c r="AN176" s="59">
        <f ca="1">AVERAGE(OFFSET($AM$3,0,0,'Données projet'!$E$10+1,1))-AVERAGE(OFFSET($H$3,0,0,'Données projet'!$E$10+1,1))</f>
        <v>635.71275911100679</v>
      </c>
      <c r="AO176" s="59">
        <f t="shared" si="144"/>
        <v>281.7776857269169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49.044071795746838</v>
      </c>
      <c r="AV176" s="21">
        <f>EXP(-LN(2)/25)*AV175+(1-EXP(-LN(2)/25))/(LN(2)/25)*Calculateur!AQ176*Calculateur!AS176*VLOOKUP('Données projet'!$B$10,Paramètres!$A$1:$I$89,3,0)*0.475*44/12</f>
        <v>17.927075730788168</v>
      </c>
      <c r="AW176" s="21">
        <f>EXP(-LN(2)/2)*AW175+(1-EXP(-LN(2)/2))/(LN(2)/2)*AQ176*AT176*VLOOKUP('Données projet'!$B$10,Paramètres!$A$1:$I$89,3,0)*0.475*44/12</f>
        <v>2.1520097978525428E-7</v>
      </c>
      <c r="AX176" s="21">
        <f t="shared" si="166"/>
        <v>66.97114774173599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204.11804238362862</v>
      </c>
      <c r="BJ176" s="59">
        <f t="shared" si="146"/>
        <v>185.53854651509408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1.7467504133365703</v>
      </c>
      <c r="BQ176" s="21">
        <f>EXP(-LN(2)/25)*BQ175+(1-EXP(-LN(2)/25))/(LN(2)/25)*Calculateur!BL176*Calculateur!BN176*VLOOKUP('Données projet'!$B$11,Paramètres!$A$1:$I$89,3,0)*0.475*44/12</f>
        <v>5.3449360268244401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7.0916864401610109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8.1599999999999984</v>
      </c>
      <c r="BY176" s="12">
        <f>IF('Données projet'!$A$114&gt;35,BY175+BX176-CG175,IF(A176&lt;'Données projet'!$A$114,$BV$205^A176,IF(A176='Données projet'!$A$114,'Données projet'!$B$114,BY175+BX176-CG175)))</f>
        <v>456.24000000000012</v>
      </c>
      <c r="BZ176" s="13">
        <f>BY176*VLOOKUP('Données projet'!$B$12,Paramètres!$A$1:$I$89,3,0)*VLOOKUP('Données projet'!$B$12,Paramètres!$A$1:$I$89,5,0)</f>
        <v>455.51001600000012</v>
      </c>
      <c r="CA176" s="13">
        <f t="shared" si="170"/>
        <v>102.9439519773218</v>
      </c>
      <c r="CB176" s="20">
        <f t="shared" si="171"/>
        <v>972.6406608938355</v>
      </c>
      <c r="CC176" s="59">
        <f t="shared" si="119"/>
        <v>1265.9739942271688</v>
      </c>
      <c r="CD176" s="59">
        <f ca="1">AVERAGE(OFFSET($CC$3,0,0,'Données projet'!$E$12+1,1))-AVERAGE(OFFSET($H$3,0,0,'Données projet'!$E$12+1,1))</f>
        <v>535.99935263833549</v>
      </c>
      <c r="CE176" s="59">
        <f t="shared" si="148"/>
        <v>245.89966477332644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23.315785497894701</v>
      </c>
      <c r="CL176" s="21">
        <f>EXP(-LN(2)/25)*CL175+(1-EXP(-LN(2)/25))/(LN(2)/25)*Calculateur!CG176*Calculateur!CI176*VLOOKUP('Données projet'!$B$12,Paramètres!$A$1:$I$89,3,0)*0.475*44/12</f>
        <v>19.614316533518348</v>
      </c>
      <c r="CM176" s="21">
        <f>EXP(-LN(2)/2)*CM175+(1-EXP(-LN(2)/2))/(LN(2)/2)*CG176*CJ176*VLOOKUP('Données projet'!$B$12,Paramètres!$A$1:$I$89,3,0)*0.475*44/12</f>
        <v>0.86689739031341062</v>
      </c>
      <c r="CN176" s="22">
        <f t="shared" si="172"/>
        <v>43.796999421726461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2.5579538487363607E-13</v>
      </c>
      <c r="CU176" s="17">
        <f>CT176*VLOOKUP('Données projet'!$B$13,Paramètres!$A$1:$I$89,3,0)*VLOOKUP('Données projet'!$B$13,Paramètres!$A$1:$I$89,5,0)</f>
        <v>2.4341488824575211E-13</v>
      </c>
      <c r="CV176" s="13">
        <f t="shared" si="173"/>
        <v>3.2970717324875541E-12</v>
      </c>
      <c r="CW176" s="20">
        <f t="shared" si="174"/>
        <v>6.1663475311105072E-12</v>
      </c>
      <c r="CX176" s="59">
        <f t="shared" si="122"/>
        <v>293.33333333333945</v>
      </c>
      <c r="CY176" s="59">
        <f ca="1">AVERAGE(OFFSET($CX$3,0,0,'Données projet'!$E$13+1,1))-AVERAGE(OFFSET($H$3,0,0,'Données projet'!$E$13+1,1))</f>
        <v>449.28947235329758</v>
      </c>
      <c r="CZ176" s="59">
        <f t="shared" si="150"/>
        <v>289.36994109443964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28.228357857353689</v>
      </c>
      <c r="DG176" s="21">
        <f>EXP(-LN(2)/25)*DG175+(1-EXP(-LN(2)/25))/(LN(2)/25)*Calculateur!DB176*Calculateur!DD176*VLOOKUP('Données projet'!$B$13,Paramètres!$A$1:$I$89,3,0)*0.475*44/12</f>
        <v>18.274634204150992</v>
      </c>
      <c r="DH176" s="21">
        <f>EXP(-LN(2)/2)*DH175+(1-EXP(-LN(2)/2))/(LN(2)/2)*DB176*DE176*VLOOKUP('Données projet'!$B$13,Paramètres!$A$1:$I$89,3,0)*0.475*44/12</f>
        <v>1.208810328835532E-5</v>
      </c>
      <c r="DI176" s="22">
        <f t="shared" si="175"/>
        <v>46.503004149607975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5.6843418860808015E-14</v>
      </c>
      <c r="DP176" s="17">
        <f>DO176*VLOOKUP('Données projet'!$B$14,Paramètres!$A$1:$I$89,3,0)*VLOOKUP('Données projet'!$B$14,Paramètres!$A$1:$I$89,5,0)</f>
        <v>4.4337866711430253E-14</v>
      </c>
      <c r="DQ176" s="13">
        <f t="shared" si="176"/>
        <v>7.3222115536967035E-13</v>
      </c>
      <c r="DR176" s="20">
        <f t="shared" si="177"/>
        <v>1.3525069634579169E-12</v>
      </c>
      <c r="DS176" s="59">
        <f t="shared" si="125"/>
        <v>293.33333333333468</v>
      </c>
      <c r="DT176" s="59">
        <f ca="1">AVERAGE(OFFSET($DS$3,0,0,'Données projet'!$E$14+1,1))-AVERAGE(OFFSET($H$3,0,0,'Données projet'!$E$14+1,1))</f>
        <v>288.82868507674738</v>
      </c>
      <c r="DU176" s="59">
        <f t="shared" si="152"/>
        <v>283.48738729114024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5.4823276142812993</v>
      </c>
      <c r="EB176" s="21">
        <f>EXP(-LN(2)/25)*EB175+(1-EXP(-LN(2)/25))/(LN(2)/25)*Calculateur!DW176*Calculateur!DY176*VLOOKUP('Données projet'!$B$14,Paramètres!$A$1:$I$89,3,0)*0.475*44/12</f>
        <v>2.3681905750468735</v>
      </c>
      <c r="EC176" s="21">
        <f>EXP(-LN(2)/2)*EC175+(1-EXP(-LN(2)/2))/(LN(2)/2)*DW176*DZ176*VLOOKUP('Données projet'!$B$14,Paramètres!$A$1:$I$89,3,0)*0.475*44/12</f>
        <v>1.3490546824819978E-14</v>
      </c>
      <c r="ED176" s="22">
        <f t="shared" si="178"/>
        <v>7.8505181893281861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7.688333333333337</v>
      </c>
      <c r="EJ176" s="12">
        <f>IF('Données projet'!$A$192&gt;35,EJ175+EI176-ER175,IF(A176&lt;'Données projet'!$A$192,$EG$205^A176,IF(A176='Données projet'!$A$192,'Données projet'!$B$192,EJ175+EI176-ER175)))</f>
        <v>402.72166666666635</v>
      </c>
      <c r="EK176" s="17">
        <f>EJ176*VLOOKUP('Données projet'!$B$15,Paramètres!$A$1:$I$89,3,0)*VLOOKUP('Données projet'!$B$15,Paramètres!$A$1:$I$89,5,0)</f>
        <v>389.51239599999968</v>
      </c>
      <c r="EL176" s="13">
        <f t="shared" si="179"/>
        <v>89.647187887544248</v>
      </c>
      <c r="EM176" s="20">
        <f t="shared" si="180"/>
        <v>834.53627527080562</v>
      </c>
      <c r="EN176" s="59">
        <f t="shared" si="128"/>
        <v>1127.8696086041389</v>
      </c>
      <c r="EO176" s="59">
        <f ca="1">AVERAGE(OFFSET($EN$3,0,0,'Données projet'!$E$15+1,1))-AVERAGE(OFFSET($H$3,0,0,'Données projet'!$E$15+1,1))</f>
        <v>510.71380643466227</v>
      </c>
      <c r="EP176" s="59">
        <f t="shared" si="154"/>
        <v>252.40654099948841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25.589236186489352</v>
      </c>
      <c r="EW176" s="21">
        <f>EXP(-LN(2)/25)*EW175+(1-EXP(-LN(2)/25))/(LN(2)/25)*Calculateur!ER176*Calculateur!ET176*VLOOKUP('Données projet'!$B$15,Paramètres!$A$1:$I$89,3,0)*0.475*44/12</f>
        <v>21.410453344479485</v>
      </c>
      <c r="EX176" s="21">
        <f>EXP(-LN(2)/2)*EX175+(1-EXP(-LN(2)/2))/(LN(2)/2)*ER176*EU176*VLOOKUP('Données projet'!$B$15,Paramètres!$A$1:$I$89,3,0)*0.475*44/12</f>
        <v>2.920404527593413</v>
      </c>
      <c r="EY176" s="22">
        <f t="shared" si="181"/>
        <v>49.920094058562249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8.1599999999999984</v>
      </c>
      <c r="N177" s="13">
        <f>IF('Données projet'!$A$36&gt;35,N176+M177-V176,IF(A177&lt;'Données projet'!$A$36,$K$205^A177,IF(A177='Données projet'!$A$36,'Données projet'!$B$36,N176+M177-V176)))</f>
        <v>464.40000000000015</v>
      </c>
      <c r="O177" s="13">
        <f>N177*VLOOKUP('Données projet'!$B$9,Paramètres!$A$1:$I$89,3,0)*VLOOKUP('Données projet'!$B$9,Paramètres!$A$1:$I$89,5,0)</f>
        <v>470.9016000000002</v>
      </c>
      <c r="P177" s="13">
        <f t="shared" si="141"/>
        <v>106.01154394793997</v>
      </c>
      <c r="Q177" s="20">
        <f t="shared" si="162"/>
        <v>1004.7903923759958</v>
      </c>
      <c r="R177" s="59">
        <f t="shared" si="109"/>
        <v>1298.1237257093292</v>
      </c>
      <c r="S177" s="59">
        <f ca="1">AVERAGE(OFFSET($R$3,0,0,'Données projet'!$E$9+1,1))-AVERAGE(OFFSET($H$3,0,0,'Données projet'!$E$9+1,1))</f>
        <v>543.67050511722618</v>
      </c>
      <c r="T177" s="59">
        <f t="shared" si="142"/>
        <v>249.0871389941106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32.502039407203718</v>
      </c>
      <c r="AA177" s="21">
        <f>EXP(-LN(2)/25)*AA176+(1-EXP(-LN(2)/25))/(LN(2)/25)*Calculateur!V177*Calculateur!X177*VLOOKUP('Données projet'!$B$9,Paramètres!$A$1:$I$89,3,0)*0.475*44/12</f>
        <v>18.397751209553501</v>
      </c>
      <c r="AB177" s="21">
        <f>EXP(-LN(2)/2)*AB176+(1-EXP(-LN(2)/2))/(LN(2)/2)*V177*Y177*VLOOKUP('Données projet'!$B$9,Paramètres!$A$1:$I$89,3,0)*0.475*44/12</f>
        <v>0.24902679070901493</v>
      </c>
      <c r="AC177" s="22">
        <f t="shared" si="163"/>
        <v>51.148817407466233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9.6220000000000034</v>
      </c>
      <c r="AH177" s="12">
        <f t="array" ref="AH177">INDEX(AG:AG,MIN(IF(ISNUMBER(AG177:AG373),ROW(AG177:AG373),"")))</f>
        <v>9.6220000000000034</v>
      </c>
      <c r="AI177" s="13">
        <f>IF('Données projet'!$A$62&gt;35,AI176+AH177-AQ176,IF(A177&lt;'Données projet'!$A$62,$AF$205^A177,IF(A177='Données projet'!$A$62,'Données projet'!$B$62,AI176+AH177-AQ176)))</f>
        <v>610.52000000000089</v>
      </c>
      <c r="AJ177" s="13">
        <f>AI177*VLOOKUP('Données projet'!$B$10,Paramètres!$A$1:$I$89,3,0)*VLOOKUP('Données projet'!$B$10,Paramètres!$A$1:$I$89,5,0)</f>
        <v>552.3984960000007</v>
      </c>
      <c r="AK177" s="13">
        <f t="shared" si="164"/>
        <v>122.06927432492597</v>
      </c>
      <c r="AL177" s="20">
        <f t="shared" si="165"/>
        <v>1174.698033315914</v>
      </c>
      <c r="AM177" s="59">
        <f t="shared" si="113"/>
        <v>1468.0313666492473</v>
      </c>
      <c r="AN177" s="59">
        <f ca="1">AVERAGE(OFFSET($AM$3,0,0,'Données projet'!$E$10+1,1))-AVERAGE(OFFSET($H$3,0,0,'Données projet'!$E$10+1,1))</f>
        <v>635.71275911100679</v>
      </c>
      <c r="AO177" s="59">
        <f t="shared" si="144"/>
        <v>281.7776857269169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240</v>
      </c>
      <c r="AR177" s="16">
        <f>IF(ISNA(VLOOKUP(A177,'Données projet'!$A$61:$I$81,5,0)),0%,VLOOKUP(A177,'Données projet'!$A$61:$I$81,5,0)*VLOOKUP('Données projet'!$B$10,Paramètres!$A$1:$I$89,7,0))</f>
        <v>0.19350000000000001</v>
      </c>
      <c r="AS177" s="16">
        <f>IF(ISNA(VLOOKUP(A177,'Données projet'!$A$61:$I$81,6,0)),0%,VLOOKUP(A177,'Données projet'!$A$61:$I$81,6,0)*VLOOKUP('Données projet'!$B$10,Paramètres!$A$1:$I$89,7,0))</f>
        <v>2.1500000000000002E-2</v>
      </c>
      <c r="AT177" s="16">
        <f>IF(ISNA(VLOOKUP(A177,'Données projet'!$A$61:$I$81,7,0)),0%,VLOOKUP(A177,'Données projet'!$A$61:$I$81,7,0))</f>
        <v>0.05</v>
      </c>
      <c r="AU177" s="21">
        <f>EXP(-LN(2)/35)*AU176+(1-EXP(-LN(2)/35))/(LN(2)/35)*AQ177*AR177*VLOOKUP('Données projet'!$B$10,Paramètres!$A$1:$I$89,3,0)*0.475*44/12</f>
        <v>94.533010057963907</v>
      </c>
      <c r="AV177" s="21">
        <f>EXP(-LN(2)/25)*AV176+(1-EXP(-LN(2)/25))/(LN(2)/25)*Calculateur!AQ177*Calculateur!AS177*VLOOKUP('Données projet'!$B$10,Paramètres!$A$1:$I$89,3,0)*0.475*44/12</f>
        <v>22.577722084238086</v>
      </c>
      <c r="AW177" s="21">
        <f>EXP(-LN(2)/2)*AW176+(1-EXP(-LN(2)/2))/(LN(2)/2)*AQ177*AT177*VLOOKUP('Données projet'!$B$10,Paramètres!$A$1:$I$89,3,0)*0.475*44/12</f>
        <v>10.244437980189536</v>
      </c>
      <c r="AX177" s="21">
        <f t="shared" si="166"/>
        <v>127.35517012239153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204.11804238362862</v>
      </c>
      <c r="BJ177" s="59">
        <f t="shared" si="146"/>
        <v>185.53854651509408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1.7124977031435915</v>
      </c>
      <c r="BQ177" s="21">
        <f>EXP(-LN(2)/25)*BQ176+(1-EXP(-LN(2)/25))/(LN(2)/25)*Calculateur!BL177*Calculateur!BN177*VLOOKUP('Données projet'!$B$11,Paramètres!$A$1:$I$89,3,0)*0.475*44/12</f>
        <v>5.1987784700929565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6.9112761732365477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8.1599999999999984</v>
      </c>
      <c r="BY177" s="12">
        <f>IF('Données projet'!$A$114&gt;35,BY176+BX177-CG176,IF(A177&lt;'Données projet'!$A$114,$BV$205^A177,IF(A177='Données projet'!$A$114,'Données projet'!$B$114,BY176+BX177-CG176)))</f>
        <v>464.40000000000015</v>
      </c>
      <c r="BZ177" s="13">
        <f>BY177*VLOOKUP('Données projet'!$B$12,Paramètres!$A$1:$I$89,3,0)*VLOOKUP('Données projet'!$B$12,Paramètres!$A$1:$I$89,5,0)</f>
        <v>463.6569600000002</v>
      </c>
      <c r="CA177" s="13">
        <f t="shared" si="170"/>
        <v>104.56914153798037</v>
      </c>
      <c r="CB177" s="20">
        <f t="shared" si="171"/>
        <v>989.66046017864949</v>
      </c>
      <c r="CC177" s="59">
        <f t="shared" si="119"/>
        <v>1282.9937935119829</v>
      </c>
      <c r="CD177" s="59">
        <f ca="1">AVERAGE(OFFSET($CC$3,0,0,'Données projet'!$E$12+1,1))-AVERAGE(OFFSET($H$3,0,0,'Données projet'!$E$12+1,1))</f>
        <v>535.99935263833549</v>
      </c>
      <c r="CE177" s="59">
        <f t="shared" si="148"/>
        <v>245.89966477332644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22.85857716550591</v>
      </c>
      <c r="CL177" s="21">
        <f>EXP(-LN(2)/25)*CL176+(1-EXP(-LN(2)/25))/(LN(2)/25)*Calculateur!CG177*Calculateur!CI177*VLOOKUP('Données projet'!$B$12,Paramètres!$A$1:$I$89,3,0)*0.475*44/12</f>
        <v>19.077962016437212</v>
      </c>
      <c r="CM177" s="21">
        <f>EXP(-LN(2)/2)*CM176+(1-EXP(-LN(2)/2))/(LN(2)/2)*CG177*CJ177*VLOOKUP('Données projet'!$B$12,Paramètres!$A$1:$I$89,3,0)*0.475*44/12</f>
        <v>0.612989023283534</v>
      </c>
      <c r="CN177" s="22">
        <f t="shared" si="172"/>
        <v>42.54952820522665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2.5579538487363607E-13</v>
      </c>
      <c r="CU177" s="17">
        <f>CT177*VLOOKUP('Données projet'!$B$13,Paramètres!$A$1:$I$89,3,0)*VLOOKUP('Données projet'!$B$13,Paramètres!$A$1:$I$89,5,0)</f>
        <v>2.4341488824575211E-13</v>
      </c>
      <c r="CV177" s="13">
        <f t="shared" si="173"/>
        <v>3.2970717324875541E-12</v>
      </c>
      <c r="CW177" s="20">
        <f t="shared" si="174"/>
        <v>6.1663475311105072E-12</v>
      </c>
      <c r="CX177" s="59">
        <f t="shared" si="122"/>
        <v>293.33333333333945</v>
      </c>
      <c r="CY177" s="59">
        <f ca="1">AVERAGE(OFFSET($CX$3,0,0,'Données projet'!$E$13+1,1))-AVERAGE(OFFSET($H$3,0,0,'Données projet'!$E$13+1,1))</f>
        <v>449.28947235329758</v>
      </c>
      <c r="CZ177" s="59">
        <f t="shared" si="150"/>
        <v>289.36994109443964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27.674816977369179</v>
      </c>
      <c r="DG177" s="21">
        <f>EXP(-LN(2)/25)*DG176+(1-EXP(-LN(2)/25))/(LN(2)/25)*Calculateur!DB177*Calculateur!DD177*VLOOKUP('Données projet'!$B$13,Paramètres!$A$1:$I$89,3,0)*0.475*44/12</f>
        <v>17.774913370817238</v>
      </c>
      <c r="DH177" s="21">
        <f>EXP(-LN(2)/2)*DH176+(1-EXP(-LN(2)/2))/(LN(2)/2)*DB177*DE177*VLOOKUP('Données projet'!$B$13,Paramètres!$A$1:$I$89,3,0)*0.475*44/12</f>
        <v>8.5475798068794505E-6</v>
      </c>
      <c r="DI177" s="22">
        <f t="shared" si="175"/>
        <v>45.449738895766231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5.6843418860808015E-14</v>
      </c>
      <c r="DP177" s="17">
        <f>DO177*VLOOKUP('Données projet'!$B$14,Paramètres!$A$1:$I$89,3,0)*VLOOKUP('Données projet'!$B$14,Paramètres!$A$1:$I$89,5,0)</f>
        <v>4.4337866711430253E-14</v>
      </c>
      <c r="DQ177" s="13">
        <f t="shared" si="176"/>
        <v>7.3222115536967035E-13</v>
      </c>
      <c r="DR177" s="20">
        <f t="shared" si="177"/>
        <v>1.3525069634579169E-12</v>
      </c>
      <c r="DS177" s="59">
        <f t="shared" si="125"/>
        <v>293.33333333333468</v>
      </c>
      <c r="DT177" s="59">
        <f ca="1">AVERAGE(OFFSET($DS$3,0,0,'Données projet'!$E$14+1,1))-AVERAGE(OFFSET($H$3,0,0,'Données projet'!$E$14+1,1))</f>
        <v>288.82868507674738</v>
      </c>
      <c r="DU177" s="59">
        <f t="shared" si="152"/>
        <v>283.48738729114024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5.3748225136549062</v>
      </c>
      <c r="EB177" s="21">
        <f>EXP(-LN(2)/25)*EB176+(1-EXP(-LN(2)/25))/(LN(2)/25)*Calculateur!DW177*Calculateur!DY177*VLOOKUP('Données projet'!$B$14,Paramètres!$A$1:$I$89,3,0)*0.475*44/12</f>
        <v>2.303432279234487</v>
      </c>
      <c r="EC177" s="21">
        <f>EXP(-LN(2)/2)*EC176+(1-EXP(-LN(2)/2))/(LN(2)/2)*DW177*DZ177*VLOOKUP('Données projet'!$B$14,Paramètres!$A$1:$I$89,3,0)*0.475*44/12</f>
        <v>9.5392571417448539E-15</v>
      </c>
      <c r="ED177" s="22">
        <f t="shared" si="178"/>
        <v>7.6782547928894029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7.688333333333337</v>
      </c>
      <c r="EJ177" s="12">
        <f>IF('Données projet'!$A$192&gt;35,EJ176+EI177-ER176,IF(A177&lt;'Données projet'!$A$192,$EG$205^A177,IF(A177='Données projet'!$A$192,'Données projet'!$B$192,EJ176+EI177-ER176)))</f>
        <v>410.40999999999968</v>
      </c>
      <c r="EK177" s="17">
        <f>EJ177*VLOOKUP('Données projet'!$B$15,Paramètres!$A$1:$I$89,3,0)*VLOOKUP('Données projet'!$B$15,Paramètres!$A$1:$I$89,5,0)</f>
        <v>396.94855199999972</v>
      </c>
      <c r="EL177" s="13">
        <f t="shared" si="179"/>
        <v>91.157755520722489</v>
      </c>
      <c r="EM177" s="20">
        <f t="shared" si="180"/>
        <v>850.11848559859118</v>
      </c>
      <c r="EN177" s="59">
        <f t="shared" si="128"/>
        <v>1143.4518189319244</v>
      </c>
      <c r="EO177" s="59">
        <f ca="1">AVERAGE(OFFSET($EN$3,0,0,'Données projet'!$E$15+1,1))-AVERAGE(OFFSET($H$3,0,0,'Données projet'!$E$15+1,1))</f>
        <v>510.71380643466227</v>
      </c>
      <c r="EP177" s="59">
        <f t="shared" si="154"/>
        <v>252.40654099948841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25.087446872765216</v>
      </c>
      <c r="EW177" s="21">
        <f>EXP(-LN(2)/25)*EW176+(1-EXP(-LN(2)/25))/(LN(2)/25)*Calculateur!ER177*Calculateur!ET177*VLOOKUP('Données projet'!$B$15,Paramètres!$A$1:$I$89,3,0)*0.475*44/12</f>
        <v>20.824983371847885</v>
      </c>
      <c r="EX177" s="21">
        <f>EXP(-LN(2)/2)*EX176+(1-EXP(-LN(2)/2))/(LN(2)/2)*ER177*EU177*VLOOKUP('Données projet'!$B$15,Paramètres!$A$1:$I$89,3,0)*0.475*44/12</f>
        <v>2.0650378452691984</v>
      </c>
      <c r="EY177" s="22">
        <f t="shared" si="181"/>
        <v>47.977468089882301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8.1599999999999984</v>
      </c>
      <c r="N178" s="13">
        <f>IF('Données projet'!$A$36&gt;35,N177+M178-V177,IF(A178&lt;'Données projet'!$A$36,$K$205^A178,IF(A178='Données projet'!$A$36,'Données projet'!$B$36,N177+M178-V177)))</f>
        <v>472.56000000000017</v>
      </c>
      <c r="O178" s="13">
        <f>N178*VLOOKUP('Données projet'!$B$9,Paramètres!$A$1:$I$89,3,0)*VLOOKUP('Données projet'!$B$9,Paramètres!$A$1:$I$89,5,0)</f>
        <v>479.17584000000016</v>
      </c>
      <c r="P178" s="13">
        <f t="shared" si="141"/>
        <v>107.65578445244694</v>
      </c>
      <c r="Q178" s="20">
        <f t="shared" si="162"/>
        <v>1022.0650792546788</v>
      </c>
      <c r="R178" s="59">
        <f t="shared" si="109"/>
        <v>1315.3984125880122</v>
      </c>
      <c r="S178" s="59">
        <f ca="1">AVERAGE(OFFSET($R$3,0,0,'Données projet'!$E$9+1,1))-AVERAGE(OFFSET($H$3,0,0,'Données projet'!$E$9+1,1))</f>
        <v>543.67050511722618</v>
      </c>
      <c r="T178" s="59">
        <f t="shared" si="142"/>
        <v>249.0871389941106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31.864694238715007</v>
      </c>
      <c r="AA178" s="21">
        <f>EXP(-LN(2)/25)*AA177+(1-EXP(-LN(2)/25))/(LN(2)/25)*Calculateur!V178*Calculateur!X178*VLOOKUP('Données projet'!$B$9,Paramètres!$A$1:$I$89,3,0)*0.475*44/12</f>
        <v>17.894663735232573</v>
      </c>
      <c r="AB178" s="21">
        <f>EXP(-LN(2)/2)*AB177+(1-EXP(-LN(2)/2))/(LN(2)/2)*V178*Y178*VLOOKUP('Données projet'!$B$9,Paramètres!$A$1:$I$89,3,0)*0.475*44/12</f>
        <v>0.17608853240746761</v>
      </c>
      <c r="AC178" s="22">
        <f t="shared" si="163"/>
        <v>49.935446506355049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6.140000000000005</v>
      </c>
      <c r="AI178" s="13">
        <f>IF('Données projet'!$A$62&gt;35,AI177+AH178-AQ177,IF(A178&lt;'Données projet'!$A$62,$AF$205^A178,IF(A178='Données projet'!$A$62,'Données projet'!$B$62,AI177+AH178-AQ177)))</f>
        <v>376.66000000000088</v>
      </c>
      <c r="AJ178" s="13">
        <f>AI178*VLOOKUP('Données projet'!$B$10,Paramètres!$A$1:$I$89,3,0)*VLOOKUP('Données projet'!$B$10,Paramètres!$A$1:$I$89,5,0)</f>
        <v>340.80196800000078</v>
      </c>
      <c r="AK178" s="13">
        <f t="shared" si="164"/>
        <v>79.665615362245418</v>
      </c>
      <c r="AL178" s="20">
        <f t="shared" si="165"/>
        <v>732.31437435591215</v>
      </c>
      <c r="AM178" s="59">
        <f t="shared" si="113"/>
        <v>1025.6477076892454</v>
      </c>
      <c r="AN178" s="59">
        <f ca="1">AVERAGE(OFFSET($AM$3,0,0,'Données projet'!$E$10+1,1))-AVERAGE(OFFSET($H$3,0,0,'Données projet'!$E$10+1,1))</f>
        <v>635.71275911100679</v>
      </c>
      <c r="AO178" s="59">
        <f t="shared" si="144"/>
        <v>281.7776857269169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92.679275390169977</v>
      </c>
      <c r="AV178" s="21">
        <f>EXP(-LN(2)/25)*AV177+(1-EXP(-LN(2)/25))/(LN(2)/25)*Calculateur!AQ178*Calculateur!AS178*VLOOKUP('Données projet'!$B$10,Paramètres!$A$1:$I$89,3,0)*0.475*44/12</f>
        <v>21.960333086533794</v>
      </c>
      <c r="AW178" s="21">
        <f>EXP(-LN(2)/2)*AW177+(1-EXP(-LN(2)/2))/(LN(2)/2)*AQ178*AT178*VLOOKUP('Données projet'!$B$10,Paramètres!$A$1:$I$89,3,0)*0.475*44/12</f>
        <v>7.2439115652370401</v>
      </c>
      <c r="AX178" s="21">
        <f t="shared" si="166"/>
        <v>121.88352004194081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204.11804238362862</v>
      </c>
      <c r="BJ178" s="59">
        <f t="shared" si="146"/>
        <v>185.53854651509408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1.6789166677054068</v>
      </c>
      <c r="BQ178" s="21">
        <f>EXP(-LN(2)/25)*BQ177+(1-EXP(-LN(2)/25))/(LN(2)/25)*Calculateur!BL178*Calculateur!BN178*VLOOKUP('Données projet'!$B$11,Paramètres!$A$1:$I$89,3,0)*0.475*44/12</f>
        <v>5.0566175994363869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6.7355342671417935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8.1599999999999984</v>
      </c>
      <c r="BY178" s="12">
        <f>IF('Données projet'!$A$114&gt;35,BY177+BX178-CG177,IF(A178&lt;'Données projet'!$A$114,$BV$205^A178,IF(A178='Données projet'!$A$114,'Données projet'!$B$114,BY177+BX178-CG177)))</f>
        <v>472.56000000000017</v>
      </c>
      <c r="BZ178" s="13">
        <f>BY178*VLOOKUP('Données projet'!$B$12,Paramètres!$A$1:$I$89,3,0)*VLOOKUP('Données projet'!$B$12,Paramètres!$A$1:$I$89,5,0)</f>
        <v>471.80390400000022</v>
      </c>
      <c r="CA178" s="13">
        <f t="shared" si="170"/>
        <v>106.19101036127302</v>
      </c>
      <c r="CB178" s="20">
        <f t="shared" si="171"/>
        <v>1006.6744758458841</v>
      </c>
      <c r="CC178" s="59">
        <f t="shared" si="119"/>
        <v>1300.0078091792175</v>
      </c>
      <c r="CD178" s="59">
        <f ca="1">AVERAGE(OFFSET($CC$3,0,0,'Données projet'!$E$12+1,1))-AVERAGE(OFFSET($H$3,0,0,'Données projet'!$E$12+1,1))</f>
        <v>535.99935263833549</v>
      </c>
      <c r="CE178" s="59">
        <f t="shared" si="148"/>
        <v>245.89966477332644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22.410334409645717</v>
      </c>
      <c r="CL178" s="21">
        <f>EXP(-LN(2)/25)*CL177+(1-EXP(-LN(2)/25))/(LN(2)/25)*Calculateur!CG178*Calculateur!CI178*VLOOKUP('Données projet'!$B$12,Paramètres!$A$1:$I$89,3,0)*0.475*44/12</f>
        <v>18.556274141831317</v>
      </c>
      <c r="CM178" s="21">
        <f>EXP(-LN(2)/2)*CM177+(1-EXP(-LN(2)/2))/(LN(2)/2)*CG178*CJ178*VLOOKUP('Données projet'!$B$12,Paramètres!$A$1:$I$89,3,0)*0.475*44/12</f>
        <v>0.43344869515670537</v>
      </c>
      <c r="CN178" s="22">
        <f t="shared" si="172"/>
        <v>41.400057246633743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2.5579538487363607E-13</v>
      </c>
      <c r="CU178" s="17">
        <f>CT178*VLOOKUP('Données projet'!$B$13,Paramètres!$A$1:$I$89,3,0)*VLOOKUP('Données projet'!$B$13,Paramètres!$A$1:$I$89,5,0)</f>
        <v>2.4341488824575211E-13</v>
      </c>
      <c r="CV178" s="13">
        <f t="shared" si="173"/>
        <v>3.2970717324875541E-12</v>
      </c>
      <c r="CW178" s="20">
        <f t="shared" si="174"/>
        <v>6.1663475311105072E-12</v>
      </c>
      <c r="CX178" s="59">
        <f t="shared" si="122"/>
        <v>293.33333333333945</v>
      </c>
      <c r="CY178" s="59">
        <f ca="1">AVERAGE(OFFSET($CX$3,0,0,'Données projet'!$E$13+1,1))-AVERAGE(OFFSET($H$3,0,0,'Données projet'!$E$13+1,1))</f>
        <v>449.28947235329758</v>
      </c>
      <c r="CZ178" s="59">
        <f t="shared" si="150"/>
        <v>289.36994109443964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27.132130696414567</v>
      </c>
      <c r="DG178" s="21">
        <f>EXP(-LN(2)/25)*DG177+(1-EXP(-LN(2)/25))/(LN(2)/25)*Calculateur!DB178*Calculateur!DD178*VLOOKUP('Données projet'!$B$13,Paramètres!$A$1:$I$89,3,0)*0.475*44/12</f>
        <v>17.28885742995017</v>
      </c>
      <c r="DH178" s="21">
        <f>EXP(-LN(2)/2)*DH177+(1-EXP(-LN(2)/2))/(LN(2)/2)*DB178*DE178*VLOOKUP('Données projet'!$B$13,Paramètres!$A$1:$I$89,3,0)*0.475*44/12</f>
        <v>6.0440516441776599E-6</v>
      </c>
      <c r="DI178" s="22">
        <f t="shared" si="175"/>
        <v>44.420994170416378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5.6843418860808015E-14</v>
      </c>
      <c r="DP178" s="17">
        <f>DO178*VLOOKUP('Données projet'!$B$14,Paramètres!$A$1:$I$89,3,0)*VLOOKUP('Données projet'!$B$14,Paramètres!$A$1:$I$89,5,0)</f>
        <v>4.4337866711430253E-14</v>
      </c>
      <c r="DQ178" s="13">
        <f t="shared" si="176"/>
        <v>7.3222115536967035E-13</v>
      </c>
      <c r="DR178" s="20">
        <f t="shared" si="177"/>
        <v>1.3525069634579169E-12</v>
      </c>
      <c r="DS178" s="59">
        <f t="shared" si="125"/>
        <v>293.33333333333468</v>
      </c>
      <c r="DT178" s="59">
        <f ca="1">AVERAGE(OFFSET($DS$3,0,0,'Données projet'!$E$14+1,1))-AVERAGE(OFFSET($H$3,0,0,'Données projet'!$E$14+1,1))</f>
        <v>288.82868507674738</v>
      </c>
      <c r="DU178" s="59">
        <f t="shared" si="152"/>
        <v>283.48738729114024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5.2694255224801596</v>
      </c>
      <c r="EB178" s="21">
        <f>EXP(-LN(2)/25)*EB177+(1-EXP(-LN(2)/25))/(LN(2)/25)*Calculateur!DW178*Calculateur!DY178*VLOOKUP('Données projet'!$B$14,Paramètres!$A$1:$I$89,3,0)*0.475*44/12</f>
        <v>2.2404448024265808</v>
      </c>
      <c r="EC178" s="21">
        <f>EXP(-LN(2)/2)*EC177+(1-EXP(-LN(2)/2))/(LN(2)/2)*DW178*DZ178*VLOOKUP('Données projet'!$B$14,Paramètres!$A$1:$I$89,3,0)*0.475*44/12</f>
        <v>6.7452734124099892E-15</v>
      </c>
      <c r="ED178" s="22">
        <f t="shared" si="178"/>
        <v>7.509870324906748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7.688333333333337</v>
      </c>
      <c r="EJ178" s="12">
        <f>IF('Données projet'!$A$192&gt;35,EJ177+EI178-ER177,IF(A178&lt;'Données projet'!$A$192,$EG$205^A178,IF(A178='Données projet'!$A$192,'Données projet'!$B$192,EJ177+EI178-ER177)))</f>
        <v>418.09833333333302</v>
      </c>
      <c r="EK178" s="17">
        <f>EJ178*VLOOKUP('Données projet'!$B$15,Paramètres!$A$1:$I$89,3,0)*VLOOKUP('Données projet'!$B$15,Paramètres!$A$1:$I$89,5,0)</f>
        <v>404.3847079999997</v>
      </c>
      <c r="EL178" s="13">
        <f t="shared" si="179"/>
        <v>92.665032661718087</v>
      </c>
      <c r="EM178" s="20">
        <f t="shared" si="180"/>
        <v>865.6949649858251</v>
      </c>
      <c r="EN178" s="59">
        <f t="shared" si="128"/>
        <v>1159.0282983191585</v>
      </c>
      <c r="EO178" s="59">
        <f ca="1">AVERAGE(OFFSET($EN$3,0,0,'Données projet'!$E$15+1,1))-AVERAGE(OFFSET($H$3,0,0,'Données projet'!$E$15+1,1))</f>
        <v>510.71380643466227</v>
      </c>
      <c r="EP178" s="59">
        <f t="shared" si="154"/>
        <v>252.40654099948841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24.595497341421954</v>
      </c>
      <c r="EW178" s="21">
        <f>EXP(-LN(2)/25)*EW177+(1-EXP(-LN(2)/25))/(LN(2)/25)*Calculateur!ER178*Calculateur!ET178*VLOOKUP('Données projet'!$B$15,Paramètres!$A$1:$I$89,3,0)*0.475*44/12</f>
        <v>20.255523106406425</v>
      </c>
      <c r="EX178" s="21">
        <f>EXP(-LN(2)/2)*EX177+(1-EXP(-LN(2)/2))/(LN(2)/2)*ER178*EU178*VLOOKUP('Données projet'!$B$15,Paramètres!$A$1:$I$89,3,0)*0.475*44/12</f>
        <v>1.4602022637967067</v>
      </c>
      <c r="EY178" s="22">
        <f t="shared" si="181"/>
        <v>46.311222711625085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8.1599999999999984</v>
      </c>
      <c r="N179" s="13">
        <f>IF('Données projet'!$A$36&gt;35,N178+M179-V178,IF(A179&lt;'Données projet'!$A$36,$K$205^A179,IF(A179='Données projet'!$A$36,'Données projet'!$B$36,N178+M179-V178)))</f>
        <v>480.7200000000002</v>
      </c>
      <c r="O179" s="13">
        <f>N179*VLOOKUP('Données projet'!$B$9,Paramètres!$A$1:$I$89,3,0)*VLOOKUP('Données projet'!$B$9,Paramètres!$A$1:$I$89,5,0)</f>
        <v>487.45008000000024</v>
      </c>
      <c r="P179" s="13">
        <f t="shared" si="141"/>
        <v>109.29672325430197</v>
      </c>
      <c r="Q179" s="20">
        <f t="shared" si="162"/>
        <v>1039.3340156679096</v>
      </c>
      <c r="R179" s="59">
        <f t="shared" si="109"/>
        <v>1332.6673490012429</v>
      </c>
      <c r="S179" s="59">
        <f ca="1">AVERAGE(OFFSET($R$3,0,0,'Données projet'!$E$9+1,1))-AVERAGE(OFFSET($H$3,0,0,'Données projet'!$E$9+1,1))</f>
        <v>543.67050511722618</v>
      </c>
      <c r="T179" s="59">
        <f t="shared" si="142"/>
        <v>249.0871389941106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31.239847020238191</v>
      </c>
      <c r="AA179" s="21">
        <f>EXP(-LN(2)/25)*AA178+(1-EXP(-LN(2)/25))/(LN(2)/25)*Calculateur!V179*Calculateur!X179*VLOOKUP('Données projet'!$B$9,Paramètres!$A$1:$I$89,3,0)*0.475*44/12</f>
        <v>17.40533321435317</v>
      </c>
      <c r="AB179" s="21">
        <f>EXP(-LN(2)/2)*AB178+(1-EXP(-LN(2)/2))/(LN(2)/2)*V179*Y179*VLOOKUP('Données projet'!$B$9,Paramètres!$A$1:$I$89,3,0)*0.475*44/12</f>
        <v>0.12451339535450749</v>
      </c>
      <c r="AC179" s="22">
        <f t="shared" si="163"/>
        <v>48.76969362994587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6.140000000000005</v>
      </c>
      <c r="AI179" s="13">
        <f>IF('Données projet'!$A$62&gt;35,AI178+AH179-AQ178,IF(A179&lt;'Données projet'!$A$62,$AF$205^A179,IF(A179='Données projet'!$A$62,'Données projet'!$B$62,AI178+AH179-AQ178)))</f>
        <v>382.80000000000086</v>
      </c>
      <c r="AJ179" s="13">
        <f>AI179*VLOOKUP('Données projet'!$B$10,Paramètres!$A$1:$I$89,3,0)*VLOOKUP('Données projet'!$B$10,Paramètres!$A$1:$I$89,5,0)</f>
        <v>346.35744000000079</v>
      </c>
      <c r="AK179" s="13">
        <f t="shared" si="164"/>
        <v>80.812014230904367</v>
      </c>
      <c r="AL179" s="20">
        <f t="shared" si="165"/>
        <v>743.98679945215974</v>
      </c>
      <c r="AM179" s="59">
        <f t="shared" si="113"/>
        <v>1037.3201327854931</v>
      </c>
      <c r="AN179" s="59">
        <f ca="1">AVERAGE(OFFSET($AM$3,0,0,'Données projet'!$E$10+1,1))-AVERAGE(OFFSET($H$3,0,0,'Données projet'!$E$10+1,1))</f>
        <v>635.71275911100679</v>
      </c>
      <c r="AO179" s="59">
        <f t="shared" si="144"/>
        <v>281.7776857269169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90.861891328544985</v>
      </c>
      <c r="AV179" s="21">
        <f>EXP(-LN(2)/25)*AV178+(1-EXP(-LN(2)/25))/(LN(2)/25)*Calculateur!AQ179*Calculateur!AS179*VLOOKUP('Données projet'!$B$10,Paramètres!$A$1:$I$89,3,0)*0.475*44/12</f>
        <v>21.359826623438803</v>
      </c>
      <c r="AW179" s="21">
        <f>EXP(-LN(2)/2)*AW178+(1-EXP(-LN(2)/2))/(LN(2)/2)*AQ179*AT179*VLOOKUP('Données projet'!$B$10,Paramètres!$A$1:$I$89,3,0)*0.475*44/12</f>
        <v>5.122218990094769</v>
      </c>
      <c r="AX179" s="21">
        <f t="shared" si="166"/>
        <v>117.34393694207856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204.11804238362862</v>
      </c>
      <c r="BJ179" s="59">
        <f t="shared" si="146"/>
        <v>185.53854651509408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1.6459941358897556</v>
      </c>
      <c r="BQ179" s="21">
        <f>EXP(-LN(2)/25)*BQ178+(1-EXP(-LN(2)/25))/(LN(2)/25)*Calculateur!BL179*Calculateur!BN179*VLOOKUP('Données projet'!$B$11,Paramètres!$A$1:$I$89,3,0)*0.475*44/12</f>
        <v>4.918344125263836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6.5643382611535914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8.1599999999999984</v>
      </c>
      <c r="BY179" s="12">
        <f>IF('Données projet'!$A$114&gt;35,BY178+BX179-CG178,IF(A179&lt;'Données projet'!$A$114,$BV$205^A179,IF(A179='Données projet'!$A$114,'Données projet'!$B$114,BY178+BX179-CG178)))</f>
        <v>480.7200000000002</v>
      </c>
      <c r="BZ179" s="13">
        <f>BY179*VLOOKUP('Données projet'!$B$12,Paramètres!$A$1:$I$89,3,0)*VLOOKUP('Données projet'!$B$12,Paramètres!$A$1:$I$89,5,0)</f>
        <v>479.95084800000018</v>
      </c>
      <c r="CA179" s="13">
        <f t="shared" si="170"/>
        <v>107.80962240517077</v>
      </c>
      <c r="CB179" s="20">
        <f t="shared" si="171"/>
        <v>1023.682819289006</v>
      </c>
      <c r="CC179" s="59">
        <f t="shared" si="119"/>
        <v>1317.0161526223394</v>
      </c>
      <c r="CD179" s="59">
        <f ca="1">AVERAGE(OFFSET($CC$3,0,0,'Données projet'!$E$12+1,1))-AVERAGE(OFFSET($H$3,0,0,'Données projet'!$E$12+1,1))</f>
        <v>535.99935263833549</v>
      </c>
      <c r="CE179" s="59">
        <f t="shared" si="148"/>
        <v>245.89966477332644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21.970881420826856</v>
      </c>
      <c r="CL179" s="21">
        <f>EXP(-LN(2)/25)*CL178+(1-EXP(-LN(2)/25))/(LN(2)/25)*Calculateur!CG179*Calculateur!CI179*VLOOKUP('Données projet'!$B$12,Paramètres!$A$1:$I$89,3,0)*0.475*44/12</f>
        <v>18.048851849590893</v>
      </c>
      <c r="CM179" s="21">
        <f>EXP(-LN(2)/2)*CM178+(1-EXP(-LN(2)/2))/(LN(2)/2)*CG179*CJ179*VLOOKUP('Données projet'!$B$12,Paramètres!$A$1:$I$89,3,0)*0.475*44/12</f>
        <v>0.306494511641767</v>
      </c>
      <c r="CN179" s="22">
        <f t="shared" si="172"/>
        <v>40.326227782059512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2.5579538487363607E-13</v>
      </c>
      <c r="CU179" s="17">
        <f>CT179*VLOOKUP('Données projet'!$B$13,Paramètres!$A$1:$I$89,3,0)*VLOOKUP('Données projet'!$B$13,Paramètres!$A$1:$I$89,5,0)</f>
        <v>2.4341488824575211E-13</v>
      </c>
      <c r="CV179" s="13">
        <f t="shared" si="173"/>
        <v>3.2970717324875541E-12</v>
      </c>
      <c r="CW179" s="20">
        <f t="shared" si="174"/>
        <v>6.1663475311105072E-12</v>
      </c>
      <c r="CX179" s="59">
        <f t="shared" si="122"/>
        <v>293.33333333333945</v>
      </c>
      <c r="CY179" s="59">
        <f ca="1">AVERAGE(OFFSET($CX$3,0,0,'Données projet'!$E$13+1,1))-AVERAGE(OFFSET($H$3,0,0,'Données projet'!$E$13+1,1))</f>
        <v>449.28947235329758</v>
      </c>
      <c r="CZ179" s="59">
        <f t="shared" si="150"/>
        <v>289.36994109443964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26.600086162423526</v>
      </c>
      <c r="DG179" s="21">
        <f>EXP(-LN(2)/25)*DG178+(1-EXP(-LN(2)/25))/(LN(2)/25)*Calculateur!DB179*Calculateur!DD179*VLOOKUP('Données projet'!$B$13,Paramètres!$A$1:$I$89,3,0)*0.475*44/12</f>
        <v>16.816092714346684</v>
      </c>
      <c r="DH179" s="21">
        <f>EXP(-LN(2)/2)*DH178+(1-EXP(-LN(2)/2))/(LN(2)/2)*DB179*DE179*VLOOKUP('Données projet'!$B$13,Paramètres!$A$1:$I$89,3,0)*0.475*44/12</f>
        <v>4.2737899034397253E-6</v>
      </c>
      <c r="DI179" s="22">
        <f t="shared" si="175"/>
        <v>43.416183150560116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5.6843418860808015E-14</v>
      </c>
      <c r="DP179" s="17">
        <f>DO179*VLOOKUP('Données projet'!$B$14,Paramètres!$A$1:$I$89,3,0)*VLOOKUP('Données projet'!$B$14,Paramètres!$A$1:$I$89,5,0)</f>
        <v>4.4337866711430253E-14</v>
      </c>
      <c r="DQ179" s="13">
        <f t="shared" si="176"/>
        <v>7.3222115536967035E-13</v>
      </c>
      <c r="DR179" s="20">
        <f t="shared" si="177"/>
        <v>1.3525069634579169E-12</v>
      </c>
      <c r="DS179" s="59">
        <f t="shared" si="125"/>
        <v>293.33333333333468</v>
      </c>
      <c r="DT179" s="59">
        <f ca="1">AVERAGE(OFFSET($DS$3,0,0,'Données projet'!$E$14+1,1))-AVERAGE(OFFSET($H$3,0,0,'Données projet'!$E$14+1,1))</f>
        <v>288.82868507674738</v>
      </c>
      <c r="DU179" s="59">
        <f t="shared" si="152"/>
        <v>283.48738729114024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5.166095302016533</v>
      </c>
      <c r="EB179" s="21">
        <f>EXP(-LN(2)/25)*EB178+(1-EXP(-LN(2)/25))/(LN(2)/25)*Calculateur!DW179*Calculateur!DY179*VLOOKUP('Données projet'!$B$14,Paramètres!$A$1:$I$89,3,0)*0.475*44/12</f>
        <v>2.1791797214843545</v>
      </c>
      <c r="EC179" s="21">
        <f>EXP(-LN(2)/2)*EC178+(1-EXP(-LN(2)/2))/(LN(2)/2)*DW179*DZ179*VLOOKUP('Données projet'!$B$14,Paramètres!$A$1:$I$89,3,0)*0.475*44/12</f>
        <v>4.7696285708724269E-15</v>
      </c>
      <c r="ED179" s="22">
        <f t="shared" si="178"/>
        <v>7.3452750235008919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7.688333333333337</v>
      </c>
      <c r="EJ179" s="12">
        <f>IF('Données projet'!$A$192&gt;35,EJ178+EI179-ER178,IF(A179&lt;'Données projet'!$A$192,$EG$205^A179,IF(A179='Données projet'!$A$192,'Données projet'!$B$192,EJ178+EI179-ER178)))</f>
        <v>425.78666666666635</v>
      </c>
      <c r="EK179" s="17">
        <f>EJ179*VLOOKUP('Données projet'!$B$15,Paramètres!$A$1:$I$89,3,0)*VLOOKUP('Données projet'!$B$15,Paramètres!$A$1:$I$89,5,0)</f>
        <v>411.82086399999974</v>
      </c>
      <c r="EL179" s="13">
        <f t="shared" si="179"/>
        <v>94.169086797374149</v>
      </c>
      <c r="EM179" s="20">
        <f t="shared" si="180"/>
        <v>881.26583097209289</v>
      </c>
      <c r="EN179" s="59">
        <f t="shared" si="128"/>
        <v>1174.5991643054263</v>
      </c>
      <c r="EO179" s="59">
        <f ca="1">AVERAGE(OFFSET($EN$3,0,0,'Données projet'!$E$15+1,1))-AVERAGE(OFFSET($H$3,0,0,'Données projet'!$E$15+1,1))</f>
        <v>510.71380643466227</v>
      </c>
      <c r="EP179" s="59">
        <f t="shared" si="154"/>
        <v>252.40654099948841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24.113194640328746</v>
      </c>
      <c r="EW179" s="21">
        <f>EXP(-LN(2)/25)*EW178+(1-EXP(-LN(2)/25))/(LN(2)/25)*Calculateur!ER179*Calculateur!ET179*VLOOKUP('Données projet'!$B$15,Paramètres!$A$1:$I$89,3,0)*0.475*44/12</f>
        <v>19.701634761870075</v>
      </c>
      <c r="EX179" s="21">
        <f>EXP(-LN(2)/2)*EX178+(1-EXP(-LN(2)/2))/(LN(2)/2)*ER179*EU179*VLOOKUP('Données projet'!$B$15,Paramètres!$A$1:$I$89,3,0)*0.475*44/12</f>
        <v>1.0325189226345992</v>
      </c>
      <c r="EY179" s="22">
        <f t="shared" si="181"/>
        <v>44.847348324833426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8.1599999999999984</v>
      </c>
      <c r="N180" s="13">
        <f>IF('Données projet'!$A$36&gt;35,N179+M180-V179,IF(A180&lt;'Données projet'!$A$36,$K$205^A180,IF(A180='Données projet'!$A$36,'Données projet'!$B$36,N179+M180-V179)))</f>
        <v>488.88000000000022</v>
      </c>
      <c r="O180" s="13">
        <f>N180*VLOOKUP('Données projet'!$B$9,Paramètres!$A$1:$I$89,3,0)*VLOOKUP('Données projet'!$B$9,Paramètres!$A$1:$I$89,5,0)</f>
        <v>495.72432000000026</v>
      </c>
      <c r="P180" s="13">
        <f t="shared" si="141"/>
        <v>110.93442286628483</v>
      </c>
      <c r="Q180" s="20">
        <f t="shared" si="162"/>
        <v>1056.5973104921131</v>
      </c>
      <c r="R180" s="59">
        <f t="shared" si="109"/>
        <v>1349.9306438254464</v>
      </c>
      <c r="S180" s="59">
        <f ca="1">AVERAGE(OFFSET($R$3,0,0,'Données projet'!$E$9+1,1))-AVERAGE(OFFSET($H$3,0,0,'Données projet'!$E$9+1,1))</f>
        <v>543.67050511722618</v>
      </c>
      <c r="T180" s="59">
        <f t="shared" si="142"/>
        <v>249.0871389941106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30.627252674596534</v>
      </c>
      <c r="AA180" s="21">
        <f>EXP(-LN(2)/25)*AA179+(1-EXP(-LN(2)/25))/(LN(2)/25)*Calculateur!V180*Calculateur!X180*VLOOKUP('Données projet'!$B$9,Paramètres!$A$1:$I$89,3,0)*0.475*44/12</f>
        <v>16.929383462299988</v>
      </c>
      <c r="AB180" s="21">
        <f>EXP(-LN(2)/2)*AB179+(1-EXP(-LN(2)/2))/(LN(2)/2)*V180*Y180*VLOOKUP('Données projet'!$B$9,Paramètres!$A$1:$I$89,3,0)*0.475*44/12</f>
        <v>8.8044266203733818E-2</v>
      </c>
      <c r="AC180" s="22">
        <f t="shared" si="163"/>
        <v>47.644680403100253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6.140000000000005</v>
      </c>
      <c r="AH180" s="12">
        <f t="array" ref="AH180">INDEX(AG:AG,MIN(IF(ISNUMBER(AG180:AG376),ROW(AG180:AG376),"")))</f>
        <v>6.140000000000005</v>
      </c>
      <c r="AI180" s="13">
        <f>IF('Données projet'!$A$62&gt;35,AI179+AH180-AQ179,IF(A180&lt;'Données projet'!$A$62,$AF$205^A180,IF(A180='Données projet'!$A$62,'Données projet'!$B$62,AI179+AH180-AQ179)))</f>
        <v>388.94000000000085</v>
      </c>
      <c r="AJ180" s="13">
        <f>AI180*VLOOKUP('Données projet'!$B$10,Paramètres!$A$1:$I$89,3,0)*VLOOKUP('Données projet'!$B$10,Paramètres!$A$1:$I$89,5,0)</f>
        <v>351.91291200000074</v>
      </c>
      <c r="AK180" s="13">
        <f t="shared" si="164"/>
        <v>81.956274647572329</v>
      </c>
      <c r="AL180" s="20">
        <f t="shared" si="165"/>
        <v>755.65550007785635</v>
      </c>
      <c r="AM180" s="59">
        <f t="shared" si="113"/>
        <v>1048.9888334111897</v>
      </c>
      <c r="AN180" s="59">
        <f ca="1">AVERAGE(OFFSET($AM$3,0,0,'Données projet'!$E$10+1,1))-AVERAGE(OFFSET($H$3,0,0,'Données projet'!$E$10+1,1))</f>
        <v>635.71275911100679</v>
      </c>
      <c r="AO180" s="59">
        <f t="shared" si="144"/>
        <v>281.7776857269169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128.66000000000003</v>
      </c>
      <c r="AR180" s="16">
        <f>IF(ISNA(VLOOKUP(A180,'Données projet'!$A$61:$I$81,5,0)),0%,VLOOKUP(A180,'Données projet'!$A$61:$I$81,5,0)*VLOOKUP('Données projet'!$B$10,Paramètres!$A$1:$I$89,7,0))</f>
        <v>0.19350000000000001</v>
      </c>
      <c r="AS180" s="16">
        <f>IF(ISNA(VLOOKUP(A180,'Données projet'!$A$61:$I$81,6,0)),0%,VLOOKUP(A180,'Données projet'!$A$61:$I$81,6,0)*VLOOKUP('Données projet'!$B$10,Paramètres!$A$1:$I$89,7,0))</f>
        <v>2.1500000000000002E-2</v>
      </c>
      <c r="AT180" s="16">
        <f>IF(ISNA(VLOOKUP(A180,'Données projet'!$A$61:$I$81,7,0)),0%,VLOOKUP(A180,'Données projet'!$A$61:$I$81,7,0))</f>
        <v>0.05</v>
      </c>
      <c r="AU180" s="21">
        <f>EXP(-LN(2)/35)*AU179+(1-EXP(-LN(2)/35))/(LN(2)/35)*AQ180*AR180*VLOOKUP('Données projet'!$B$10,Paramètres!$A$1:$I$89,3,0)*0.475*44/12</f>
        <v>113.98157109998739</v>
      </c>
      <c r="AV180" s="21">
        <f>EXP(-LN(2)/25)*AV179+(1-EXP(-LN(2)/25))/(LN(2)/25)*Calculateur!AQ180*Calculateur!AS180*VLOOKUP('Données projet'!$B$10,Paramètres!$A$1:$I$89,3,0)*0.475*44/12</f>
        <v>23.531672112001587</v>
      </c>
      <c r="AW180" s="21">
        <f>EXP(-LN(2)/2)*AW179+(1-EXP(-LN(2)/2))/(LN(2)/2)*AQ180*AT180*VLOOKUP('Données projet'!$B$10,Paramètres!$A$1:$I$89,3,0)*0.475*44/12</f>
        <v>9.1138281615892875</v>
      </c>
      <c r="AX180" s="21">
        <f t="shared" si="166"/>
        <v>146.62707137357827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204.11804238362862</v>
      </c>
      <c r="BJ180" s="59">
        <f t="shared" si="146"/>
        <v>185.53854651509408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1.613717194842248</v>
      </c>
      <c r="BQ180" s="21">
        <f>EXP(-LN(2)/25)*BQ179+(1-EXP(-LN(2)/25))/(LN(2)/25)*Calculateur!BL180*Calculateur!BN180*VLOOKUP('Données projet'!$B$11,Paramètres!$A$1:$I$89,3,0)*0.475*44/12</f>
        <v>4.7838517465140198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6.3975689413562673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8.1599999999999984</v>
      </c>
      <c r="BY180" s="12">
        <f>IF('Données projet'!$A$114&gt;35,BY179+BX180-CG179,IF(A180&lt;'Données projet'!$A$114,$BV$205^A180,IF(A180='Données projet'!$A$114,'Données projet'!$B$114,BY179+BX180-CG179)))</f>
        <v>488.88000000000022</v>
      </c>
      <c r="BZ180" s="13">
        <f>BY180*VLOOKUP('Données projet'!$B$12,Paramètres!$A$1:$I$89,3,0)*VLOOKUP('Données projet'!$B$12,Paramètres!$A$1:$I$89,5,0)</f>
        <v>488.09779200000025</v>
      </c>
      <c r="CA180" s="13">
        <f t="shared" si="170"/>
        <v>109.42503933189934</v>
      </c>
      <c r="CB180" s="20">
        <f t="shared" si="171"/>
        <v>1040.6855979030584</v>
      </c>
      <c r="CC180" s="59">
        <f t="shared" si="119"/>
        <v>1334.0189312363916</v>
      </c>
      <c r="CD180" s="59">
        <f ca="1">AVERAGE(OFFSET($CC$3,0,0,'Données projet'!$E$12+1,1))-AVERAGE(OFFSET($H$3,0,0,'Données projet'!$E$12+1,1))</f>
        <v>535.99935263833549</v>
      </c>
      <c r="CE180" s="59">
        <f t="shared" si="148"/>
        <v>245.89966477332644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21.540045837078878</v>
      </c>
      <c r="CL180" s="21">
        <f>EXP(-LN(2)/25)*CL179+(1-EXP(-LN(2)/25))/(LN(2)/25)*Calculateur!CG180*Calculateur!CI180*VLOOKUP('Données projet'!$B$12,Paramètres!$A$1:$I$89,3,0)*0.475*44/12</f>
        <v>17.555305046615963</v>
      </c>
      <c r="CM180" s="21">
        <f>EXP(-LN(2)/2)*CM179+(1-EXP(-LN(2)/2))/(LN(2)/2)*CG180*CJ180*VLOOKUP('Données projet'!$B$12,Paramètres!$A$1:$I$89,3,0)*0.475*44/12</f>
        <v>0.21672434757835268</v>
      </c>
      <c r="CN180" s="22">
        <f t="shared" si="172"/>
        <v>39.312075231273191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2.5579538487363607E-13</v>
      </c>
      <c r="CU180" s="17">
        <f>CT180*VLOOKUP('Données projet'!$B$13,Paramètres!$A$1:$I$89,3,0)*VLOOKUP('Données projet'!$B$13,Paramètres!$A$1:$I$89,5,0)</f>
        <v>2.4341488824575211E-13</v>
      </c>
      <c r="CV180" s="13">
        <f t="shared" si="173"/>
        <v>3.2970717324875541E-12</v>
      </c>
      <c r="CW180" s="20">
        <f t="shared" si="174"/>
        <v>6.1663475311105072E-12</v>
      </c>
      <c r="CX180" s="59">
        <f t="shared" si="122"/>
        <v>293.33333333333945</v>
      </c>
      <c r="CY180" s="59">
        <f ca="1">AVERAGE(OFFSET($CX$3,0,0,'Données projet'!$E$13+1,1))-AVERAGE(OFFSET($H$3,0,0,'Données projet'!$E$13+1,1))</f>
        <v>449.28947235329758</v>
      </c>
      <c r="CZ180" s="59">
        <f t="shared" si="150"/>
        <v>289.36994109443964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26.078474697228927</v>
      </c>
      <c r="DG180" s="21">
        <f>EXP(-LN(2)/25)*DG179+(1-EXP(-LN(2)/25))/(LN(2)/25)*Calculateur!DB180*Calculateur!DD180*VLOOKUP('Données projet'!$B$13,Paramètres!$A$1:$I$89,3,0)*0.475*44/12</f>
        <v>16.356255774752992</v>
      </c>
      <c r="DH180" s="21">
        <f>EXP(-LN(2)/2)*DH179+(1-EXP(-LN(2)/2))/(LN(2)/2)*DB180*DE180*VLOOKUP('Données projet'!$B$13,Paramètres!$A$1:$I$89,3,0)*0.475*44/12</f>
        <v>3.0220258220888299E-6</v>
      </c>
      <c r="DI180" s="22">
        <f t="shared" si="175"/>
        <v>42.434733494007745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5.6843418860808015E-14</v>
      </c>
      <c r="DP180" s="17">
        <f>DO180*VLOOKUP('Données projet'!$B$14,Paramètres!$A$1:$I$89,3,0)*VLOOKUP('Données projet'!$B$14,Paramètres!$A$1:$I$89,5,0)</f>
        <v>4.4337866711430253E-14</v>
      </c>
      <c r="DQ180" s="13">
        <f t="shared" si="176"/>
        <v>7.3222115536967035E-13</v>
      </c>
      <c r="DR180" s="20">
        <f t="shared" si="177"/>
        <v>1.3525069634579169E-12</v>
      </c>
      <c r="DS180" s="59">
        <f t="shared" si="125"/>
        <v>293.33333333333468</v>
      </c>
      <c r="DT180" s="59">
        <f ca="1">AVERAGE(OFFSET($DS$3,0,0,'Données projet'!$E$14+1,1))-AVERAGE(OFFSET($H$3,0,0,'Données projet'!$E$14+1,1))</f>
        <v>288.82868507674738</v>
      </c>
      <c r="DU180" s="59">
        <f t="shared" si="152"/>
        <v>283.48738729114024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5.0647913241509865</v>
      </c>
      <c r="EB180" s="21">
        <f>EXP(-LN(2)/25)*EB179+(1-EXP(-LN(2)/25))/(LN(2)/25)*Calculateur!DW180*Calculateur!DY180*VLOOKUP('Données projet'!$B$14,Paramètres!$A$1:$I$89,3,0)*0.475*44/12</f>
        <v>2.1195899374022837</v>
      </c>
      <c r="EC180" s="21">
        <f>EXP(-LN(2)/2)*EC179+(1-EXP(-LN(2)/2))/(LN(2)/2)*DW180*DZ180*VLOOKUP('Données projet'!$B$14,Paramètres!$A$1:$I$89,3,0)*0.475*44/12</f>
        <v>3.3726367062049946E-15</v>
      </c>
      <c r="ED180" s="22">
        <f t="shared" si="178"/>
        <v>7.1843812615532734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7.688333333333337</v>
      </c>
      <c r="EJ180" s="12">
        <f>IF('Données projet'!$A$192&gt;35,EJ179+EI180-ER179,IF(A180&lt;'Données projet'!$A$192,$EG$205^A180,IF(A180='Données projet'!$A$192,'Données projet'!$B$192,EJ179+EI180-ER179)))</f>
        <v>433.47499999999968</v>
      </c>
      <c r="EK180" s="17">
        <f>EJ180*VLOOKUP('Données projet'!$B$15,Paramètres!$A$1:$I$89,3,0)*VLOOKUP('Données projet'!$B$15,Paramètres!$A$1:$I$89,5,0)</f>
        <v>419.25701999999967</v>
      </c>
      <c r="EL180" s="13">
        <f t="shared" si="179"/>
        <v>95.669982837789078</v>
      </c>
      <c r="EM180" s="20">
        <f t="shared" si="180"/>
        <v>896.83119660914872</v>
      </c>
      <c r="EN180" s="59">
        <f t="shared" si="128"/>
        <v>1190.164529942482</v>
      </c>
      <c r="EO180" s="59">
        <f ca="1">AVERAGE(OFFSET($EN$3,0,0,'Données projet'!$E$15+1,1))-AVERAGE(OFFSET($H$3,0,0,'Données projet'!$E$15+1,1))</f>
        <v>510.71380643466227</v>
      </c>
      <c r="EP180" s="59">
        <f t="shared" si="154"/>
        <v>252.40654099948841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23.640349601028376</v>
      </c>
      <c r="EW180" s="21">
        <f>EXP(-LN(2)/25)*EW179+(1-EXP(-LN(2)/25))/(LN(2)/25)*Calculateur!ER180*Calculateur!ET180*VLOOKUP('Données projet'!$B$15,Paramètres!$A$1:$I$89,3,0)*0.475*44/12</f>
        <v>19.162892523242796</v>
      </c>
      <c r="EX180" s="21">
        <f>EXP(-LN(2)/2)*EX179+(1-EXP(-LN(2)/2))/(LN(2)/2)*ER180*EU180*VLOOKUP('Données projet'!$B$15,Paramètres!$A$1:$I$89,3,0)*0.475*44/12</f>
        <v>0.73010113189835335</v>
      </c>
      <c r="EY180" s="22">
        <f t="shared" si="181"/>
        <v>43.533343256169523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8.1599999999999984</v>
      </c>
      <c r="N181" s="13">
        <f>IF('Données projet'!$A$36&gt;35,N180+M181-V180,IF(A181&lt;'Données projet'!$A$36,$K$205^A181,IF(A181='Données projet'!$A$36,'Données projet'!$B$36,N180+M181-V180)))</f>
        <v>497.04000000000025</v>
      </c>
      <c r="O181" s="13">
        <f>N181*VLOOKUP('Données projet'!$B$9,Paramètres!$A$1:$I$89,3,0)*VLOOKUP('Données projet'!$B$9,Paramètres!$A$1:$I$89,5,0)</f>
        <v>503.99856000000034</v>
      </c>
      <c r="P181" s="13">
        <f t="shared" si="141"/>
        <v>112.56894359473155</v>
      </c>
      <c r="Q181" s="20">
        <f t="shared" si="162"/>
        <v>1073.8550687608247</v>
      </c>
      <c r="R181" s="59">
        <f t="shared" si="109"/>
        <v>1367.1884020941579</v>
      </c>
      <c r="S181" s="59">
        <f ca="1">AVERAGE(OFFSET($R$3,0,0,'Données projet'!$E$9+1,1))-AVERAGE(OFFSET($H$3,0,0,'Données projet'!$E$9+1,1))</f>
        <v>543.67050511722618</v>
      </c>
      <c r="T181" s="59">
        <f t="shared" si="142"/>
        <v>249.0871389941106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30.026670930427255</v>
      </c>
      <c r="AA181" s="21">
        <f>EXP(-LN(2)/25)*AA180+(1-EXP(-LN(2)/25))/(LN(2)/25)*Calculateur!V181*Calculateur!X181*VLOOKUP('Données projet'!$B$9,Paramètres!$A$1:$I$89,3,0)*0.475*44/12</f>
        <v>16.46644858124581</v>
      </c>
      <c r="AB181" s="21">
        <f>EXP(-LN(2)/2)*AB180+(1-EXP(-LN(2)/2))/(LN(2)/2)*V181*Y181*VLOOKUP('Données projet'!$B$9,Paramètres!$A$1:$I$89,3,0)*0.475*44/12</f>
        <v>6.2256697677253753E-2</v>
      </c>
      <c r="AC181" s="22">
        <f t="shared" si="163"/>
        <v>46.555376209350321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3.76000000000001</v>
      </c>
      <c r="AI181" s="13">
        <f>IF('Données projet'!$A$62&gt;35,AI180+AH181-AQ180,IF(A181&lt;'Données projet'!$A$62,$AF$205^A181,IF(A181='Données projet'!$A$62,'Données projet'!$B$62,AI180+AH181-AQ180)))</f>
        <v>264.04000000000082</v>
      </c>
      <c r="AJ181" s="13">
        <f>AI181*VLOOKUP('Données projet'!$B$10,Paramètres!$A$1:$I$89,3,0)*VLOOKUP('Données projet'!$B$10,Paramètres!$A$1:$I$89,5,0)</f>
        <v>238.90339200000074</v>
      </c>
      <c r="AK181" s="13">
        <f t="shared" si="164"/>
        <v>58.203527078995975</v>
      </c>
      <c r="AL181" s="20">
        <f t="shared" si="165"/>
        <v>517.46121739591933</v>
      </c>
      <c r="AM181" s="59">
        <f t="shared" si="113"/>
        <v>810.79455072925271</v>
      </c>
      <c r="AN181" s="59">
        <f ca="1">AVERAGE(OFFSET($AM$3,0,0,'Données projet'!$E$10+1,1))-AVERAGE(OFFSET($H$3,0,0,'Données projet'!$E$10+1,1))</f>
        <v>635.71275911100679</v>
      </c>
      <c r="AO181" s="59">
        <f t="shared" si="144"/>
        <v>281.7776857269169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111.74646201261029</v>
      </c>
      <c r="AV181" s="21">
        <f>EXP(-LN(2)/25)*AV180+(1-EXP(-LN(2)/25))/(LN(2)/25)*Calculateur!AQ181*Calculateur!AS181*VLOOKUP('Données projet'!$B$10,Paramètres!$A$1:$I$89,3,0)*0.475*44/12</f>
        <v>22.88819730062205</v>
      </c>
      <c r="AW181" s="21">
        <f>EXP(-LN(2)/2)*AW180+(1-EXP(-LN(2)/2))/(LN(2)/2)*AQ181*AT181*VLOOKUP('Données projet'!$B$10,Paramètres!$A$1:$I$89,3,0)*0.475*44/12</f>
        <v>6.4444496956287116</v>
      </c>
      <c r="AX181" s="21">
        <f t="shared" si="166"/>
        <v>141.07910900886105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204.11804238362862</v>
      </c>
      <c r="BJ181" s="59">
        <f t="shared" si="146"/>
        <v>185.53854651509408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1.5820731849216918</v>
      </c>
      <c r="BQ181" s="21">
        <f>EXP(-LN(2)/25)*BQ180+(1-EXP(-LN(2)/25))/(LN(2)/25)*Calculateur!BL181*Calculateur!BN181*VLOOKUP('Données projet'!$B$11,Paramètres!$A$1:$I$89,3,0)*0.475*44/12</f>
        <v>4.6530370689337639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6.2351102538554555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8.1599999999999984</v>
      </c>
      <c r="BY181" s="12">
        <f>IF('Données projet'!$A$114&gt;35,BY180+BX181-CG180,IF(A181&lt;'Données projet'!$A$114,$BV$205^A181,IF(A181='Données projet'!$A$114,'Données projet'!$B$114,BY180+BX181-CG180)))</f>
        <v>497.04000000000025</v>
      </c>
      <c r="BZ181" s="13">
        <f>BY181*VLOOKUP('Données projet'!$B$12,Paramètres!$A$1:$I$89,3,0)*VLOOKUP('Données projet'!$B$12,Paramètres!$A$1:$I$89,5,0)</f>
        <v>496.24473600000027</v>
      </c>
      <c r="CA181" s="13">
        <f t="shared" si="170"/>
        <v>111.03732062726131</v>
      </c>
      <c r="CB181" s="20">
        <f t="shared" si="171"/>
        <v>1057.6829152924804</v>
      </c>
      <c r="CC181" s="59">
        <f t="shared" si="119"/>
        <v>1351.0162486258137</v>
      </c>
      <c r="CD181" s="59">
        <f ca="1">AVERAGE(OFFSET($CC$3,0,0,'Données projet'!$E$12+1,1))-AVERAGE(OFFSET($H$3,0,0,'Données projet'!$E$12+1,1))</f>
        <v>535.99935263833549</v>
      </c>
      <c r="CE181" s="59">
        <f t="shared" si="148"/>
        <v>245.89966477332644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21.11765867634444</v>
      </c>
      <c r="CL181" s="21">
        <f>EXP(-LN(2)/25)*CL180+(1-EXP(-LN(2)/25))/(LN(2)/25)*Calculateur!CG181*Calculateur!CI181*VLOOKUP('Données projet'!$B$12,Paramètres!$A$1:$I$89,3,0)*0.475*44/12</f>
        <v>17.075254306922879</v>
      </c>
      <c r="CM181" s="21">
        <f>EXP(-LN(2)/2)*CM180+(1-EXP(-LN(2)/2))/(LN(2)/2)*CG181*CJ181*VLOOKUP('Données projet'!$B$12,Paramètres!$A$1:$I$89,3,0)*0.475*44/12</f>
        <v>0.1532472558208835</v>
      </c>
      <c r="CN181" s="22">
        <f t="shared" si="172"/>
        <v>38.346160239088206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2.5579538487363607E-13</v>
      </c>
      <c r="CU181" s="17">
        <f>CT181*VLOOKUP('Données projet'!$B$13,Paramètres!$A$1:$I$89,3,0)*VLOOKUP('Données projet'!$B$13,Paramètres!$A$1:$I$89,5,0)</f>
        <v>2.4341488824575211E-13</v>
      </c>
      <c r="CV181" s="13">
        <f t="shared" si="173"/>
        <v>3.2970717324875541E-12</v>
      </c>
      <c r="CW181" s="20">
        <f t="shared" si="174"/>
        <v>6.1663475311105072E-12</v>
      </c>
      <c r="CX181" s="59">
        <f t="shared" si="122"/>
        <v>293.33333333333945</v>
      </c>
      <c r="CY181" s="59">
        <f ca="1">AVERAGE(OFFSET($CX$3,0,0,'Données projet'!$E$13+1,1))-AVERAGE(OFFSET($H$3,0,0,'Données projet'!$E$13+1,1))</f>
        <v>449.28947235329758</v>
      </c>
      <c r="CZ181" s="59">
        <f t="shared" si="150"/>
        <v>289.36994109443964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25.567091714715218</v>
      </c>
      <c r="DG181" s="21">
        <f>EXP(-LN(2)/25)*DG180+(1-EXP(-LN(2)/25))/(LN(2)/25)*Calculateur!DB181*Calculateur!DD181*VLOOKUP('Données projet'!$B$13,Paramètres!$A$1:$I$89,3,0)*0.475*44/12</f>
        <v>15.908993100454262</v>
      </c>
      <c r="DH181" s="21">
        <f>EXP(-LN(2)/2)*DH180+(1-EXP(-LN(2)/2))/(LN(2)/2)*DB181*DE181*VLOOKUP('Données projet'!$B$13,Paramètres!$A$1:$I$89,3,0)*0.475*44/12</f>
        <v>2.1368949517198626E-6</v>
      </c>
      <c r="DI181" s="22">
        <f t="shared" si="175"/>
        <v>41.476086952064428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5.6843418860808015E-14</v>
      </c>
      <c r="DP181" s="17">
        <f>DO181*VLOOKUP('Données projet'!$B$14,Paramètres!$A$1:$I$89,3,0)*VLOOKUP('Données projet'!$B$14,Paramètres!$A$1:$I$89,5,0)</f>
        <v>4.4337866711430253E-14</v>
      </c>
      <c r="DQ181" s="13">
        <f t="shared" si="176"/>
        <v>7.3222115536967035E-13</v>
      </c>
      <c r="DR181" s="20">
        <f t="shared" si="177"/>
        <v>1.3525069634579169E-12</v>
      </c>
      <c r="DS181" s="59">
        <f t="shared" si="125"/>
        <v>293.33333333333468</v>
      </c>
      <c r="DT181" s="59">
        <f ca="1">AVERAGE(OFFSET($DS$3,0,0,'Données projet'!$E$14+1,1))-AVERAGE(OFFSET($H$3,0,0,'Données projet'!$E$14+1,1))</f>
        <v>288.82868507674738</v>
      </c>
      <c r="DU181" s="59">
        <f t="shared" si="152"/>
        <v>283.48738729114024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4.9654738555020588</v>
      </c>
      <c r="EB181" s="21">
        <f>EXP(-LN(2)/25)*EB180+(1-EXP(-LN(2)/25))/(LN(2)/25)*Calculateur!DW181*Calculateur!DY181*VLOOKUP('Données projet'!$B$14,Paramètres!$A$1:$I$89,3,0)*0.475*44/12</f>
        <v>2.0616296390996278</v>
      </c>
      <c r="EC181" s="21">
        <f>EXP(-LN(2)/2)*EC180+(1-EXP(-LN(2)/2))/(LN(2)/2)*DW181*DZ181*VLOOKUP('Données projet'!$B$14,Paramètres!$A$1:$I$89,3,0)*0.475*44/12</f>
        <v>2.3848142854362135E-15</v>
      </c>
      <c r="ED181" s="22">
        <f t="shared" si="178"/>
        <v>7.0271034946016888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7.688333333333337</v>
      </c>
      <c r="EJ181" s="12">
        <f>IF('Données projet'!$A$192&gt;35,EJ180+EI181-ER180,IF(A181&lt;'Données projet'!$A$192,$EG$205^A181,IF(A181='Données projet'!$A$192,'Données projet'!$B$192,EJ180+EI181-ER180)))</f>
        <v>441.16333333333301</v>
      </c>
      <c r="EK181" s="17">
        <f>EJ181*VLOOKUP('Données projet'!$B$15,Paramètres!$A$1:$I$89,3,0)*VLOOKUP('Données projet'!$B$15,Paramètres!$A$1:$I$89,5,0)</f>
        <v>426.69317599999971</v>
      </c>
      <c r="EL181" s="13">
        <f t="shared" si="179"/>
        <v>97.167783258626656</v>
      </c>
      <c r="EM181" s="20">
        <f t="shared" si="180"/>
        <v>912.39117070877421</v>
      </c>
      <c r="EN181" s="59">
        <f t="shared" si="128"/>
        <v>1205.7245040421076</v>
      </c>
      <c r="EO181" s="59">
        <f ca="1">AVERAGE(OFFSET($EN$3,0,0,'Données projet'!$E$15+1,1))-AVERAGE(OFFSET($H$3,0,0,'Données projet'!$E$15+1,1))</f>
        <v>510.71380643466227</v>
      </c>
      <c r="EP181" s="59">
        <f t="shared" si="154"/>
        <v>252.40654099948841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23.176776764541689</v>
      </c>
      <c r="EW181" s="21">
        <f>EXP(-LN(2)/25)*EW180+(1-EXP(-LN(2)/25))/(LN(2)/25)*Calculateur!ER181*Calculateur!ET181*VLOOKUP('Données projet'!$B$15,Paramètres!$A$1:$I$89,3,0)*0.475*44/12</f>
        <v>18.638882219462001</v>
      </c>
      <c r="EX181" s="21">
        <f>EXP(-LN(2)/2)*EX180+(1-EXP(-LN(2)/2))/(LN(2)/2)*ER181*EU181*VLOOKUP('Données projet'!$B$15,Paramètres!$A$1:$I$89,3,0)*0.475*44/12</f>
        <v>0.51625946131729961</v>
      </c>
      <c r="EY181" s="22">
        <f t="shared" si="181"/>
        <v>42.331918445320987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>
        <f>VLOOKUP(A182,'Données projet'!$A$35:$I$55,2,0)</f>
        <v>505.2</v>
      </c>
      <c r="L182" s="12">
        <f>VLOOKUP(A182,'Données projet'!$A$35:$I$55,9,0)</f>
        <v>8.1599999999999984</v>
      </c>
      <c r="M182" s="12">
        <f t="array" ref="M182">INDEX(L:L,MIN(IF(ISNUMBER(L182:L378),ROW(L182:L378),"")))</f>
        <v>8.1599999999999984</v>
      </c>
      <c r="N182" s="13">
        <f>IF('Données projet'!$A$36&gt;35,N181+M182-V181,IF(A182&lt;'Données projet'!$A$36,$K$205^A182,IF(A182='Données projet'!$A$36,'Données projet'!$B$36,N181+M182-V181)))</f>
        <v>505.20000000000027</v>
      </c>
      <c r="O182" s="13">
        <f>N182*VLOOKUP('Données projet'!$B$9,Paramètres!$A$1:$I$89,3,0)*VLOOKUP('Données projet'!$B$9,Paramètres!$A$1:$I$89,5,0)</f>
        <v>512.2728000000003</v>
      </c>
      <c r="P182" s="13">
        <f t="shared" si="141"/>
        <v>114.2003436523336</v>
      </c>
      <c r="Q182" s="20">
        <f t="shared" si="162"/>
        <v>1091.1073918611482</v>
      </c>
      <c r="R182" s="59">
        <f t="shared" si="109"/>
        <v>1384.4407251944815</v>
      </c>
      <c r="S182" s="59">
        <f ca="1">AVERAGE(OFFSET($R$3,0,0,'Données projet'!$E$9+1,1))-AVERAGE(OFFSET($H$3,0,0,'Données projet'!$E$9+1,1))</f>
        <v>543.67050511722618</v>
      </c>
      <c r="T182" s="59">
        <f t="shared" si="142"/>
        <v>249.0871389941106</v>
      </c>
      <c r="U182" s="15">
        <f>IF(ISNA(VLOOKUP(A182,'Données projet'!$A$35:$I$55,3,0)),0,VLOOKUP(A182,'Données projet'!$A$35:$I$55,3,0))</f>
        <v>13</v>
      </c>
      <c r="V182" s="15">
        <f>IF(ISNA(VLOOKUP(A182,'Données projet'!$A$35:$I$55,4,0)),0,VLOOKUP(A182,'Données projet'!$A$35:$I$55,4,0))</f>
        <v>227.02999999999997</v>
      </c>
      <c r="W182" s="16">
        <f>IF(ISNA(VLOOKUP(A182,'Données projet'!$A$35:$I$55,5,0)),0%,VLOOKUP(A182,'Données projet'!$A$35:$I$55,5,0)*VLOOKUP('Données projet'!$B$9,Paramètres!$A$1:$I$89,7,0))</f>
        <v>0.215</v>
      </c>
      <c r="X182" s="16">
        <f>IF(ISNA(VLOOKUP(A182,'Données projet'!$A$35:$I$55,6,0)),0%,VLOOKUP(A182,'Données projet'!$A$35:$I$55,6,0)*VLOOKUP('Données projet'!$B$9,Paramètres!$A$1:$I$89,7,0))</f>
        <v>8.6000000000000007E-2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84.152912955194807</v>
      </c>
      <c r="AA182" s="21">
        <f>EXP(-LN(2)/25)*AA181+(1-EXP(-LN(2)/25))/(LN(2)/25)*Calculateur!V182*Calculateur!X182*VLOOKUP('Données projet'!$B$9,Paramètres!$A$1:$I$89,3,0)*0.475*44/12</f>
        <v>37.816017774946715</v>
      </c>
      <c r="AB182" s="21">
        <f>EXP(-LN(2)/2)*AB181+(1-EXP(-LN(2)/2))/(LN(2)/2)*V182*Y182*VLOOKUP('Données projet'!$B$9,Paramètres!$A$1:$I$89,3,0)*0.475*44/12</f>
        <v>4.4022133101866916E-2</v>
      </c>
      <c r="AC182" s="22">
        <f t="shared" si="163"/>
        <v>122.01295286324338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3.76000000000001</v>
      </c>
      <c r="AI182" s="13">
        <f>IF('Données projet'!$A$62&gt;35,AI181+AH182-AQ181,IF(A182&lt;'Données projet'!$A$62,$AF$205^A182,IF(A182='Données projet'!$A$62,'Données projet'!$B$62,AI181+AH182-AQ181)))</f>
        <v>267.80000000000081</v>
      </c>
      <c r="AJ182" s="13">
        <f>AI182*VLOOKUP('Données projet'!$B$10,Paramètres!$A$1:$I$89,3,0)*VLOOKUP('Données projet'!$B$10,Paramètres!$A$1:$I$89,5,0)</f>
        <v>242.30544000000074</v>
      </c>
      <c r="AK182" s="13">
        <f t="shared" si="164"/>
        <v>58.935280802002858</v>
      </c>
      <c r="AL182" s="20">
        <f t="shared" si="165"/>
        <v>524.66092206348958</v>
      </c>
      <c r="AM182" s="59">
        <f t="shared" si="113"/>
        <v>817.99425539682284</v>
      </c>
      <c r="AN182" s="59">
        <f ca="1">AVERAGE(OFFSET($AM$3,0,0,'Données projet'!$E$10+1,1))-AVERAGE(OFFSET($H$3,0,0,'Données projet'!$E$10+1,1))</f>
        <v>635.71275911100679</v>
      </c>
      <c r="AO182" s="59">
        <f t="shared" si="144"/>
        <v>281.7776857269169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109.55518205115473</v>
      </c>
      <c r="AV182" s="21">
        <f>EXP(-LN(2)/25)*AV181+(1-EXP(-LN(2)/25))/(LN(2)/25)*Calculateur!AQ182*Calculateur!AS182*VLOOKUP('Données projet'!$B$10,Paramètres!$A$1:$I$89,3,0)*0.475*44/12</f>
        <v>22.262318341798554</v>
      </c>
      <c r="AW182" s="21">
        <f>EXP(-LN(2)/2)*AW181+(1-EXP(-LN(2)/2))/(LN(2)/2)*AQ182*AT182*VLOOKUP('Données projet'!$B$10,Paramètres!$A$1:$I$89,3,0)*0.475*44/12</f>
        <v>4.5569140807946447</v>
      </c>
      <c r="AX182" s="21">
        <f t="shared" si="166"/>
        <v>136.37441447374795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204.11804238362862</v>
      </c>
      <c r="BJ182" s="59">
        <f t="shared" si="146"/>
        <v>185.53854651509408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1.5510496947347374</v>
      </c>
      <c r="BQ182" s="21">
        <f>EXP(-LN(2)/25)*BQ181+(1-EXP(-LN(2)/25))/(LN(2)/25)*Calculateur!BL182*Calculateur!BN182*VLOOKUP('Données projet'!$B$11,Paramètres!$A$1:$I$89,3,0)*0.475*44/12</f>
        <v>4.5257995255911849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6.0768492203259221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>
        <f>VLOOKUP(A182,'Données projet'!$A$113:$I$133,2,0)</f>
        <v>505.2</v>
      </c>
      <c r="BW182" s="12">
        <f>VLOOKUP(A182,'Données projet'!$A$113:$I$133,9,0)</f>
        <v>8.1599999999999984</v>
      </c>
      <c r="BX182" s="12">
        <f t="array" ref="BX182">INDEX(BW:BW,MIN(IF(ISNUMBER(BW182:BW378),ROW(BW182:BW378),"")))</f>
        <v>8.1599999999999984</v>
      </c>
      <c r="BY182" s="12">
        <f>IF('Données projet'!$A$114&gt;35,BY181+BX182-CG181,IF(A182&lt;'Données projet'!$A$114,$BV$205^A182,IF(A182='Données projet'!$A$114,'Données projet'!$B$114,BY181+BX182-CG181)))</f>
        <v>505.20000000000027</v>
      </c>
      <c r="BZ182" s="13">
        <f>BY182*VLOOKUP('Données projet'!$B$12,Paramètres!$A$1:$I$89,3,0)*VLOOKUP('Données projet'!$B$12,Paramètres!$A$1:$I$89,5,0)</f>
        <v>504.39168000000035</v>
      </c>
      <c r="CA182" s="13">
        <f t="shared" si="170"/>
        <v>112.64652371190115</v>
      </c>
      <c r="CB182" s="20">
        <f t="shared" si="171"/>
        <v>1074.674871464895</v>
      </c>
      <c r="CC182" s="59">
        <f t="shared" si="119"/>
        <v>1368.0082047982282</v>
      </c>
      <c r="CD182" s="59">
        <f ca="1">AVERAGE(OFFSET($CC$3,0,0,'Données projet'!$E$12+1,1))-AVERAGE(OFFSET($H$3,0,0,'Données projet'!$E$12+1,1))</f>
        <v>535.99935263833549</v>
      </c>
      <c r="CE182" s="59">
        <f t="shared" si="148"/>
        <v>245.89966477332644</v>
      </c>
      <c r="CF182" s="15">
        <f>IF(ISNA(VLOOKUP(A182,'Données projet'!$A$113:$I$133,3,0)),0,VLOOKUP(A182,'Données projet'!$A$113:$I$133,3,0))</f>
        <v>13</v>
      </c>
      <c r="CG182" s="15">
        <f>IF(ISNA(VLOOKUP(A182,'Données projet'!$A$113:$I$133,4,0)),0,VLOOKUP(A182,'Données projet'!$A$113:$I$133,4,0))</f>
        <v>227.02999999999997</v>
      </c>
      <c r="CH182" s="16">
        <f>IF(ISNA(VLOOKUP(A182,'Données projet'!$A$113:$I$133,5,0)),0%,VLOOKUP(A182,'Données projet'!$A$113:$I$133,5,0)*VLOOKUP('Données projet'!$B$12,Paramètres!$A$1:$I$89,7,0))</f>
        <v>0.1075</v>
      </c>
      <c r="CI182" s="16">
        <f>IF(ISNA(VLOOKUP(A182,'Données projet'!$A$113:$I$133,6,0)),0%,VLOOKUP(A182,'Données projet'!$A$113:$I$133,6,0)*VLOOKUP('Données projet'!$B$12,Paramètres!$A$1:$I$89,7,0))</f>
        <v>0.1075</v>
      </c>
      <c r="CJ182" s="16">
        <f>IF(ISNA(VLOOKUP(A182,'Données projet'!$A$113:$I$133,7,0)),0%,VLOOKUP(A182,'Données projet'!$A$113:$I$133,7,0))</f>
        <v>0.25</v>
      </c>
      <c r="CK182" s="21">
        <f>EXP(-LN(2)/35)*CK181+(1-EXP(-LN(2)/35))/(LN(2)/35)*CG182*CH182*VLOOKUP('Données projet'!$B$12,Paramètres!$A$1:$I$89,3,0)*0.475*44/12</f>
        <v>47.640192659002437</v>
      </c>
      <c r="CL182" s="21">
        <f>EXP(-LN(2)/25)*CL181+(1-EXP(-LN(2)/25))/(LN(2)/25)*Calculateur!CG182*Calculateur!CI182*VLOOKUP('Données projet'!$B$12,Paramètres!$A$1:$I$89,3,0)*0.475*44/12</f>
        <v>43.438909159752043</v>
      </c>
      <c r="CM182" s="21">
        <f>EXP(-LN(2)/2)*CM181+(1-EXP(-LN(2)/2))/(LN(2)/2)*CG182*CJ182*VLOOKUP('Données projet'!$B$12,Paramètres!$A$1:$I$89,3,0)*0.475*44/12</f>
        <v>53.574907463335343</v>
      </c>
      <c r="CN182" s="22">
        <f t="shared" si="172"/>
        <v>144.65400928208982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2.5579538487363607E-13</v>
      </c>
      <c r="CU182" s="17">
        <f>CT182*VLOOKUP('Données projet'!$B$13,Paramètres!$A$1:$I$89,3,0)*VLOOKUP('Données projet'!$B$13,Paramètres!$A$1:$I$89,5,0)</f>
        <v>2.4341488824575211E-13</v>
      </c>
      <c r="CV182" s="13">
        <f t="shared" si="173"/>
        <v>3.2970717324875541E-12</v>
      </c>
      <c r="CW182" s="20">
        <f t="shared" si="174"/>
        <v>6.1663475311105072E-12</v>
      </c>
      <c r="CX182" s="59">
        <f t="shared" si="122"/>
        <v>293.33333333333945</v>
      </c>
      <c r="CY182" s="59">
        <f ca="1">AVERAGE(OFFSET($CX$3,0,0,'Données projet'!$E$13+1,1))-AVERAGE(OFFSET($H$3,0,0,'Données projet'!$E$13+1,1))</f>
        <v>449.28947235329758</v>
      </c>
      <c r="CZ182" s="59">
        <f t="shared" si="150"/>
        <v>289.36994109443964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25.065736640575782</v>
      </c>
      <c r="DG182" s="21">
        <f>EXP(-LN(2)/25)*DG181+(1-EXP(-LN(2)/25))/(LN(2)/25)*Calculateur!DB182*Calculateur!DD182*VLOOKUP('Données projet'!$B$13,Paramètres!$A$1:$I$89,3,0)*0.475*44/12</f>
        <v>15.473960847504754</v>
      </c>
      <c r="DH182" s="21">
        <f>EXP(-LN(2)/2)*DH181+(1-EXP(-LN(2)/2))/(LN(2)/2)*DB182*DE182*VLOOKUP('Données projet'!$B$13,Paramètres!$A$1:$I$89,3,0)*0.475*44/12</f>
        <v>1.511012911044415E-6</v>
      </c>
      <c r="DI182" s="22">
        <f t="shared" si="175"/>
        <v>40.539698999093446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5.6843418860808015E-14</v>
      </c>
      <c r="DP182" s="17">
        <f>DO182*VLOOKUP('Données projet'!$B$14,Paramètres!$A$1:$I$89,3,0)*VLOOKUP('Données projet'!$B$14,Paramètres!$A$1:$I$89,5,0)</f>
        <v>4.4337866711430253E-14</v>
      </c>
      <c r="DQ182" s="13">
        <f t="shared" si="176"/>
        <v>7.3222115536967035E-13</v>
      </c>
      <c r="DR182" s="20">
        <f t="shared" si="177"/>
        <v>1.3525069634579169E-12</v>
      </c>
      <c r="DS182" s="59">
        <f t="shared" si="125"/>
        <v>293.33333333333468</v>
      </c>
      <c r="DT182" s="59">
        <f ca="1">AVERAGE(OFFSET($DS$3,0,0,'Données projet'!$E$14+1,1))-AVERAGE(OFFSET($H$3,0,0,'Données projet'!$E$14+1,1))</f>
        <v>288.82868507674738</v>
      </c>
      <c r="DU182" s="59">
        <f t="shared" si="152"/>
        <v>283.48738729114024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4.8681039418356615</v>
      </c>
      <c r="EB182" s="21">
        <f>EXP(-LN(2)/25)*EB181+(1-EXP(-LN(2)/25))/(LN(2)/25)*Calculateur!DW182*Calculateur!DY182*VLOOKUP('Données projet'!$B$14,Paramètres!$A$1:$I$89,3,0)*0.475*44/12</f>
        <v>2.0052542682020578</v>
      </c>
      <c r="EC182" s="21">
        <f>EXP(-LN(2)/2)*EC181+(1-EXP(-LN(2)/2))/(LN(2)/2)*DW182*DZ182*VLOOKUP('Données projet'!$B$14,Paramètres!$A$1:$I$89,3,0)*0.475*44/12</f>
        <v>1.6863183531024973E-15</v>
      </c>
      <c r="ED182" s="22">
        <f t="shared" si="178"/>
        <v>6.8733582100377211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7.688333333333337</v>
      </c>
      <c r="EJ182" s="12">
        <f>IF('Données projet'!$A$192&gt;35,EJ181+EI182-ER181,IF(A182&lt;'Données projet'!$A$192,$EG$205^A182,IF(A182='Données projet'!$A$192,'Données projet'!$B$192,EJ181+EI182-ER181)))</f>
        <v>448.85166666666635</v>
      </c>
      <c r="EK182" s="17">
        <f>EJ182*VLOOKUP('Données projet'!$B$15,Paramètres!$A$1:$I$89,3,0)*VLOOKUP('Données projet'!$B$15,Paramètres!$A$1:$I$89,5,0)</f>
        <v>434.12933199999975</v>
      </c>
      <c r="EL182" s="13">
        <f t="shared" si="179"/>
        <v>98.662548233225337</v>
      </c>
      <c r="EM182" s="20">
        <f t="shared" si="180"/>
        <v>927.94585807286694</v>
      </c>
      <c r="EN182" s="59">
        <f t="shared" si="128"/>
        <v>1221.2791914062002</v>
      </c>
      <c r="EO182" s="59">
        <f ca="1">AVERAGE(OFFSET($EN$3,0,0,'Données projet'!$E$15+1,1))-AVERAGE(OFFSET($H$3,0,0,'Données projet'!$E$15+1,1))</f>
        <v>510.71380643466227</v>
      </c>
      <c r="EP182" s="59">
        <f t="shared" si="154"/>
        <v>252.40654099948841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22.722294308626996</v>
      </c>
      <c r="EW182" s="21">
        <f>EXP(-LN(2)/25)*EW181+(1-EXP(-LN(2)/25))/(LN(2)/25)*Calculateur!ER182*Calculateur!ET182*VLOOKUP('Données projet'!$B$15,Paramètres!$A$1:$I$89,3,0)*0.475*44/12</f>
        <v>18.129201004994595</v>
      </c>
      <c r="EX182" s="21">
        <f>EXP(-LN(2)/2)*EX181+(1-EXP(-LN(2)/2))/(LN(2)/2)*ER182*EU182*VLOOKUP('Données projet'!$B$15,Paramètres!$A$1:$I$89,3,0)*0.475*44/12</f>
        <v>0.36505056594917668</v>
      </c>
      <c r="EY182" s="22">
        <f t="shared" si="181"/>
        <v>41.216545879570766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5.3133333333333326</v>
      </c>
      <c r="N183" s="13">
        <f>IF('Données projet'!$A$36&gt;35,N182+M183-V182,IF(A183&lt;'Données projet'!$A$36,$K$205^A183,IF(A183='Données projet'!$A$36,'Données projet'!$B$36,N182+M183-V182)))</f>
        <v>283.48333333333363</v>
      </c>
      <c r="O183" s="13">
        <f>N183*VLOOKUP('Données projet'!$B$9,Paramètres!$A$1:$I$89,3,0)*VLOOKUP('Données projet'!$B$9,Paramètres!$A$1:$I$89,5,0)</f>
        <v>287.45210000000037</v>
      </c>
      <c r="P183" s="13">
        <f t="shared" si="141"/>
        <v>68.539436271152951</v>
      </c>
      <c r="Q183" s="20">
        <f t="shared" si="162"/>
        <v>620.01859233892537</v>
      </c>
      <c r="R183" s="59">
        <f t="shared" si="109"/>
        <v>913.35192567225863</v>
      </c>
      <c r="S183" s="59">
        <f ca="1">AVERAGE(OFFSET($R$3,0,0,'Données projet'!$E$9+1,1))-AVERAGE(OFFSET($H$3,0,0,'Données projet'!$E$9+1,1))</f>
        <v>543.67050511722618</v>
      </c>
      <c r="T183" s="59">
        <f t="shared" si="142"/>
        <v>249.0871389941106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82.502725660352098</v>
      </c>
      <c r="AA183" s="21">
        <f>EXP(-LN(2)/25)*AA182+(1-EXP(-LN(2)/25))/(LN(2)/25)*Calculateur!V183*Calculateur!X183*VLOOKUP('Données projet'!$B$9,Paramètres!$A$1:$I$89,3,0)*0.475*44/12</f>
        <v>36.781936780232854</v>
      </c>
      <c r="AB183" s="21">
        <f>EXP(-LN(2)/2)*AB182+(1-EXP(-LN(2)/2))/(LN(2)/2)*V183*Y183*VLOOKUP('Données projet'!$B$9,Paramètres!$A$1:$I$89,3,0)*0.475*44/12</f>
        <v>3.1128348838626883E-2</v>
      </c>
      <c r="AC183" s="22">
        <f t="shared" si="163"/>
        <v>119.31579078942357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3.76000000000001</v>
      </c>
      <c r="AH183" s="12">
        <f t="array" ref="AH183">INDEX(AG:AG,MIN(IF(ISNUMBER(AG183:AG379),ROW(AG183:AG379),"")))</f>
        <v>3.76000000000001</v>
      </c>
      <c r="AI183" s="13">
        <f>IF('Données projet'!$A$62&gt;35,AI182+AH183-AQ182,IF(A183&lt;'Données projet'!$A$62,$AF$205^A183,IF(A183='Données projet'!$A$62,'Données projet'!$B$62,AI182+AH183-AQ182)))</f>
        <v>271.5600000000008</v>
      </c>
      <c r="AJ183" s="13">
        <f>AI183*VLOOKUP('Données projet'!$B$10,Paramètres!$A$1:$I$89,3,0)*VLOOKUP('Données projet'!$B$10,Paramètres!$A$1:$I$89,5,0)</f>
        <v>245.70748800000069</v>
      </c>
      <c r="AK183" s="13">
        <f t="shared" si="164"/>
        <v>59.665839559289225</v>
      </c>
      <c r="AL183" s="20">
        <f t="shared" si="165"/>
        <v>531.85854549909652</v>
      </c>
      <c r="AM183" s="59">
        <f t="shared" si="113"/>
        <v>825.19187883242989</v>
      </c>
      <c r="AN183" s="59">
        <f ca="1">AVERAGE(OFFSET($AM$3,0,0,'Données projet'!$E$10+1,1))-AVERAGE(OFFSET($H$3,0,0,'Données projet'!$E$10+1,1))</f>
        <v>635.71275911100679</v>
      </c>
      <c r="AO183" s="59">
        <f t="shared" si="144"/>
        <v>281.7776857269169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86.97</v>
      </c>
      <c r="AR183" s="16">
        <f>IF(ISNA(VLOOKUP(A183,'Données projet'!$A$61:$I$81,5,0)),0%,VLOOKUP(A183,'Données projet'!$A$61:$I$81,5,0)*VLOOKUP('Données projet'!$B$10,Paramètres!$A$1:$I$89,7,0))</f>
        <v>0.19350000000000001</v>
      </c>
      <c r="AS183" s="16">
        <f>IF(ISNA(VLOOKUP(A183,'Données projet'!$A$61:$I$81,6,0)),0%,VLOOKUP(A183,'Données projet'!$A$61:$I$81,6,0)*VLOOKUP('Données projet'!$B$10,Paramètres!$A$1:$I$89,7,0))</f>
        <v>2.1500000000000002E-2</v>
      </c>
      <c r="AT183" s="16">
        <f>IF(ISNA(VLOOKUP(A183,'Données projet'!$A$61:$I$81,7,0)),0%,VLOOKUP(A183,'Données projet'!$A$61:$I$81,7,0))</f>
        <v>0.05</v>
      </c>
      <c r="AU183" s="21">
        <f>EXP(-LN(2)/35)*AU182+(1-EXP(-LN(2)/35))/(LN(2)/35)*AQ183*AR183*VLOOKUP('Données projet'!$B$10,Paramètres!$A$1:$I$89,3,0)*0.475*44/12</f>
        <v>124.23943061149308</v>
      </c>
      <c r="AV183" s="21">
        <f>EXP(-LN(2)/25)*AV182+(1-EXP(-LN(2)/25))/(LN(2)/25)*Calculateur!AQ183*Calculateur!AS183*VLOOKUP('Données projet'!$B$10,Paramètres!$A$1:$I$89,3,0)*0.475*44/12</f>
        <v>23.516474371613818</v>
      </c>
      <c r="AW183" s="21">
        <f>EXP(-LN(2)/2)*AW182+(1-EXP(-LN(2)/2))/(LN(2)/2)*AQ183*AT183*VLOOKUP('Données projet'!$B$10,Paramètres!$A$1:$I$89,3,0)*0.475*44/12</f>
        <v>6.9345530057429094</v>
      </c>
      <c r="AX183" s="21">
        <f t="shared" si="166"/>
        <v>154.6904579888498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204.11804238362862</v>
      </c>
      <c r="BJ183" s="59">
        <f t="shared" si="146"/>
        <v>185.53854651509408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1.5206345562678887</v>
      </c>
      <c r="BQ183" s="21">
        <f>EXP(-LN(2)/25)*BQ182+(1-EXP(-LN(2)/25))/(LN(2)/25)*Calculateur!BL183*Calculateur!BN183*VLOOKUP('Données projet'!$B$11,Paramètres!$A$1:$I$89,3,0)*0.475*44/12</f>
        <v>4.4020412995624412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5.9226758558303301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5.3133333333333326</v>
      </c>
      <c r="BY183" s="12">
        <f>IF('Données projet'!$A$114&gt;35,BY182+BX183-CG182,IF(A183&lt;'Données projet'!$A$114,$BV$205^A183,IF(A183='Données projet'!$A$114,'Données projet'!$B$114,BY182+BX183-CG182)))</f>
        <v>283.48333333333363</v>
      </c>
      <c r="BZ183" s="13">
        <f>BY183*VLOOKUP('Données projet'!$B$12,Paramètres!$A$1:$I$89,3,0)*VLOOKUP('Données projet'!$B$12,Paramètres!$A$1:$I$89,5,0)</f>
        <v>283.02976000000029</v>
      </c>
      <c r="CA183" s="13">
        <f t="shared" si="170"/>
        <v>67.606882660733589</v>
      </c>
      <c r="CB183" s="20">
        <f t="shared" si="171"/>
        <v>610.69215263411149</v>
      </c>
      <c r="CC183" s="59">
        <f t="shared" si="119"/>
        <v>904.02548596744487</v>
      </c>
      <c r="CD183" s="59">
        <f ca="1">AVERAGE(OFFSET($CC$3,0,0,'Données projet'!$E$12+1,1))-AVERAGE(OFFSET($H$3,0,0,'Données projet'!$E$12+1,1))</f>
        <v>535.99935263833549</v>
      </c>
      <c r="CE183" s="59">
        <f t="shared" si="148"/>
        <v>245.89966477332644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46.705997538607718</v>
      </c>
      <c r="CL183" s="21">
        <f>EXP(-LN(2)/25)*CL182+(1-EXP(-LN(2)/25))/(LN(2)/25)*Calculateur!CG183*Calculateur!CI183*VLOOKUP('Données projet'!$B$12,Paramètres!$A$1:$I$89,3,0)*0.475*44/12</f>
        <v>42.25106990442567</v>
      </c>
      <c r="CM183" s="21">
        <f>EXP(-LN(2)/2)*CM182+(1-EXP(-LN(2)/2))/(LN(2)/2)*CG183*CJ183*VLOOKUP('Données projet'!$B$12,Paramètres!$A$1:$I$89,3,0)*0.475*44/12</f>
        <v>37.883180368766197</v>
      </c>
      <c r="CN183" s="22">
        <f t="shared" si="172"/>
        <v>126.8402478117996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2.5579538487363607E-13</v>
      </c>
      <c r="CU183" s="17">
        <f>CT183*VLOOKUP('Données projet'!$B$13,Paramètres!$A$1:$I$89,3,0)*VLOOKUP('Données projet'!$B$13,Paramètres!$A$1:$I$89,5,0)</f>
        <v>2.4341488824575211E-13</v>
      </c>
      <c r="CV183" s="13">
        <f t="shared" si="173"/>
        <v>3.2970717324875541E-12</v>
      </c>
      <c r="CW183" s="20">
        <f t="shared" si="174"/>
        <v>6.1663475311105072E-12</v>
      </c>
      <c r="CX183" s="59">
        <f t="shared" si="122"/>
        <v>293.33333333333945</v>
      </c>
      <c r="CY183" s="59">
        <f ca="1">AVERAGE(OFFSET($CX$3,0,0,'Données projet'!$E$13+1,1))-AVERAGE(OFFSET($H$3,0,0,'Données projet'!$E$13+1,1))</f>
        <v>449.28947235329758</v>
      </c>
      <c r="CZ183" s="59">
        <f t="shared" si="150"/>
        <v>289.36994109443964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24.57421283364382</v>
      </c>
      <c r="DG183" s="21">
        <f>EXP(-LN(2)/25)*DG182+(1-EXP(-LN(2)/25))/(LN(2)/25)*Calculateur!DB183*Calculateur!DD183*VLOOKUP('Données projet'!$B$13,Paramètres!$A$1:$I$89,3,0)*0.475*44/12</f>
        <v>15.050824574389502</v>
      </c>
      <c r="DH183" s="21">
        <f>EXP(-LN(2)/2)*DH182+(1-EXP(-LN(2)/2))/(LN(2)/2)*DB183*DE183*VLOOKUP('Données projet'!$B$13,Paramètres!$A$1:$I$89,3,0)*0.475*44/12</f>
        <v>1.0684474758599313E-6</v>
      </c>
      <c r="DI183" s="22">
        <f t="shared" si="175"/>
        <v>39.625038476480796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5.6843418860808015E-14</v>
      </c>
      <c r="DP183" s="17">
        <f>DO183*VLOOKUP('Données projet'!$B$14,Paramètres!$A$1:$I$89,3,0)*VLOOKUP('Données projet'!$B$14,Paramètres!$A$1:$I$89,5,0)</f>
        <v>4.4337866711430253E-14</v>
      </c>
      <c r="DQ183" s="13">
        <f t="shared" si="176"/>
        <v>7.3222115536967035E-13</v>
      </c>
      <c r="DR183" s="20">
        <f t="shared" si="177"/>
        <v>1.3525069634579169E-12</v>
      </c>
      <c r="DS183" s="59">
        <f t="shared" si="125"/>
        <v>293.33333333333468</v>
      </c>
      <c r="DT183" s="59">
        <f ca="1">AVERAGE(OFFSET($DS$3,0,0,'Données projet'!$E$14+1,1))-AVERAGE(OFFSET($H$3,0,0,'Données projet'!$E$14+1,1))</f>
        <v>288.82868507674738</v>
      </c>
      <c r="DU183" s="59">
        <f t="shared" si="152"/>
        <v>283.48738729114024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4.7726433927864793</v>
      </c>
      <c r="EB183" s="21">
        <f>EXP(-LN(2)/25)*EB182+(1-EXP(-LN(2)/25))/(LN(2)/25)*Calculateur!DW183*Calculateur!DY183*VLOOKUP('Données projet'!$B$14,Paramètres!$A$1:$I$89,3,0)*0.475*44/12</f>
        <v>1.9504204847863336</v>
      </c>
      <c r="EC183" s="21">
        <f>EXP(-LN(2)/2)*EC182+(1-EXP(-LN(2)/2))/(LN(2)/2)*DW183*DZ183*VLOOKUP('Données projet'!$B$14,Paramètres!$A$1:$I$89,3,0)*0.475*44/12</f>
        <v>1.1924071427181067E-15</v>
      </c>
      <c r="ED183" s="22">
        <f t="shared" si="178"/>
        <v>6.7230638775728133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>
        <f>VLOOKUP(A183,'Données projet'!$A$191:$I$211,2,0)</f>
        <v>456.54</v>
      </c>
      <c r="EH183" s="12">
        <f>VLOOKUP(A183,'Données projet'!$A$191:$I$211,9,0)</f>
        <v>7.688333333333337</v>
      </c>
      <c r="EI183" s="12">
        <f t="array" ref="EI183">INDEX(EH:EH,MIN(IF(ISNUMBER(EH183:EH379),ROW(EH183:EH379),"")))</f>
        <v>7.688333333333337</v>
      </c>
      <c r="EJ183" s="12">
        <f>IF('Données projet'!$A$192&gt;35,EJ182+EI183-ER182,IF(A183&lt;'Données projet'!$A$192,$EG$205^A183,IF(A183='Données projet'!$A$192,'Données projet'!$B$192,EJ182+EI183-ER182)))</f>
        <v>456.53999999999968</v>
      </c>
      <c r="EK183" s="17">
        <f>EJ183*VLOOKUP('Données projet'!$B$15,Paramètres!$A$1:$I$89,3,0)*VLOOKUP('Données projet'!$B$15,Paramètres!$A$1:$I$89,5,0)</f>
        <v>441.56548799999968</v>
      </c>
      <c r="EL183" s="13">
        <f t="shared" si="179"/>
        <v>100.15433575539794</v>
      </c>
      <c r="EM183" s="20">
        <f t="shared" si="180"/>
        <v>943.49535970731733</v>
      </c>
      <c r="EN183" s="59">
        <f t="shared" si="128"/>
        <v>1236.8286930406507</v>
      </c>
      <c r="EO183" s="59">
        <f ca="1">AVERAGE(OFFSET($EN$3,0,0,'Données projet'!$E$15+1,1))-AVERAGE(OFFSET($H$3,0,0,'Données projet'!$E$15+1,1))</f>
        <v>510.71380643466227</v>
      </c>
      <c r="EP183" s="59">
        <f t="shared" si="154"/>
        <v>252.40654099948841</v>
      </c>
      <c r="EQ183" s="15">
        <f>IF(ISNA(VLOOKUP(A183,'Données projet'!$A$191:$I$211,3,0)),0,VLOOKUP(A183,'Données projet'!$A$191:$I$211,3,0))</f>
        <v>13</v>
      </c>
      <c r="ER183" s="15">
        <f>IF(ISNA(VLOOKUP(A183,'Données projet'!$A$191:$I$211,4,0)),0,VLOOKUP(A183,'Données projet'!$A$191:$I$211,4,0))</f>
        <v>175.59000000000003</v>
      </c>
      <c r="ES183" s="16">
        <f>IF(ISNA(VLOOKUP(A183,'Données projet'!$A$191:$I$211,5,0)),0%,VLOOKUP(A183,'Données projet'!$A$191:$I$211,5,0)*VLOOKUP('Données projet'!$B$15,Paramètres!$A$1:$I$89,7,0))</f>
        <v>0.1075</v>
      </c>
      <c r="ET183" s="16">
        <f>IF(ISNA(VLOOKUP(A183,'Données projet'!$A$191:$I$211,6,0)),0%,VLOOKUP(A183,'Données projet'!$A$191:$I$211,6,0)*VLOOKUP('Données projet'!$B$15,Paramètres!$A$1:$I$89,7,0))</f>
        <v>0.1075</v>
      </c>
      <c r="EU183" s="16">
        <f>IF(ISNA(VLOOKUP(A183,'Données projet'!$A$191:$I$211,7,0)),0%,VLOOKUP(A183,'Données projet'!$A$191:$I$211,7,0))</f>
        <v>0.25</v>
      </c>
      <c r="EV183" s="21">
        <f>EXP(-LN(2)/35)*EV182+(1-EXP(-LN(2)/35))/(LN(2)/35)*ER183*ES183*VLOOKUP('Données projet'!$B$15,Paramètres!$A$1:$I$89,3,0)*0.475*44/12</f>
        <v>42.459069698311211</v>
      </c>
      <c r="EW183" s="21">
        <f>EXP(-LN(2)/25)*EW182+(1-EXP(-LN(2)/25))/(LN(2)/25)*Calculateur!ER183*Calculateur!ET183*VLOOKUP('Données projet'!$B$15,Paramètres!$A$1:$I$89,3,0)*0.475*44/12</f>
        <v>37.736337186801592</v>
      </c>
      <c r="EX183" s="21">
        <f>EXP(-LN(2)/2)*EX182+(1-EXP(-LN(2)/2))/(LN(2)/2)*ER183*EU183*VLOOKUP('Données projet'!$B$15,Paramètres!$A$1:$I$89,3,0)*0.475*44/12</f>
        <v>40.318076558877088</v>
      </c>
      <c r="EY183" s="22">
        <f t="shared" si="181"/>
        <v>120.51348344398988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5.3133333333333326</v>
      </c>
      <c r="N184" s="13">
        <f>IF('Données projet'!$A$36&gt;35,N183+M184-V183,IF(A184&lt;'Données projet'!$A$36,$K$205^A184,IF(A184='Données projet'!$A$36,'Données projet'!$B$36,N183+M184-V183)))</f>
        <v>288.79666666666697</v>
      </c>
      <c r="O184" s="13">
        <f>N184*VLOOKUP('Données projet'!$B$9,Paramètres!$A$1:$I$89,3,0)*VLOOKUP('Données projet'!$B$9,Paramètres!$A$1:$I$89,5,0)</f>
        <v>292.83982000000032</v>
      </c>
      <c r="P184" s="13">
        <f t="shared" si="141"/>
        <v>69.67331089638418</v>
      </c>
      <c r="Q184" s="20">
        <f t="shared" si="162"/>
        <v>631.37703631120291</v>
      </c>
      <c r="R184" s="59">
        <f t="shared" si="109"/>
        <v>924.71036964453629</v>
      </c>
      <c r="S184" s="59">
        <f ca="1">AVERAGE(OFFSET($R$3,0,0,'Données projet'!$E$9+1,1))-AVERAGE(OFFSET($H$3,0,0,'Données projet'!$E$9+1,1))</f>
        <v>543.67050511722618</v>
      </c>
      <c r="T184" s="59">
        <f t="shared" si="142"/>
        <v>249.0871389941106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80.884897531846391</v>
      </c>
      <c r="AA184" s="21">
        <f>EXP(-LN(2)/25)*AA183+(1-EXP(-LN(2)/25))/(LN(2)/25)*Calculateur!V184*Calculateur!X184*VLOOKUP('Données projet'!$B$9,Paramètres!$A$1:$I$89,3,0)*0.475*44/12</f>
        <v>35.776132784699399</v>
      </c>
      <c r="AB184" s="21">
        <f>EXP(-LN(2)/2)*AB183+(1-EXP(-LN(2)/2))/(LN(2)/2)*V184*Y184*VLOOKUP('Données projet'!$B$9,Paramètres!$A$1:$I$89,3,0)*0.475*44/12</f>
        <v>2.2011066550933461E-2</v>
      </c>
      <c r="AC184" s="22">
        <f t="shared" si="163"/>
        <v>116.68304138309672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2.2933333333333317</v>
      </c>
      <c r="AI184" s="13">
        <f>IF('Données projet'!$A$62&gt;35,AI183+AH184-AQ183,IF(A184&lt;'Données projet'!$A$62,$AF$205^A184,IF(A184='Données projet'!$A$62,'Données projet'!$B$62,AI183+AH184-AQ183)))</f>
        <v>186.88333333333415</v>
      </c>
      <c r="AJ184" s="13">
        <f>AI184*VLOOKUP('Données projet'!$B$10,Paramètres!$A$1:$I$89,3,0)*VLOOKUP('Données projet'!$B$10,Paramètres!$A$1:$I$89,5,0)</f>
        <v>169.09204000000074</v>
      </c>
      <c r="AK184" s="13">
        <f t="shared" si="164"/>
        <v>42.886607412438856</v>
      </c>
      <c r="AL184" s="20">
        <f t="shared" si="165"/>
        <v>369.1961442433323</v>
      </c>
      <c r="AM184" s="59">
        <f t="shared" si="113"/>
        <v>662.52947757666561</v>
      </c>
      <c r="AN184" s="59">
        <f ca="1">AVERAGE(OFFSET($AM$3,0,0,'Données projet'!$E$10+1,1))-AVERAGE(OFFSET($H$3,0,0,'Données projet'!$E$10+1,1))</f>
        <v>635.71275911100679</v>
      </c>
      <c r="AO184" s="59">
        <f t="shared" si="144"/>
        <v>281.7776857269169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121.80317115577186</v>
      </c>
      <c r="AV184" s="21">
        <f>EXP(-LN(2)/25)*AV183+(1-EXP(-LN(2)/25))/(LN(2)/25)*Calculateur!AQ184*Calculateur!AS184*VLOOKUP('Données projet'!$B$10,Paramètres!$A$1:$I$89,3,0)*0.475*44/12</f>
        <v>22.873415143244397</v>
      </c>
      <c r="AW184" s="21">
        <f>EXP(-LN(2)/2)*AW183+(1-EXP(-LN(2)/2))/(LN(2)/2)*AQ184*AT184*VLOOKUP('Données projet'!$B$10,Paramètres!$A$1:$I$89,3,0)*0.475*44/12</f>
        <v>4.9034694548583673</v>
      </c>
      <c r="AX184" s="21">
        <f t="shared" si="166"/>
        <v>149.58005575387463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204.11804238362862</v>
      </c>
      <c r="BJ184" s="59">
        <f t="shared" si="146"/>
        <v>185.53854651509408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1.490815840114972</v>
      </c>
      <c r="BQ184" s="21">
        <f>EXP(-LN(2)/25)*BQ183+(1-EXP(-LN(2)/25))/(LN(2)/25)*Calculateur!BL184*Calculateur!BN184*VLOOKUP('Données projet'!$B$11,Paramètres!$A$1:$I$89,3,0)*0.475*44/12</f>
        <v>4.2816672487326155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5.7724830888475873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5.3133333333333326</v>
      </c>
      <c r="BY184" s="12">
        <f>IF('Données projet'!$A$114&gt;35,BY183+BX184-CG183,IF(A184&lt;'Données projet'!$A$114,$BV$205^A184,IF(A184='Données projet'!$A$114,'Données projet'!$B$114,BY183+BX184-CG183)))</f>
        <v>288.79666666666697</v>
      </c>
      <c r="BZ184" s="13">
        <f>BY184*VLOOKUP('Données projet'!$B$12,Paramètres!$A$1:$I$89,3,0)*VLOOKUP('Données projet'!$B$12,Paramètres!$A$1:$I$89,5,0)</f>
        <v>288.33459200000033</v>
      </c>
      <c r="CA184" s="13">
        <f t="shared" si="170"/>
        <v>68.725329687883331</v>
      </c>
      <c r="CB184" s="20">
        <f t="shared" si="171"/>
        <v>621.87936360639742</v>
      </c>
      <c r="CC184" s="59">
        <f t="shared" si="119"/>
        <v>915.21269693973068</v>
      </c>
      <c r="CD184" s="59">
        <f ca="1">AVERAGE(OFFSET($CC$3,0,0,'Données projet'!$E$12+1,1))-AVERAGE(OFFSET($H$3,0,0,'Données projet'!$E$12+1,1))</f>
        <v>535.99935263833549</v>
      </c>
      <c r="CE184" s="59">
        <f t="shared" si="148"/>
        <v>245.89966477332644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45.790121414721177</v>
      </c>
      <c r="CL184" s="21">
        <f>EXP(-LN(2)/25)*CL183+(1-EXP(-LN(2)/25))/(LN(2)/25)*Calculateur!CG184*Calculateur!CI184*VLOOKUP('Données projet'!$B$12,Paramètres!$A$1:$I$89,3,0)*0.475*44/12</f>
        <v>41.095712176001946</v>
      </c>
      <c r="CM184" s="21">
        <f>EXP(-LN(2)/2)*CM183+(1-EXP(-LN(2)/2))/(LN(2)/2)*CG184*CJ184*VLOOKUP('Données projet'!$B$12,Paramètres!$A$1:$I$89,3,0)*0.475*44/12</f>
        <v>26.787453731667675</v>
      </c>
      <c r="CN184" s="22">
        <f t="shared" si="172"/>
        <v>113.67328732239079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2.5579538487363607E-13</v>
      </c>
      <c r="CU184" s="17">
        <f>CT184*VLOOKUP('Données projet'!$B$13,Paramètres!$A$1:$I$89,3,0)*VLOOKUP('Données projet'!$B$13,Paramètres!$A$1:$I$89,5,0)</f>
        <v>2.4341488824575211E-13</v>
      </c>
      <c r="CV184" s="13">
        <f t="shared" si="173"/>
        <v>3.2970717324875541E-12</v>
      </c>
      <c r="CW184" s="20">
        <f t="shared" si="174"/>
        <v>6.1663475311105072E-12</v>
      </c>
      <c r="CX184" s="59">
        <f t="shared" si="122"/>
        <v>293.33333333333945</v>
      </c>
      <c r="CY184" s="59">
        <f ca="1">AVERAGE(OFFSET($CX$3,0,0,'Données projet'!$E$13+1,1))-AVERAGE(OFFSET($H$3,0,0,'Données projet'!$E$13+1,1))</f>
        <v>449.28947235329758</v>
      </c>
      <c r="CZ184" s="59">
        <f t="shared" si="150"/>
        <v>289.36994109443964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24.092327508765873</v>
      </c>
      <c r="DG184" s="21">
        <f>EXP(-LN(2)/25)*DG183+(1-EXP(-LN(2)/25))/(LN(2)/25)*Calculateur!DB184*Calculateur!DD184*VLOOKUP('Données projet'!$B$13,Paramètres!$A$1:$I$89,3,0)*0.475*44/12</f>
        <v>14.639258984914356</v>
      </c>
      <c r="DH184" s="21">
        <f>EXP(-LN(2)/2)*DH183+(1-EXP(-LN(2)/2))/(LN(2)/2)*DB184*DE184*VLOOKUP('Données projet'!$B$13,Paramètres!$A$1:$I$89,3,0)*0.475*44/12</f>
        <v>7.5550645552220748E-7</v>
      </c>
      <c r="DI184" s="22">
        <f t="shared" si="175"/>
        <v>38.731587249186681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5.6843418860808015E-14</v>
      </c>
      <c r="DP184" s="17">
        <f>DO184*VLOOKUP('Données projet'!$B$14,Paramètres!$A$1:$I$89,3,0)*VLOOKUP('Données projet'!$B$14,Paramètres!$A$1:$I$89,5,0)</f>
        <v>4.4337866711430253E-14</v>
      </c>
      <c r="DQ184" s="13">
        <f t="shared" si="176"/>
        <v>7.3222115536967035E-13</v>
      </c>
      <c r="DR184" s="20">
        <f t="shared" si="177"/>
        <v>1.3525069634579169E-12</v>
      </c>
      <c r="DS184" s="59">
        <f t="shared" si="125"/>
        <v>293.33333333333468</v>
      </c>
      <c r="DT184" s="59">
        <f ca="1">AVERAGE(OFFSET($DS$3,0,0,'Données projet'!$E$14+1,1))-AVERAGE(OFFSET($H$3,0,0,'Données projet'!$E$14+1,1))</f>
        <v>288.82868507674738</v>
      </c>
      <c r="DU184" s="59">
        <f t="shared" si="152"/>
        <v>283.48738729114024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4.6790547668789664</v>
      </c>
      <c r="EB184" s="21">
        <f>EXP(-LN(2)/25)*EB183+(1-EXP(-LN(2)/25))/(LN(2)/25)*Calculateur!DW184*Calculateur!DY184*VLOOKUP('Données projet'!$B$14,Paramètres!$A$1:$I$89,3,0)*0.475*44/12</f>
        <v>1.8970861340616958</v>
      </c>
      <c r="EC184" s="21">
        <f>EXP(-LN(2)/2)*EC183+(1-EXP(-LN(2)/2))/(LN(2)/2)*DW184*DZ184*VLOOKUP('Données projet'!$B$14,Paramètres!$A$1:$I$89,3,0)*0.475*44/12</f>
        <v>8.4315917655124865E-16</v>
      </c>
      <c r="ED184" s="22">
        <f t="shared" si="178"/>
        <v>6.5761409009406631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4.7974999999999994</v>
      </c>
      <c r="EJ184" s="12">
        <f>IF('Données projet'!$A$192&gt;35,EJ183+EI184-ER183,IF(A184&lt;'Données projet'!$A$192,$EG$205^A184,IF(A184='Données projet'!$A$192,'Données projet'!$B$192,EJ183+EI184-ER183)))</f>
        <v>285.74749999999966</v>
      </c>
      <c r="EK184" s="17">
        <f>EJ184*VLOOKUP('Données projet'!$B$15,Paramètres!$A$1:$I$89,3,0)*VLOOKUP('Données projet'!$B$15,Paramètres!$A$1:$I$89,5,0)</f>
        <v>276.37498199999965</v>
      </c>
      <c r="EL184" s="13">
        <f t="shared" si="179"/>
        <v>66.200358347294468</v>
      </c>
      <c r="EM184" s="20">
        <f t="shared" si="180"/>
        <v>596.65205110487057</v>
      </c>
      <c r="EN184" s="59">
        <f t="shared" si="128"/>
        <v>889.98538443820394</v>
      </c>
      <c r="EO184" s="59">
        <f ca="1">AVERAGE(OFFSET($EN$3,0,0,'Données projet'!$E$15+1,1))-AVERAGE(OFFSET($H$3,0,0,'Données projet'!$E$15+1,1))</f>
        <v>510.71380643466227</v>
      </c>
      <c r="EP184" s="59">
        <f t="shared" si="154"/>
        <v>252.40654099948841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41.626473239002678</v>
      </c>
      <c r="EW184" s="21">
        <f>EXP(-LN(2)/25)*EW183+(1-EXP(-LN(2)/25))/(LN(2)/25)*Calculateur!ER184*Calculateur!ET184*VLOOKUP('Données projet'!$B$15,Paramètres!$A$1:$I$89,3,0)*0.475*44/12</f>
        <v>36.70443506196078</v>
      </c>
      <c r="EX184" s="21">
        <f>EXP(-LN(2)/2)*EX183+(1-EXP(-LN(2)/2))/(LN(2)/2)*ER184*EU184*VLOOKUP('Données projet'!$B$15,Paramètres!$A$1:$I$89,3,0)*0.475*44/12</f>
        <v>28.509185339180373</v>
      </c>
      <c r="EY184" s="22">
        <f t="shared" si="181"/>
        <v>106.84009364014383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>
        <f>VLOOKUP(A185,'Données projet'!$A$35:$I$55,2,0)</f>
        <v>294.11</v>
      </c>
      <c r="L185" s="12">
        <f>VLOOKUP(A185,'Données projet'!$A$35:$I$55,9,0)</f>
        <v>5.3133333333333326</v>
      </c>
      <c r="M185" s="12">
        <f t="array" ref="M185">INDEX(L:L,MIN(IF(ISNUMBER(L185:L381),ROW(L185:L381),"")))</f>
        <v>5.3133333333333326</v>
      </c>
      <c r="N185" s="13">
        <f>IF('Données projet'!$A$36&gt;35,N184+M185-V184,IF(A185&lt;'Données projet'!$A$36,$K$205^A185,IF(A185='Données projet'!$A$36,'Données projet'!$B$36,N184+M185-V184)))</f>
        <v>294.1100000000003</v>
      </c>
      <c r="O185" s="13">
        <f>N185*VLOOKUP('Données projet'!$B$9,Paramètres!$A$1:$I$89,3,0)*VLOOKUP('Données projet'!$B$9,Paramètres!$A$1:$I$89,5,0)</f>
        <v>298.22754000000032</v>
      </c>
      <c r="P185" s="13">
        <f t="shared" si="141"/>
        <v>70.80475972795594</v>
      </c>
      <c r="Q185" s="20">
        <f t="shared" si="162"/>
        <v>642.73125535952374</v>
      </c>
      <c r="R185" s="59">
        <f t="shared" si="109"/>
        <v>936.06458869285711</v>
      </c>
      <c r="S185" s="59">
        <f ca="1">AVERAGE(OFFSET($R$3,0,0,'Données projet'!$E$9+1,1))-AVERAGE(OFFSET($H$3,0,0,'Données projet'!$E$9+1,1))</f>
        <v>543.67050511722618</v>
      </c>
      <c r="T185" s="59">
        <f t="shared" si="142"/>
        <v>249.0871389941106</v>
      </c>
      <c r="U185" s="15">
        <f>IF(ISNA(VLOOKUP(A185,'Données projet'!$A$35:$I$55,3,0)),0,VLOOKUP(A185,'Données projet'!$A$35:$I$55,3,0))</f>
        <v>14</v>
      </c>
      <c r="V185" s="15">
        <f>IF(ISNA(VLOOKUP(A185,'Données projet'!$A$35:$I$55,4,0)),0,VLOOKUP(A185,'Données projet'!$A$35:$I$55,4,0))</f>
        <v>101.59</v>
      </c>
      <c r="W185" s="16">
        <f>IF(ISNA(VLOOKUP(A185,'Données projet'!$A$35:$I$55,5,0)),0%,VLOOKUP(A185,'Données projet'!$A$35:$I$55,5,0)*VLOOKUP('Données projet'!$B$9,Paramètres!$A$1:$I$89,7,0))</f>
        <v>0.215</v>
      </c>
      <c r="X185" s="16">
        <f>IF(ISNA(VLOOKUP(A185,'Données projet'!$A$35:$I$55,6,0)),0%,VLOOKUP(A185,'Données projet'!$A$35:$I$55,6,0)*VLOOKUP('Données projet'!$B$9,Paramètres!$A$1:$I$89,7,0))</f>
        <v>8.6000000000000007E-2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103.78234949029356</v>
      </c>
      <c r="AA185" s="21">
        <f>EXP(-LN(2)/25)*AA184+(1-EXP(-LN(2)/25))/(LN(2)/25)*Calculateur!V185*Calculateur!X185*VLOOKUP('Données projet'!$B$9,Paramètres!$A$1:$I$89,3,0)*0.475*44/12</f>
        <v>44.552694303237658</v>
      </c>
      <c r="AB185" s="21">
        <f>EXP(-LN(2)/2)*AB184+(1-EXP(-LN(2)/2))/(LN(2)/2)*V185*Y185*VLOOKUP('Données projet'!$B$9,Paramètres!$A$1:$I$89,3,0)*0.475*44/12</f>
        <v>1.5564174419313443E-2</v>
      </c>
      <c r="AC185" s="22">
        <f t="shared" si="163"/>
        <v>148.35060796795054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2.2933333333333317</v>
      </c>
      <c r="AI185" s="13">
        <f>IF('Données projet'!$A$62&gt;35,AI184+AH185-AQ184,IF(A185&lt;'Données projet'!$A$62,$AF$205^A185,IF(A185='Données projet'!$A$62,'Données projet'!$B$62,AI184+AH185-AQ184)))</f>
        <v>189.17666666666747</v>
      </c>
      <c r="AJ185" s="13">
        <f>AI185*VLOOKUP('Données projet'!$B$10,Paramètres!$A$1:$I$89,3,0)*VLOOKUP('Données projet'!$B$10,Paramètres!$A$1:$I$89,5,0)</f>
        <v>171.16704800000073</v>
      </c>
      <c r="AK185" s="13">
        <f t="shared" si="164"/>
        <v>43.351299348190551</v>
      </c>
      <c r="AL185" s="20">
        <f t="shared" si="165"/>
        <v>373.61945496476648</v>
      </c>
      <c r="AM185" s="59">
        <f t="shared" si="113"/>
        <v>666.95278829809979</v>
      </c>
      <c r="AN185" s="59">
        <f ca="1">AVERAGE(OFFSET($AM$3,0,0,'Données projet'!$E$10+1,1))-AVERAGE(OFFSET($H$3,0,0,'Données projet'!$E$10+1,1))</f>
        <v>635.71275911100679</v>
      </c>
      <c r="AO185" s="59">
        <f t="shared" si="144"/>
        <v>281.7776857269169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119.4146852620058</v>
      </c>
      <c r="AV185" s="21">
        <f>EXP(-LN(2)/25)*AV184+(1-EXP(-LN(2)/25))/(LN(2)/25)*Calculateur!AQ185*Calculateur!AS185*VLOOKUP('Données projet'!$B$10,Paramètres!$A$1:$I$89,3,0)*0.475*44/12</f>
        <v>22.247940403291754</v>
      </c>
      <c r="AW185" s="21">
        <f>EXP(-LN(2)/2)*AW184+(1-EXP(-LN(2)/2))/(LN(2)/2)*AQ185*AT185*VLOOKUP('Données projet'!$B$10,Paramètres!$A$1:$I$89,3,0)*0.475*44/12</f>
        <v>3.4672765028714552</v>
      </c>
      <c r="AX185" s="21">
        <f t="shared" si="166"/>
        <v>145.129902168169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204.11804238362862</v>
      </c>
      <c r="BJ185" s="59">
        <f t="shared" si="146"/>
        <v>185.53854651509408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1.4615818507981932</v>
      </c>
      <c r="BQ185" s="21">
        <f>EXP(-LN(2)/25)*BQ184+(1-EXP(-LN(2)/25))/(LN(2)/25)*Calculateur!BL185*Calculateur!BN185*VLOOKUP('Données projet'!$B$11,Paramètres!$A$1:$I$89,3,0)*0.475*44/12</f>
        <v>4.1645848326529276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5.626166683451121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>
        <f>VLOOKUP(A185,'Données projet'!$A$113:$I$133,2,0)</f>
        <v>294.11</v>
      </c>
      <c r="BW185" s="12">
        <f>VLOOKUP(A185,'Données projet'!$A$113:$I$133,9,0)</f>
        <v>5.3133333333333326</v>
      </c>
      <c r="BX185" s="12">
        <f t="array" ref="BX185">INDEX(BW:BW,MIN(IF(ISNUMBER(BW185:BW381),ROW(BW185:BW381),"")))</f>
        <v>5.3133333333333326</v>
      </c>
      <c r="BY185" s="12">
        <f>IF('Données projet'!$A$114&gt;35,BY184+BX185-CG184,IF(A185&lt;'Données projet'!$A$114,$BV$205^A185,IF(A185='Données projet'!$A$114,'Données projet'!$B$114,BY184+BX185-CG184)))</f>
        <v>294.1100000000003</v>
      </c>
      <c r="BZ185" s="13">
        <f>BY185*VLOOKUP('Données projet'!$B$12,Paramètres!$A$1:$I$89,3,0)*VLOOKUP('Données projet'!$B$12,Paramètres!$A$1:$I$89,5,0)</f>
        <v>293.6394240000003</v>
      </c>
      <c r="CA185" s="13">
        <f t="shared" si="170"/>
        <v>69.841383926935947</v>
      </c>
      <c r="CB185" s="20">
        <f t="shared" si="171"/>
        <v>633.06240713941395</v>
      </c>
      <c r="CC185" s="59">
        <f t="shared" si="119"/>
        <v>926.39574047274732</v>
      </c>
      <c r="CD185" s="59">
        <f ca="1">AVERAGE(OFFSET($CC$3,0,0,'Données projet'!$E$12+1,1))-AVERAGE(OFFSET($H$3,0,0,'Données projet'!$E$12+1,1))</f>
        <v>535.99935263833549</v>
      </c>
      <c r="CE185" s="59">
        <f t="shared" si="148"/>
        <v>245.89966477332644</v>
      </c>
      <c r="CF185" s="15">
        <f>IF(ISNA(VLOOKUP(A185,'Données projet'!$A$113:$I$133,3,0)),0,VLOOKUP(A185,'Données projet'!$A$113:$I$133,3,0))</f>
        <v>14</v>
      </c>
      <c r="CG185" s="15">
        <f>IF(ISNA(VLOOKUP(A185,'Données projet'!$A$113:$I$133,4,0)),0,VLOOKUP(A185,'Données projet'!$A$113:$I$133,4,0))</f>
        <v>101.59</v>
      </c>
      <c r="CH185" s="16">
        <f>IF(ISNA(VLOOKUP(A185,'Données projet'!$A$113:$I$133,5,0)),0%,VLOOKUP(A185,'Données projet'!$A$113:$I$133,5,0)*VLOOKUP('Données projet'!$B$12,Paramètres!$A$1:$I$89,7,0))</f>
        <v>0.1075</v>
      </c>
      <c r="CI185" s="16">
        <f>IF(ISNA(VLOOKUP(A185,'Données projet'!$A$113:$I$133,6,0)),0%,VLOOKUP(A185,'Données projet'!$A$113:$I$133,6,0)*VLOOKUP('Données projet'!$B$12,Paramètres!$A$1:$I$89,7,0))</f>
        <v>0.1075</v>
      </c>
      <c r="CJ185" s="16">
        <f>IF(ISNA(VLOOKUP(A185,'Données projet'!$A$113:$I$133,7,0)),0%,VLOOKUP(A185,'Données projet'!$A$113:$I$133,7,0))</f>
        <v>0.25</v>
      </c>
      <c r="CK185" s="21">
        <f>EXP(-LN(2)/35)*CK184+(1-EXP(-LN(2)/35))/(LN(2)/35)*CG185*CH185*VLOOKUP('Données projet'!$B$12,Paramètres!$A$1:$I$89,3,0)*0.475*44/12</f>
        <v>56.945647753028297</v>
      </c>
      <c r="CL185" s="21">
        <f>EXP(-LN(2)/25)*CL184+(1-EXP(-LN(2)/25))/(LN(2)/25)*Calculateur!CG185*Calculateur!CI185*VLOOKUP('Données projet'!$B$12,Paramètres!$A$1:$I$89,3,0)*0.475*44/12</f>
        <v>51.977931458860724</v>
      </c>
      <c r="CM185" s="21">
        <f>EXP(-LN(2)/2)*CM184+(1-EXP(-LN(2)/2))/(LN(2)/2)*CG185*CJ185*VLOOKUP('Données projet'!$B$12,Paramètres!$A$1:$I$89,3,0)*0.475*44/12</f>
        <v>42.866473838371547</v>
      </c>
      <c r="CN185" s="22">
        <f t="shared" si="172"/>
        <v>151.79005305026055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2.5579538487363607E-13</v>
      </c>
      <c r="CU185" s="17">
        <f>CT185*VLOOKUP('Données projet'!$B$13,Paramètres!$A$1:$I$89,3,0)*VLOOKUP('Données projet'!$B$13,Paramètres!$A$1:$I$89,5,0)</f>
        <v>2.4341488824575211E-13</v>
      </c>
      <c r="CV185" s="13">
        <f t="shared" si="173"/>
        <v>3.2970717324875541E-12</v>
      </c>
      <c r="CW185" s="20">
        <f t="shared" si="174"/>
        <v>6.1663475311105072E-12</v>
      </c>
      <c r="CX185" s="59">
        <f t="shared" si="122"/>
        <v>293.33333333333945</v>
      </c>
      <c r="CY185" s="59">
        <f ca="1">AVERAGE(OFFSET($CX$3,0,0,'Données projet'!$E$13+1,1))-AVERAGE(OFFSET($H$3,0,0,'Données projet'!$E$13+1,1))</f>
        <v>449.28947235329758</v>
      </c>
      <c r="CZ185" s="59">
        <f t="shared" si="150"/>
        <v>289.36994109443964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23.619891661187758</v>
      </c>
      <c r="DG185" s="21">
        <f>EXP(-LN(2)/25)*DG184+(1-EXP(-LN(2)/25))/(LN(2)/25)*Calculateur!DB185*Calculateur!DD185*VLOOKUP('Données projet'!$B$13,Paramètres!$A$1:$I$89,3,0)*0.475*44/12</f>
        <v>14.238947678126701</v>
      </c>
      <c r="DH185" s="21">
        <f>EXP(-LN(2)/2)*DH184+(1-EXP(-LN(2)/2))/(LN(2)/2)*DB185*DE185*VLOOKUP('Données projet'!$B$13,Paramètres!$A$1:$I$89,3,0)*0.475*44/12</f>
        <v>5.3422373792996566E-7</v>
      </c>
      <c r="DI185" s="22">
        <f t="shared" si="175"/>
        <v>37.858839873538194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5.6843418860808015E-14</v>
      </c>
      <c r="DP185" s="17">
        <f>DO185*VLOOKUP('Données projet'!$B$14,Paramètres!$A$1:$I$89,3,0)*VLOOKUP('Données projet'!$B$14,Paramètres!$A$1:$I$89,5,0)</f>
        <v>4.4337866711430253E-14</v>
      </c>
      <c r="DQ185" s="13">
        <f t="shared" si="176"/>
        <v>7.3222115536967035E-13</v>
      </c>
      <c r="DR185" s="20">
        <f t="shared" si="177"/>
        <v>1.3525069634579169E-12</v>
      </c>
      <c r="DS185" s="59">
        <f t="shared" si="125"/>
        <v>293.33333333333468</v>
      </c>
      <c r="DT185" s="59">
        <f ca="1">AVERAGE(OFFSET($DS$3,0,0,'Données projet'!$E$14+1,1))-AVERAGE(OFFSET($H$3,0,0,'Données projet'!$E$14+1,1))</f>
        <v>288.82868507674738</v>
      </c>
      <c r="DU185" s="59">
        <f t="shared" si="152"/>
        <v>283.48738729114024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4.5873013568420742</v>
      </c>
      <c r="EB185" s="21">
        <f>EXP(-LN(2)/25)*EB184+(1-EXP(-LN(2)/25))/(LN(2)/25)*Calculateur!DW185*Calculateur!DY185*VLOOKUP('Données projet'!$B$14,Paramètres!$A$1:$I$89,3,0)*0.475*44/12</f>
        <v>1.8452102139623547</v>
      </c>
      <c r="EC185" s="21">
        <f>EXP(-LN(2)/2)*EC184+(1-EXP(-LN(2)/2))/(LN(2)/2)*DW185*DZ185*VLOOKUP('Données projet'!$B$14,Paramètres!$A$1:$I$89,3,0)*0.475*44/12</f>
        <v>5.9620357135905337E-16</v>
      </c>
      <c r="ED185" s="22">
        <f t="shared" si="178"/>
        <v>6.4325115708044303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4.7974999999999994</v>
      </c>
      <c r="EJ185" s="12">
        <f>IF('Données projet'!$A$192&gt;35,EJ184+EI185-ER184,IF(A185&lt;'Données projet'!$A$192,$EG$205^A185,IF(A185='Données projet'!$A$192,'Données projet'!$B$192,EJ184+EI185-ER184)))</f>
        <v>290.54499999999967</v>
      </c>
      <c r="EK185" s="17">
        <f>EJ185*VLOOKUP('Données projet'!$B$15,Paramètres!$A$1:$I$89,3,0)*VLOOKUP('Données projet'!$B$15,Paramètres!$A$1:$I$89,5,0)</f>
        <v>281.01512399999973</v>
      </c>
      <c r="EL185" s="13">
        <f t="shared" si="179"/>
        <v>67.181488559705002</v>
      </c>
      <c r="EM185" s="20">
        <f t="shared" si="180"/>
        <v>606.44243354148568</v>
      </c>
      <c r="EN185" s="59">
        <f t="shared" si="128"/>
        <v>899.77576687481906</v>
      </c>
      <c r="EO185" s="59">
        <f ca="1">AVERAGE(OFFSET($EN$3,0,0,'Données projet'!$E$15+1,1))-AVERAGE(OFFSET($H$3,0,0,'Données projet'!$E$15+1,1))</f>
        <v>510.71380643466227</v>
      </c>
      <c r="EP185" s="59">
        <f t="shared" si="154"/>
        <v>252.40654099948841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40.81020348842749</v>
      </c>
      <c r="EW185" s="21">
        <f>EXP(-LN(2)/25)*EW184+(1-EXP(-LN(2)/25))/(LN(2)/25)*Calculateur!ER185*Calculateur!ET185*VLOOKUP('Données projet'!$B$15,Paramètres!$A$1:$I$89,3,0)*0.475*44/12</f>
        <v>35.700750354989111</v>
      </c>
      <c r="EX185" s="21">
        <f>EXP(-LN(2)/2)*EX184+(1-EXP(-LN(2)/2))/(LN(2)/2)*ER185*EU185*VLOOKUP('Données projet'!$B$15,Paramètres!$A$1:$I$89,3,0)*0.475*44/12</f>
        <v>20.159038279438548</v>
      </c>
      <c r="EY185" s="22">
        <f t="shared" si="181"/>
        <v>96.669992122855149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3.1866666666666674</v>
      </c>
      <c r="N186" s="13">
        <f>IF('Données projet'!$A$36&gt;35,N185+M186-V185,IF(A186&lt;'Données projet'!$A$36,$K$205^A186,IF(A186='Données projet'!$A$36,'Données projet'!$B$36,N185+M186-V185)))</f>
        <v>195.70666666666696</v>
      </c>
      <c r="O186" s="13">
        <f>N186*VLOOKUP('Données projet'!$B$9,Paramètres!$A$1:$I$89,3,0)*VLOOKUP('Données projet'!$B$9,Paramètres!$A$1:$I$89,5,0)</f>
        <v>198.44656000000032</v>
      </c>
      <c r="P186" s="13">
        <f t="shared" si="141"/>
        <v>49.402613853597238</v>
      </c>
      <c r="Q186" s="20">
        <f t="shared" si="162"/>
        <v>431.67064446168234</v>
      </c>
      <c r="R186" s="59">
        <f t="shared" si="109"/>
        <v>725.00397779501566</v>
      </c>
      <c r="S186" s="59">
        <f ca="1">AVERAGE(OFFSET($R$3,0,0,'Données projet'!$E$9+1,1))-AVERAGE(OFFSET($H$3,0,0,'Données projet'!$E$9+1,1))</f>
        <v>543.67050511722618</v>
      </c>
      <c r="T186" s="59">
        <f t="shared" si="142"/>
        <v>249.0871389941106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101.74724091777163</v>
      </c>
      <c r="AA186" s="21">
        <f>EXP(-LN(2)/25)*AA185+(1-EXP(-LN(2)/25))/(LN(2)/25)*Calculateur!V186*Calculateur!X186*VLOOKUP('Données projet'!$B$9,Paramètres!$A$1:$I$89,3,0)*0.475*44/12</f>
        <v>43.334398534591259</v>
      </c>
      <c r="AB186" s="21">
        <f>EXP(-LN(2)/2)*AB185+(1-EXP(-LN(2)/2))/(LN(2)/2)*V186*Y186*VLOOKUP('Données projet'!$B$9,Paramètres!$A$1:$I$89,3,0)*0.475*44/12</f>
        <v>1.1005533275466732E-2</v>
      </c>
      <c r="AC186" s="22">
        <f t="shared" si="163"/>
        <v>145.09264498563834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2.2933333333333317</v>
      </c>
      <c r="AH186" s="12">
        <f t="array" ref="AH186">INDEX(AG:AG,MIN(IF(ISNUMBER(AG186:AG382),ROW(AG186:AG382),"")))</f>
        <v>2.2933333333333317</v>
      </c>
      <c r="AI186" s="13">
        <f>IF('Données projet'!$A$62&gt;35,AI185+AH186-AQ185,IF(A186&lt;'Données projet'!$A$62,$AF$205^A186,IF(A186='Données projet'!$A$62,'Données projet'!$B$62,AI185+AH186-AQ185)))</f>
        <v>191.47000000000079</v>
      </c>
      <c r="AJ186" s="13">
        <f>AI186*VLOOKUP('Données projet'!$B$10,Paramètres!$A$1:$I$89,3,0)*VLOOKUP('Données projet'!$B$10,Paramètres!$A$1:$I$89,5,0)</f>
        <v>173.2420560000007</v>
      </c>
      <c r="AK186" s="13">
        <f t="shared" si="164"/>
        <v>43.815336010445158</v>
      </c>
      <c r="AL186" s="20">
        <f t="shared" si="165"/>
        <v>378.04162441819318</v>
      </c>
      <c r="AM186" s="59">
        <f t="shared" si="113"/>
        <v>671.37495775152649</v>
      </c>
      <c r="AN186" s="59">
        <f ca="1">AVERAGE(OFFSET($AM$3,0,0,'Données projet'!$E$10+1,1))-AVERAGE(OFFSET($H$3,0,0,'Données projet'!$E$10+1,1))</f>
        <v>635.71275911100679</v>
      </c>
      <c r="AO186" s="59">
        <f t="shared" si="144"/>
        <v>281.7776857269169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191.47</v>
      </c>
      <c r="AR186" s="16">
        <f>IF(ISNA(VLOOKUP(A186,'Données projet'!$A$61:$I$81,5,0)),0%,VLOOKUP(A186,'Données projet'!$A$61:$I$81,5,0)*VLOOKUP('Données projet'!$B$10,Paramètres!$A$1:$I$89,7,0))</f>
        <v>0.19350000000000001</v>
      </c>
      <c r="AS186" s="16">
        <f>IF(ISNA(VLOOKUP(A186,'Données projet'!$A$61:$I$81,6,0)),0%,VLOOKUP(A186,'Données projet'!$A$61:$I$81,6,0)*VLOOKUP('Données projet'!$B$10,Paramètres!$A$1:$I$89,7,0))</f>
        <v>2.1500000000000002E-2</v>
      </c>
      <c r="AT186" s="16">
        <f>IF(ISNA(VLOOKUP(A186,'Données projet'!$A$61:$I$81,7,0)),0%,VLOOKUP(A186,'Données projet'!$A$61:$I$81,7,0))</f>
        <v>0.05</v>
      </c>
      <c r="AU186" s="21">
        <f>EXP(-LN(2)/35)*AU185+(1-EXP(-LN(2)/35))/(LN(2)/35)*AQ186*AR186*VLOOKUP('Données projet'!$B$10,Paramètres!$A$1:$I$89,3,0)*0.475*44/12</f>
        <v>154.13098765017864</v>
      </c>
      <c r="AV186" s="21">
        <f>EXP(-LN(2)/25)*AV185+(1-EXP(-LN(2)/25))/(LN(2)/25)*Calculateur!AQ186*Calculateur!AS186*VLOOKUP('Données projet'!$B$10,Paramètres!$A$1:$I$89,3,0)*0.475*44/12</f>
        <v>25.740907109110182</v>
      </c>
      <c r="AW186" s="21">
        <f>EXP(-LN(2)/2)*AW185+(1-EXP(-LN(2)/2))/(LN(2)/2)*AQ186*AT186*VLOOKUP('Données projet'!$B$10,Paramètres!$A$1:$I$89,3,0)*0.475*44/12</f>
        <v>10.624661856307879</v>
      </c>
      <c r="AX186" s="21">
        <f t="shared" si="166"/>
        <v>190.49655661559669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204.11804238362862</v>
      </c>
      <c r="BJ186" s="59">
        <f t="shared" si="146"/>
        <v>185.53854651509408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1.4329211221809437</v>
      </c>
      <c r="BQ186" s="21">
        <f>EXP(-LN(2)/25)*BQ185+(1-EXP(-LN(2)/25))/(LN(2)/25)*Calculateur!BL186*Calculateur!BN186*VLOOKUP('Données projet'!$B$11,Paramètres!$A$1:$I$89,3,0)*0.475*44/12</f>
        <v>4.0507040413980349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5.4836251635789788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3.1866666666666674</v>
      </c>
      <c r="BY186" s="12">
        <f>IF('Données projet'!$A$114&gt;35,BY185+BX186-CG185,IF(A186&lt;'Données projet'!$A$114,$BV$205^A186,IF(A186='Données projet'!$A$114,'Données projet'!$B$114,BY185+BX186-CG185)))</f>
        <v>195.70666666666696</v>
      </c>
      <c r="BZ186" s="13">
        <f>BY186*VLOOKUP('Données projet'!$B$12,Paramètres!$A$1:$I$89,3,0)*VLOOKUP('Données projet'!$B$12,Paramètres!$A$1:$I$89,5,0)</f>
        <v>195.3935360000003</v>
      </c>
      <c r="CA186" s="13">
        <f t="shared" si="170"/>
        <v>48.73043753555654</v>
      </c>
      <c r="CB186" s="20">
        <f t="shared" si="171"/>
        <v>425.18258724109478</v>
      </c>
      <c r="CC186" s="59">
        <f t="shared" si="119"/>
        <v>718.51592057442804</v>
      </c>
      <c r="CD186" s="59">
        <f ca="1">AVERAGE(OFFSET($CC$3,0,0,'Données projet'!$E$12+1,1))-AVERAGE(OFFSET($H$3,0,0,'Données projet'!$E$12+1,1))</f>
        <v>535.99935263833549</v>
      </c>
      <c r="CE186" s="59">
        <f t="shared" si="148"/>
        <v>245.89966477332644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55.828978334006898</v>
      </c>
      <c r="CL186" s="21">
        <f>EXP(-LN(2)/25)*CL185+(1-EXP(-LN(2)/25))/(LN(2)/25)*Calculateur!CG186*Calculateur!CI186*VLOOKUP('Données projet'!$B$12,Paramètres!$A$1:$I$89,3,0)*0.475*44/12</f>
        <v>50.556592189717556</v>
      </c>
      <c r="CM186" s="21">
        <f>EXP(-LN(2)/2)*CM185+(1-EXP(-LN(2)/2))/(LN(2)/2)*CG186*CJ186*VLOOKUP('Données projet'!$B$12,Paramètres!$A$1:$I$89,3,0)*0.475*44/12</f>
        <v>30.311174336668255</v>
      </c>
      <c r="CN186" s="22">
        <f t="shared" si="172"/>
        <v>136.6967448603927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2.5579538487363607E-13</v>
      </c>
      <c r="CU186" s="17">
        <f>CT186*VLOOKUP('Données projet'!$B$13,Paramètres!$A$1:$I$89,3,0)*VLOOKUP('Données projet'!$B$13,Paramètres!$A$1:$I$89,5,0)</f>
        <v>2.4341488824575211E-13</v>
      </c>
      <c r="CV186" s="13">
        <f t="shared" si="173"/>
        <v>3.2970717324875541E-12</v>
      </c>
      <c r="CW186" s="20">
        <f t="shared" si="174"/>
        <v>6.1663475311105072E-12</v>
      </c>
      <c r="CX186" s="59">
        <f t="shared" si="122"/>
        <v>293.33333333333945</v>
      </c>
      <c r="CY186" s="59">
        <f ca="1">AVERAGE(OFFSET($CX$3,0,0,'Données projet'!$E$13+1,1))-AVERAGE(OFFSET($H$3,0,0,'Données projet'!$E$13+1,1))</f>
        <v>449.28947235329758</v>
      </c>
      <c r="CZ186" s="59">
        <f t="shared" si="150"/>
        <v>289.36994109443964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23.156719992423234</v>
      </c>
      <c r="DG186" s="21">
        <f>EXP(-LN(2)/25)*DG185+(1-EXP(-LN(2)/25))/(LN(2)/25)*Calculateur!DB186*Calculateur!DD186*VLOOKUP('Données projet'!$B$13,Paramètres!$A$1:$I$89,3,0)*0.475*44/12</f>
        <v>13.849582905074612</v>
      </c>
      <c r="DH186" s="21">
        <f>EXP(-LN(2)/2)*DH185+(1-EXP(-LN(2)/2))/(LN(2)/2)*DB186*DE186*VLOOKUP('Données projet'!$B$13,Paramètres!$A$1:$I$89,3,0)*0.475*44/12</f>
        <v>3.7775322776110374E-7</v>
      </c>
      <c r="DI186" s="22">
        <f t="shared" si="175"/>
        <v>37.006303275251071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5.6843418860808015E-14</v>
      </c>
      <c r="DP186" s="17">
        <f>DO186*VLOOKUP('Données projet'!$B$14,Paramètres!$A$1:$I$89,3,0)*VLOOKUP('Données projet'!$B$14,Paramètres!$A$1:$I$89,5,0)</f>
        <v>4.4337866711430253E-14</v>
      </c>
      <c r="DQ186" s="13">
        <f t="shared" si="176"/>
        <v>7.3222115536967035E-13</v>
      </c>
      <c r="DR186" s="20">
        <f t="shared" si="177"/>
        <v>1.3525069634579169E-12</v>
      </c>
      <c r="DS186" s="59">
        <f t="shared" si="125"/>
        <v>293.33333333333468</v>
      </c>
      <c r="DT186" s="59">
        <f ca="1">AVERAGE(OFFSET($DS$3,0,0,'Données projet'!$E$14+1,1))-AVERAGE(OFFSET($H$3,0,0,'Données projet'!$E$14+1,1))</f>
        <v>288.82868507674738</v>
      </c>
      <c r="DU186" s="59">
        <f t="shared" si="152"/>
        <v>283.48738729114024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4.4973471752119512</v>
      </c>
      <c r="EB186" s="21">
        <f>EXP(-LN(2)/25)*EB185+(1-EXP(-LN(2)/25))/(LN(2)/25)*Calculateur!DW186*Calculateur!DY186*VLOOKUP('Données projet'!$B$14,Paramètres!$A$1:$I$89,3,0)*0.475*44/12</f>
        <v>1.7947528436261664</v>
      </c>
      <c r="EC186" s="21">
        <f>EXP(-LN(2)/2)*EC185+(1-EXP(-LN(2)/2))/(LN(2)/2)*DW186*DZ186*VLOOKUP('Données projet'!$B$14,Paramètres!$A$1:$I$89,3,0)*0.475*44/12</f>
        <v>4.2157958827562433E-16</v>
      </c>
      <c r="ED186" s="22">
        <f t="shared" si="178"/>
        <v>6.2921000188381173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4.7974999999999994</v>
      </c>
      <c r="EJ186" s="12">
        <f>IF('Données projet'!$A$192&gt;35,EJ185+EI186-ER185,IF(A186&lt;'Données projet'!$A$192,$EG$205^A186,IF(A186='Données projet'!$A$192,'Données projet'!$B$192,EJ185+EI186-ER185)))</f>
        <v>295.34249999999969</v>
      </c>
      <c r="EK186" s="17">
        <f>EJ186*VLOOKUP('Données projet'!$B$15,Paramètres!$A$1:$I$89,3,0)*VLOOKUP('Données projet'!$B$15,Paramètres!$A$1:$I$89,5,0)</f>
        <v>285.6552659999997</v>
      </c>
      <c r="EL186" s="13">
        <f t="shared" si="179"/>
        <v>68.160734755272316</v>
      </c>
      <c r="EM186" s="20">
        <f t="shared" si="180"/>
        <v>616.22953464876537</v>
      </c>
      <c r="EN186" s="59">
        <f t="shared" si="128"/>
        <v>909.56286798209862</v>
      </c>
      <c r="EO186" s="59">
        <f ca="1">AVERAGE(OFFSET($EN$3,0,0,'Données projet'!$E$15+1,1))-AVERAGE(OFFSET($H$3,0,0,'Données projet'!$E$15+1,1))</f>
        <v>510.71380643466227</v>
      </c>
      <c r="EP186" s="59">
        <f t="shared" si="154"/>
        <v>252.40654099948841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40.009940289785696</v>
      </c>
      <c r="EW186" s="21">
        <f>EXP(-LN(2)/25)*EW185+(1-EXP(-LN(2)/25))/(LN(2)/25)*Calculateur!ER186*Calculateur!ET186*VLOOKUP('Données projet'!$B$15,Paramètres!$A$1:$I$89,3,0)*0.475*44/12</f>
        <v>34.724511459111071</v>
      </c>
      <c r="EX186" s="21">
        <f>EXP(-LN(2)/2)*EX185+(1-EXP(-LN(2)/2))/(LN(2)/2)*ER186*EU186*VLOOKUP('Données projet'!$B$15,Paramètres!$A$1:$I$89,3,0)*0.475*44/12</f>
        <v>14.25459266959019</v>
      </c>
      <c r="EY186" s="22">
        <f t="shared" si="181"/>
        <v>88.989044418486955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3.1866666666666674</v>
      </c>
      <c r="N187" s="13">
        <f>IF('Données projet'!$A$36&gt;35,N186+M187-V186,IF(A187&lt;'Données projet'!$A$36,$K$205^A187,IF(A187='Données projet'!$A$36,'Données projet'!$B$36,N186+M187-V186)))</f>
        <v>198.89333333333363</v>
      </c>
      <c r="O187" s="13">
        <f>N187*VLOOKUP('Données projet'!$B$9,Paramètres!$A$1:$I$89,3,0)*VLOOKUP('Données projet'!$B$9,Paramètres!$A$1:$I$89,5,0)</f>
        <v>201.67784000000032</v>
      </c>
      <c r="P187" s="13">
        <f t="shared" si="141"/>
        <v>50.112726696715463</v>
      </c>
      <c r="Q187" s="20">
        <f t="shared" si="162"/>
        <v>438.53523699677999</v>
      </c>
      <c r="R187" s="59">
        <f t="shared" si="109"/>
        <v>731.86857033011324</v>
      </c>
      <c r="S187" s="59">
        <f ca="1">AVERAGE(OFFSET($R$3,0,0,'Données projet'!$E$9+1,1))-AVERAGE(OFFSET($H$3,0,0,'Données projet'!$E$9+1,1))</f>
        <v>543.67050511722618</v>
      </c>
      <c r="T187" s="59">
        <f t="shared" si="142"/>
        <v>249.0871389941106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99.752039583063208</v>
      </c>
      <c r="AA187" s="21">
        <f>EXP(-LN(2)/25)*AA186+(1-EXP(-LN(2)/25))/(LN(2)/25)*Calculateur!V187*Calculateur!X187*VLOOKUP('Données projet'!$B$9,Paramètres!$A$1:$I$89,3,0)*0.475*44/12</f>
        <v>42.149417127805883</v>
      </c>
      <c r="AB187" s="21">
        <f>EXP(-LN(2)/2)*AB186+(1-EXP(-LN(2)/2))/(LN(2)/2)*V187*Y187*VLOOKUP('Données projet'!$B$9,Paramètres!$A$1:$I$89,3,0)*0.475*44/12</f>
        <v>7.7820872096567226E-3</v>
      </c>
      <c r="AC187" s="22">
        <f t="shared" si="163"/>
        <v>141.90923879807875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7.9580786405131221E-13</v>
      </c>
      <c r="AJ187" s="13">
        <f>AI187*VLOOKUP('Données projet'!$B$10,Paramètres!$A$1:$I$89,3,0)*VLOOKUP('Données projet'!$B$10,Paramètres!$A$1:$I$89,5,0)</f>
        <v>7.2004695539362725E-13</v>
      </c>
      <c r="AK187" s="13">
        <f t="shared" si="164"/>
        <v>8.5963894794935589E-12</v>
      </c>
      <c r="AL187" s="20">
        <f t="shared" si="165"/>
        <v>1.6226126790761848E-11</v>
      </c>
      <c r="AM187" s="59">
        <f t="shared" si="113"/>
        <v>293.33333333334951</v>
      </c>
      <c r="AN187" s="59">
        <f ca="1">AVERAGE(OFFSET($AM$3,0,0,'Données projet'!$E$10+1,1))-AVERAGE(OFFSET($H$3,0,0,'Données projet'!$E$10+1,1))</f>
        <v>635.71275911100679</v>
      </c>
      <c r="AO187" s="59">
        <f t="shared" si="144"/>
        <v>281.7776857269169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151.10857299297834</v>
      </c>
      <c r="AV187" s="21">
        <f>EXP(-LN(2)/25)*AV186+(1-EXP(-LN(2)/25))/(LN(2)/25)*Calculateur!AQ187*Calculateur!AS187*VLOOKUP('Données projet'!$B$10,Paramètres!$A$1:$I$89,3,0)*0.475*44/12</f>
        <v>25.037020650556091</v>
      </c>
      <c r="AW187" s="21">
        <f>EXP(-LN(2)/2)*AW186+(1-EXP(-LN(2)/2))/(LN(2)/2)*AQ187*AT187*VLOOKUP('Données projet'!$B$10,Paramètres!$A$1:$I$89,3,0)*0.475*44/12</f>
        <v>7.5127704464093537</v>
      </c>
      <c r="AX187" s="21">
        <f t="shared" si="166"/>
        <v>183.65836408994377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204.11804238362862</v>
      </c>
      <c r="BJ187" s="59">
        <f t="shared" si="146"/>
        <v>185.53854651509408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1.40482241297056</v>
      </c>
      <c r="BQ187" s="21">
        <f>EXP(-LN(2)/25)*BQ186+(1-EXP(-LN(2)/25))/(LN(2)/25)*Calculateur!BL187*Calculateur!BN187*VLOOKUP('Données projet'!$B$11,Paramètres!$A$1:$I$89,3,0)*0.475*44/12</f>
        <v>3.9399373263687383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5.344759739339298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3.1866666666666674</v>
      </c>
      <c r="BY187" s="12">
        <f>IF('Données projet'!$A$114&gt;35,BY186+BX187-CG186,IF(A187&lt;'Données projet'!$A$114,$BV$205^A187,IF(A187='Données projet'!$A$114,'Données projet'!$B$114,BY186+BX187-CG186)))</f>
        <v>198.89333333333363</v>
      </c>
      <c r="BZ187" s="13">
        <f>BY187*VLOOKUP('Données projet'!$B$12,Paramètres!$A$1:$I$89,3,0)*VLOOKUP('Données projet'!$B$12,Paramètres!$A$1:$I$89,5,0)</f>
        <v>198.57510400000029</v>
      </c>
      <c r="CA187" s="13">
        <f t="shared" si="170"/>
        <v>49.430888520747715</v>
      </c>
      <c r="CB187" s="20">
        <f t="shared" si="171"/>
        <v>431.94377030696938</v>
      </c>
      <c r="CC187" s="59">
        <f t="shared" si="119"/>
        <v>725.2771036403027</v>
      </c>
      <c r="CD187" s="59">
        <f ca="1">AVERAGE(OFFSET($CC$3,0,0,'Données projet'!$E$12+1,1))-AVERAGE(OFFSET($H$3,0,0,'Données projet'!$E$12+1,1))</f>
        <v>535.99935263833549</v>
      </c>
      <c r="CE187" s="59">
        <f t="shared" si="148"/>
        <v>245.89966477332644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54.73420612119142</v>
      </c>
      <c r="CL187" s="21">
        <f>EXP(-LN(2)/25)*CL186+(1-EXP(-LN(2)/25))/(LN(2)/25)*Calculateur!CG187*Calculateur!CI187*VLOOKUP('Données projet'!$B$12,Paramètres!$A$1:$I$89,3,0)*0.475*44/12</f>
        <v>49.174119517634097</v>
      </c>
      <c r="CM187" s="21">
        <f>EXP(-LN(2)/2)*CM186+(1-EXP(-LN(2)/2))/(LN(2)/2)*CG187*CJ187*VLOOKUP('Données projet'!$B$12,Paramètres!$A$1:$I$89,3,0)*0.475*44/12</f>
        <v>21.433236919185777</v>
      </c>
      <c r="CN187" s="22">
        <f t="shared" si="172"/>
        <v>125.34156255801129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2.5579538487363607E-13</v>
      </c>
      <c r="CU187" s="17">
        <f>CT187*VLOOKUP('Données projet'!$B$13,Paramètres!$A$1:$I$89,3,0)*VLOOKUP('Données projet'!$B$13,Paramètres!$A$1:$I$89,5,0)</f>
        <v>2.4341488824575211E-13</v>
      </c>
      <c r="CV187" s="13">
        <f t="shared" si="173"/>
        <v>3.2970717324875541E-12</v>
      </c>
      <c r="CW187" s="20">
        <f t="shared" si="174"/>
        <v>6.1663475311105072E-12</v>
      </c>
      <c r="CX187" s="59">
        <f t="shared" si="122"/>
        <v>293.33333333333945</v>
      </c>
      <c r="CY187" s="59">
        <f ca="1">AVERAGE(OFFSET($CX$3,0,0,'Données projet'!$E$13+1,1))-AVERAGE(OFFSET($H$3,0,0,'Données projet'!$E$13+1,1))</f>
        <v>449.28947235329758</v>
      </c>
      <c r="CZ187" s="59">
        <f t="shared" si="150"/>
        <v>289.36994109443964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22.702630837576361</v>
      </c>
      <c r="DG187" s="21">
        <f>EXP(-LN(2)/25)*DG186+(1-EXP(-LN(2)/25))/(LN(2)/25)*Calculateur!DB187*Calculateur!DD187*VLOOKUP('Données projet'!$B$13,Paramètres!$A$1:$I$89,3,0)*0.475*44/12</f>
        <v>13.470865332217436</v>
      </c>
      <c r="DH187" s="21">
        <f>EXP(-LN(2)/2)*DH186+(1-EXP(-LN(2)/2))/(LN(2)/2)*DB187*DE187*VLOOKUP('Données projet'!$B$13,Paramètres!$A$1:$I$89,3,0)*0.475*44/12</f>
        <v>2.6711186896498283E-7</v>
      </c>
      <c r="DI187" s="22">
        <f t="shared" si="175"/>
        <v>36.173496436905666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5.6843418860808015E-14</v>
      </c>
      <c r="DP187" s="17">
        <f>DO187*VLOOKUP('Données projet'!$B$14,Paramètres!$A$1:$I$89,3,0)*VLOOKUP('Données projet'!$B$14,Paramètres!$A$1:$I$89,5,0)</f>
        <v>4.4337866711430253E-14</v>
      </c>
      <c r="DQ187" s="13">
        <f t="shared" si="176"/>
        <v>7.3222115536967035E-13</v>
      </c>
      <c r="DR187" s="20">
        <f t="shared" si="177"/>
        <v>1.3525069634579169E-12</v>
      </c>
      <c r="DS187" s="59">
        <f t="shared" si="125"/>
        <v>293.33333333333468</v>
      </c>
      <c r="DT187" s="59">
        <f ca="1">AVERAGE(OFFSET($DS$3,0,0,'Données projet'!$E$14+1,1))-AVERAGE(OFFSET($H$3,0,0,'Données projet'!$E$14+1,1))</f>
        <v>288.82868507674738</v>
      </c>
      <c r="DU187" s="59">
        <f t="shared" si="152"/>
        <v>283.48738729114024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4.4091569402169624</v>
      </c>
      <c r="EB187" s="21">
        <f>EXP(-LN(2)/25)*EB186+(1-EXP(-LN(2)/25))/(LN(2)/25)*Calculateur!DW187*Calculateur!DY187*VLOOKUP('Données projet'!$B$14,Paramètres!$A$1:$I$89,3,0)*0.475*44/12</f>
        <v>1.7456752327352587</v>
      </c>
      <c r="EC187" s="21">
        <f>EXP(-LN(2)/2)*EC186+(1-EXP(-LN(2)/2))/(LN(2)/2)*DW187*DZ187*VLOOKUP('Données projet'!$B$14,Paramètres!$A$1:$I$89,3,0)*0.475*44/12</f>
        <v>2.9810178567952668E-16</v>
      </c>
      <c r="ED187" s="22">
        <f t="shared" si="178"/>
        <v>6.1548321729522213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>
        <f>VLOOKUP(A187,'Données projet'!$A$191:$I$211,2,0)</f>
        <v>300.14</v>
      </c>
      <c r="EH187" s="12">
        <f>VLOOKUP(A187,'Données projet'!$A$191:$I$211,9,0)</f>
        <v>4.7974999999999994</v>
      </c>
      <c r="EI187" s="12">
        <f t="array" ref="EI187">INDEX(EH:EH,MIN(IF(ISNUMBER(EH187:EH383),ROW(EH187:EH383),"")))</f>
        <v>4.7974999999999994</v>
      </c>
      <c r="EJ187" s="12">
        <f>IF('Données projet'!$A$192&gt;35,EJ186+EI187-ER186,IF(A187&lt;'Données projet'!$A$192,$EG$205^A187,IF(A187='Données projet'!$A$192,'Données projet'!$B$192,EJ186+EI187-ER186)))</f>
        <v>300.1399999999997</v>
      </c>
      <c r="EK187" s="17">
        <f>EJ187*VLOOKUP('Données projet'!$B$15,Paramètres!$A$1:$I$89,3,0)*VLOOKUP('Données projet'!$B$15,Paramètres!$A$1:$I$89,5,0)</f>
        <v>290.29540799999972</v>
      </c>
      <c r="EL187" s="13">
        <f t="shared" si="179"/>
        <v>69.138131070702386</v>
      </c>
      <c r="EM187" s="20">
        <f t="shared" si="180"/>
        <v>626.01341388147284</v>
      </c>
      <c r="EN187" s="59">
        <f t="shared" si="128"/>
        <v>919.3467472148061</v>
      </c>
      <c r="EO187" s="59">
        <f ca="1">AVERAGE(OFFSET($EN$3,0,0,'Données projet'!$E$15+1,1))-AVERAGE(OFFSET($H$3,0,0,'Données projet'!$E$15+1,1))</f>
        <v>510.71380643466227</v>
      </c>
      <c r="EP187" s="59">
        <f t="shared" si="154"/>
        <v>252.40654099948841</v>
      </c>
      <c r="EQ187" s="15">
        <f>IF(ISNA(VLOOKUP(A187,'Données projet'!$A$191:$I$211,3,0)),0,VLOOKUP(A187,'Données projet'!$A$191:$I$211,3,0))</f>
        <v>14</v>
      </c>
      <c r="ER187" s="15">
        <f>IF(ISNA(VLOOKUP(A187,'Données projet'!$A$191:$I$211,4,0)),0,VLOOKUP(A187,'Données projet'!$A$191:$I$211,4,0))</f>
        <v>101.19999999999999</v>
      </c>
      <c r="ES187" s="16">
        <f>IF(ISNA(VLOOKUP(A187,'Données projet'!$A$191:$I$211,5,0)),0%,VLOOKUP(A187,'Données projet'!$A$191:$I$211,5,0)*VLOOKUP('Données projet'!$B$15,Paramètres!$A$1:$I$89,7,0))</f>
        <v>0.1075</v>
      </c>
      <c r="ET187" s="16">
        <f>IF(ISNA(VLOOKUP(A187,'Données projet'!$A$191:$I$211,6,0)),0%,VLOOKUP(A187,'Données projet'!$A$191:$I$211,6,0)*VLOOKUP('Données projet'!$B$15,Paramètres!$A$1:$I$89,7,0))</f>
        <v>0.1075</v>
      </c>
      <c r="EU187" s="16">
        <f>IF(ISNA(VLOOKUP(A187,'Données projet'!$A$191:$I$211,7,0)),0%,VLOOKUP(A187,'Données projet'!$A$191:$I$211,7,0))</f>
        <v>0.25</v>
      </c>
      <c r="EV187" s="21">
        <f>EXP(-LN(2)/35)*EV186+(1-EXP(-LN(2)/35))/(LN(2)/35)*ER187*ES187*VLOOKUP('Données projet'!$B$15,Paramètres!$A$1:$I$89,3,0)*0.475*44/12</f>
        <v>50.85731570120268</v>
      </c>
      <c r="EW187" s="21">
        <f>EXP(-LN(2)/25)*EW186+(1-EXP(-LN(2)/25))/(LN(2)/25)*Calculateur!ER187*Calculateur!ET187*VLOOKUP('Données projet'!$B$15,Paramètres!$A$1:$I$89,3,0)*0.475*44/12</f>
        <v>45.36111440075252</v>
      </c>
      <c r="EX187" s="21">
        <f>EXP(-LN(2)/2)*EX186+(1-EXP(-LN(2)/2))/(LN(2)/2)*ER187*EU187*VLOOKUP('Données projet'!$B$15,Paramètres!$A$1:$I$89,3,0)*0.475*44/12</f>
        <v>33.16777370441946</v>
      </c>
      <c r="EY187" s="22">
        <f t="shared" si="181"/>
        <v>129.38620380637465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>
        <f>VLOOKUP(A188,'Données projet'!$A$35:$I$55,2,0)</f>
        <v>202.08</v>
      </c>
      <c r="L188" s="12">
        <f>VLOOKUP(A188,'Données projet'!$A$35:$I$55,9,0)</f>
        <v>3.1866666666666674</v>
      </c>
      <c r="M188" s="12">
        <f t="array" ref="M188">INDEX(L:L,MIN(IF(ISNUMBER(L188:L384),ROW(L188:L384),"")))</f>
        <v>3.1866666666666674</v>
      </c>
      <c r="N188" s="13">
        <f>IF('Données projet'!$A$36&gt;35,N187+M188-V187,IF(A188&lt;'Données projet'!$A$36,$K$205^A188,IF(A188='Données projet'!$A$36,'Données projet'!$B$36,N187+M188-V187)))</f>
        <v>202.0800000000003</v>
      </c>
      <c r="O188" s="13">
        <f>N188*VLOOKUP('Données projet'!$B$9,Paramètres!$A$1:$I$89,3,0)*VLOOKUP('Données projet'!$B$9,Paramètres!$A$1:$I$89,5,0)</f>
        <v>204.90912000000031</v>
      </c>
      <c r="P188" s="13">
        <f t="shared" si="141"/>
        <v>50.821516382474343</v>
      </c>
      <c r="Q188" s="20">
        <f t="shared" si="162"/>
        <v>445.39752503280994</v>
      </c>
      <c r="R188" s="59">
        <f t="shared" si="109"/>
        <v>738.73085836614325</v>
      </c>
      <c r="S188" s="59">
        <f ca="1">AVERAGE(OFFSET($R$3,0,0,'Données projet'!$E$9+1,1))-AVERAGE(OFFSET($H$3,0,0,'Données projet'!$E$9+1,1))</f>
        <v>543.67050511722618</v>
      </c>
      <c r="T188" s="59">
        <f t="shared" si="142"/>
        <v>249.0871389941106</v>
      </c>
      <c r="U188" s="15">
        <f>IF(ISNA(VLOOKUP(A188,'Données projet'!$A$35:$I$55,3,0)),0,VLOOKUP(A188,'Données projet'!$A$35:$I$55,3,0))</f>
        <v>15</v>
      </c>
      <c r="V188" s="15">
        <f>IF(ISNA(VLOOKUP(A188,'Données projet'!$A$35:$I$55,4,0)),0,VLOOKUP(A188,'Données projet'!$A$35:$I$55,4,0))</f>
        <v>71.04000000000002</v>
      </c>
      <c r="W188" s="16">
        <f>IF(ISNA(VLOOKUP(A188,'Données projet'!$A$35:$I$55,5,0)),0%,VLOOKUP(A188,'Données projet'!$A$35:$I$55,5,0)*VLOOKUP('Données projet'!$B$9,Paramètres!$A$1:$I$89,7,0))</f>
        <v>0.215</v>
      </c>
      <c r="X188" s="16">
        <f>IF(ISNA(VLOOKUP(A188,'Données projet'!$A$35:$I$55,6,0)),0%,VLOOKUP(A188,'Données projet'!$A$35:$I$55,6,0)*VLOOKUP('Données projet'!$B$9,Paramètres!$A$1:$I$89,7,0))</f>
        <v>8.6000000000000007E-2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114.91685849185393</v>
      </c>
      <c r="AA188" s="21">
        <f>EXP(-LN(2)/25)*AA187+(1-EXP(-LN(2)/25))/(LN(2)/25)*Calculateur!V188*Calculateur!X188*VLOOKUP('Données projet'!$B$9,Paramètres!$A$1:$I$89,3,0)*0.475*44/12</f>
        <v>47.818232729055246</v>
      </c>
      <c r="AB188" s="21">
        <f>EXP(-LN(2)/2)*AB187+(1-EXP(-LN(2)/2))/(LN(2)/2)*V188*Y188*VLOOKUP('Données projet'!$B$9,Paramètres!$A$1:$I$89,3,0)*0.475*44/12</f>
        <v>5.5027666377333671E-3</v>
      </c>
      <c r="AC188" s="22">
        <f t="shared" si="163"/>
        <v>162.7405939875469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7.9580786405131221E-13</v>
      </c>
      <c r="AJ188" s="13">
        <f>AI188*VLOOKUP('Données projet'!$B$10,Paramètres!$A$1:$I$89,3,0)*VLOOKUP('Données projet'!$B$10,Paramètres!$A$1:$I$89,5,0)</f>
        <v>7.2004695539362725E-13</v>
      </c>
      <c r="AK188" s="13">
        <f t="shared" si="164"/>
        <v>8.5963894794935589E-12</v>
      </c>
      <c r="AL188" s="20">
        <f t="shared" si="165"/>
        <v>1.6226126790761848E-11</v>
      </c>
      <c r="AM188" s="59">
        <f t="shared" si="113"/>
        <v>293.33333333334951</v>
      </c>
      <c r="AN188" s="59">
        <f ca="1">AVERAGE(OFFSET($AM$3,0,0,'Données projet'!$E$10+1,1))-AVERAGE(OFFSET($H$3,0,0,'Données projet'!$E$10+1,1))</f>
        <v>635.71275911100679</v>
      </c>
      <c r="AO188" s="59">
        <f t="shared" si="144"/>
        <v>281.7776857269169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148.14542604371482</v>
      </c>
      <c r="AV188" s="21">
        <f>EXP(-LN(2)/25)*AV187+(1-EXP(-LN(2)/25))/(LN(2)/25)*Calculateur!AQ188*Calculateur!AS188*VLOOKUP('Données projet'!$B$10,Paramètres!$A$1:$I$89,3,0)*0.475*44/12</f>
        <v>24.352382004226943</v>
      </c>
      <c r="AW188" s="21">
        <f>EXP(-LN(2)/2)*AW187+(1-EXP(-LN(2)/2))/(LN(2)/2)*AQ188*AT188*VLOOKUP('Données projet'!$B$10,Paramètres!$A$1:$I$89,3,0)*0.475*44/12</f>
        <v>5.3123309281539406</v>
      </c>
      <c r="AX188" s="21">
        <f t="shared" si="166"/>
        <v>177.81013897609569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204.11804238362862</v>
      </c>
      <c r="BJ188" s="59">
        <f t="shared" si="146"/>
        <v>185.53854651509408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1.3772747023092715</v>
      </c>
      <c r="BQ188" s="21">
        <f>EXP(-LN(2)/25)*BQ187+(1-EXP(-LN(2)/25))/(LN(2)/25)*Calculateur!BL188*Calculateur!BN188*VLOOKUP('Données projet'!$B$11,Paramètres!$A$1:$I$89,3,0)*0.475*44/12</f>
        <v>3.8321995329868859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5.2094742352961578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>
        <f>VLOOKUP(A188,'Données projet'!$A$113:$I$133,2,0)</f>
        <v>202.08</v>
      </c>
      <c r="BW188" s="12">
        <f>VLOOKUP(A188,'Données projet'!$A$113:$I$133,9,0)</f>
        <v>3.1866666666666674</v>
      </c>
      <c r="BX188" s="12">
        <f t="array" ref="BX188">INDEX(BW:BW,MIN(IF(ISNUMBER(BW188:BW384),ROW(BW188:BW384),"")))</f>
        <v>3.1866666666666674</v>
      </c>
      <c r="BY188" s="12">
        <f>IF('Données projet'!$A$114&gt;35,BY187+BX188-CG187,IF(A188&lt;'Données projet'!$A$114,$BV$205^A188,IF(A188='Données projet'!$A$114,'Données projet'!$B$114,BY187+BX188-CG187)))</f>
        <v>202.0800000000003</v>
      </c>
      <c r="BZ188" s="13">
        <f>BY188*VLOOKUP('Données projet'!$B$12,Paramètres!$A$1:$I$89,3,0)*VLOOKUP('Données projet'!$B$12,Paramètres!$A$1:$I$89,5,0)</f>
        <v>201.75667200000032</v>
      </c>
      <c r="CA188" s="13">
        <f t="shared" si="170"/>
        <v>50.130034351575141</v>
      </c>
      <c r="CB188" s="20">
        <f t="shared" si="171"/>
        <v>438.70268022899398</v>
      </c>
      <c r="CC188" s="59">
        <f t="shared" si="119"/>
        <v>732.0360135623273</v>
      </c>
      <c r="CD188" s="59">
        <f ca="1">AVERAGE(OFFSET($CC$3,0,0,'Données projet'!$E$12+1,1))-AVERAGE(OFFSET($H$3,0,0,'Données projet'!$E$12+1,1))</f>
        <v>535.99935263833549</v>
      </c>
      <c r="CE188" s="59">
        <f t="shared" si="148"/>
        <v>245.89966477332644</v>
      </c>
      <c r="CF188" s="15">
        <f>IF(ISNA(VLOOKUP(A188,'Données projet'!$A$113:$I$133,3,0)),0,VLOOKUP(A188,'Données projet'!$A$113:$I$133,3,0))</f>
        <v>15</v>
      </c>
      <c r="CG188" s="15">
        <f>IF(ISNA(VLOOKUP(A188,'Données projet'!$A$113:$I$133,4,0)),0,VLOOKUP(A188,'Données projet'!$A$113:$I$133,4,0))</f>
        <v>71.04000000000002</v>
      </c>
      <c r="CH188" s="16">
        <f>IF(ISNA(VLOOKUP(A188,'Données projet'!$A$113:$I$133,5,0)),0%,VLOOKUP(A188,'Données projet'!$A$113:$I$133,5,0)*VLOOKUP('Données projet'!$B$12,Paramètres!$A$1:$I$89,7,0))</f>
        <v>0.1075</v>
      </c>
      <c r="CI188" s="16">
        <f>IF(ISNA(VLOOKUP(A188,'Données projet'!$A$113:$I$133,6,0)),0%,VLOOKUP(A188,'Données projet'!$A$113:$I$133,6,0)*VLOOKUP('Données projet'!$B$12,Paramètres!$A$1:$I$89,7,0))</f>
        <v>0.1075</v>
      </c>
      <c r="CJ188" s="16">
        <f>IF(ISNA(VLOOKUP(A188,'Données projet'!$A$113:$I$133,7,0)),0%,VLOOKUP(A188,'Données projet'!$A$113:$I$133,7,0))</f>
        <v>0.25</v>
      </c>
      <c r="CK188" s="21">
        <f>EXP(-LN(2)/35)*CK187+(1-EXP(-LN(2)/35))/(LN(2)/35)*CG188*CH188*VLOOKUP('Données projet'!$B$12,Paramètres!$A$1:$I$89,3,0)*0.475*44/12</f>
        <v>62.089650308230304</v>
      </c>
      <c r="CL188" s="21">
        <f>EXP(-LN(2)/25)*CL187+(1-EXP(-LN(2)/25))/(LN(2)/25)*Calculateur!CG188*Calculateur!CI188*VLOOKUP('Données projet'!$B$12,Paramètres!$A$1:$I$89,3,0)*0.475*44/12</f>
        <v>56.225012023193806</v>
      </c>
      <c r="CM188" s="21">
        <f>EXP(-LN(2)/2)*CM187+(1-EXP(-LN(2)/2))/(LN(2)/2)*CG188*CJ188*VLOOKUP('Données projet'!$B$12,Paramètres!$A$1:$I$89,3,0)*0.475*44/12</f>
        <v>31.885813910920405</v>
      </c>
      <c r="CN188" s="22">
        <f t="shared" si="172"/>
        <v>150.20047624234451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2.5579538487363607E-13</v>
      </c>
      <c r="CU188" s="17">
        <f>CT188*VLOOKUP('Données projet'!$B$13,Paramètres!$A$1:$I$89,3,0)*VLOOKUP('Données projet'!$B$13,Paramètres!$A$1:$I$89,5,0)</f>
        <v>2.4341488824575211E-13</v>
      </c>
      <c r="CV188" s="13">
        <f t="shared" si="173"/>
        <v>3.2970717324875541E-12</v>
      </c>
      <c r="CW188" s="20">
        <f t="shared" si="174"/>
        <v>6.1663475311105072E-12</v>
      </c>
      <c r="CX188" s="59">
        <f t="shared" si="122"/>
        <v>293.33333333333945</v>
      </c>
      <c r="CY188" s="59">
        <f ca="1">AVERAGE(OFFSET($CX$3,0,0,'Données projet'!$E$13+1,1))-AVERAGE(OFFSET($H$3,0,0,'Données projet'!$E$13+1,1))</f>
        <v>449.28947235329758</v>
      </c>
      <c r="CZ188" s="59">
        <f t="shared" si="150"/>
        <v>289.36994109443964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22.257446094088998</v>
      </c>
      <c r="DG188" s="21">
        <f>EXP(-LN(2)/25)*DG187+(1-EXP(-LN(2)/25))/(LN(2)/25)*Calculateur!DB188*Calculateur!DD188*VLOOKUP('Données projet'!$B$13,Paramètres!$A$1:$I$89,3,0)*0.475*44/12</f>
        <v>13.10250381130593</v>
      </c>
      <c r="DH188" s="21">
        <f>EXP(-LN(2)/2)*DH187+(1-EXP(-LN(2)/2))/(LN(2)/2)*DB188*DE188*VLOOKUP('Données projet'!$B$13,Paramètres!$A$1:$I$89,3,0)*0.475*44/12</f>
        <v>1.8887661388055187E-7</v>
      </c>
      <c r="DI188" s="22">
        <f t="shared" si="175"/>
        <v>35.359950094271539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5.6843418860808015E-14</v>
      </c>
      <c r="DP188" s="17">
        <f>DO188*VLOOKUP('Données projet'!$B$14,Paramètres!$A$1:$I$89,3,0)*VLOOKUP('Données projet'!$B$14,Paramètres!$A$1:$I$89,5,0)</f>
        <v>4.4337866711430253E-14</v>
      </c>
      <c r="DQ188" s="13">
        <f t="shared" si="176"/>
        <v>7.3222115536967035E-13</v>
      </c>
      <c r="DR188" s="20">
        <f t="shared" si="177"/>
        <v>1.3525069634579169E-12</v>
      </c>
      <c r="DS188" s="59">
        <f t="shared" si="125"/>
        <v>293.33333333333468</v>
      </c>
      <c r="DT188" s="59">
        <f ca="1">AVERAGE(OFFSET($DS$3,0,0,'Données projet'!$E$14+1,1))-AVERAGE(OFFSET($H$3,0,0,'Données projet'!$E$14+1,1))</f>
        <v>288.82868507674738</v>
      </c>
      <c r="DU188" s="59">
        <f t="shared" si="152"/>
        <v>283.48738729114024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4.3226960619394932</v>
      </c>
      <c r="EB188" s="21">
        <f>EXP(-LN(2)/25)*EB187+(1-EXP(-LN(2)/25))/(LN(2)/25)*Calculateur!DW188*Calculateur!DY188*VLOOKUP('Données projet'!$B$14,Paramètres!$A$1:$I$89,3,0)*0.475*44/12</f>
        <v>1.6979396516950425</v>
      </c>
      <c r="EC188" s="21">
        <f>EXP(-LN(2)/2)*EC187+(1-EXP(-LN(2)/2))/(LN(2)/2)*DW188*DZ188*VLOOKUP('Données projet'!$B$14,Paramètres!$A$1:$I$89,3,0)*0.475*44/12</f>
        <v>2.1078979413781216E-16</v>
      </c>
      <c r="ED188" s="22">
        <f t="shared" si="178"/>
        <v>6.0206357136345359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3.0825000000000031</v>
      </c>
      <c r="EJ188" s="12">
        <f>IF('Données projet'!$A$192&gt;35,EJ187+EI188-ER187,IF(A188&lt;'Données projet'!$A$192,$EG$205^A188,IF(A188='Données projet'!$A$192,'Données projet'!$B$192,EJ187+EI188-ER187)))</f>
        <v>202.0224999999997</v>
      </c>
      <c r="EK188" s="17">
        <f>EJ188*VLOOKUP('Données projet'!$B$15,Paramètres!$A$1:$I$89,3,0)*VLOOKUP('Données projet'!$B$15,Paramètres!$A$1:$I$89,5,0)</f>
        <v>195.39616199999969</v>
      </c>
      <c r="EL188" s="13">
        <f t="shared" si="179"/>
        <v>48.731016217868188</v>
      </c>
      <c r="EM188" s="20">
        <f t="shared" si="180"/>
        <v>425.18816872945314</v>
      </c>
      <c r="EN188" s="59">
        <f t="shared" si="128"/>
        <v>718.52150206278645</v>
      </c>
      <c r="EO188" s="59">
        <f ca="1">AVERAGE(OFFSET($EN$3,0,0,'Données projet'!$E$15+1,1))-AVERAGE(OFFSET($H$3,0,0,'Données projet'!$E$15+1,1))</f>
        <v>510.71380643466227</v>
      </c>
      <c r="EP188" s="59">
        <f t="shared" si="154"/>
        <v>252.40654099948841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49.860034760201714</v>
      </c>
      <c r="EW188" s="21">
        <f>EXP(-LN(2)/25)*EW187+(1-EXP(-LN(2)/25))/(LN(2)/25)*Calculateur!ER188*Calculateur!ET188*VLOOKUP('Données projet'!$B$15,Paramètres!$A$1:$I$89,3,0)*0.475*44/12</f>
        <v>44.120712342026607</v>
      </c>
      <c r="EX188" s="21">
        <f>EXP(-LN(2)/2)*EX187+(1-EXP(-LN(2)/2))/(LN(2)/2)*ER188*EU188*VLOOKUP('Données projet'!$B$15,Paramètres!$A$1:$I$89,3,0)*0.475*44/12</f>
        <v>23.453157703255858</v>
      </c>
      <c r="EY188" s="22">
        <f t="shared" si="181"/>
        <v>117.43390480548418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1.9966666666666697</v>
      </c>
      <c r="N189" s="13">
        <f>IF('Données projet'!$A$36&gt;35,N188+M189-V188,IF(A189&lt;'Données projet'!$A$36,$K$205^A189,IF(A189='Données projet'!$A$36,'Données projet'!$B$36,N188+M189-V188)))</f>
        <v>133.03666666666695</v>
      </c>
      <c r="O189" s="13">
        <f>N189*VLOOKUP('Données projet'!$B$9,Paramètres!$A$1:$I$89,3,0)*VLOOKUP('Données projet'!$B$9,Paramètres!$A$1:$I$89,5,0)</f>
        <v>134.89918000000029</v>
      </c>
      <c r="P189" s="13">
        <f t="shared" si="141"/>
        <v>35.125967161749799</v>
      </c>
      <c r="Q189" s="20">
        <f t="shared" si="162"/>
        <v>296.12713130671472</v>
      </c>
      <c r="R189" s="59">
        <f t="shared" si="109"/>
        <v>589.46046464004803</v>
      </c>
      <c r="S189" s="59">
        <f ca="1">AVERAGE(OFFSET($R$3,0,0,'Données projet'!$E$9+1,1))-AVERAGE(OFFSET($H$3,0,0,'Données projet'!$E$9+1,1))</f>
        <v>543.67050511722618</v>
      </c>
      <c r="T189" s="59">
        <f t="shared" si="142"/>
        <v>249.0871389941106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112.66340898919131</v>
      </c>
      <c r="AA189" s="21">
        <f>EXP(-LN(2)/25)*AA188+(1-EXP(-LN(2)/25))/(LN(2)/25)*Calculateur!V189*Calculateur!X189*VLOOKUP('Données projet'!$B$9,Paramètres!$A$1:$I$89,3,0)*0.475*44/12</f>
        <v>46.51064064042766</v>
      </c>
      <c r="AB189" s="21">
        <f>EXP(-LN(2)/2)*AB188+(1-EXP(-LN(2)/2))/(LN(2)/2)*V189*Y189*VLOOKUP('Données projet'!$B$9,Paramètres!$A$1:$I$89,3,0)*0.475*44/12</f>
        <v>3.8910436048283622E-3</v>
      </c>
      <c r="AC189" s="22">
        <f t="shared" si="163"/>
        <v>159.17794067322379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7.9580786405131221E-13</v>
      </c>
      <c r="AJ189" s="13">
        <f>AI189*VLOOKUP('Données projet'!$B$10,Paramètres!$A$1:$I$89,3,0)*VLOOKUP('Données projet'!$B$10,Paramètres!$A$1:$I$89,5,0)</f>
        <v>7.2004695539362725E-13</v>
      </c>
      <c r="AK189" s="13">
        <f t="shared" si="164"/>
        <v>8.5963894794935589E-12</v>
      </c>
      <c r="AL189" s="20">
        <f t="shared" si="165"/>
        <v>1.6226126790761848E-11</v>
      </c>
      <c r="AM189" s="59">
        <f t="shared" si="113"/>
        <v>293.33333333334951</v>
      </c>
      <c r="AN189" s="59">
        <f ca="1">AVERAGE(OFFSET($AM$3,0,0,'Données projet'!$E$10+1,1))-AVERAGE(OFFSET($H$3,0,0,'Données projet'!$E$10+1,1))</f>
        <v>635.71275911100679</v>
      </c>
      <c r="AO189" s="59">
        <f t="shared" si="144"/>
        <v>281.7776857269169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145.24038459878517</v>
      </c>
      <c r="AV189" s="21">
        <f>EXP(-LN(2)/25)*AV188+(1-EXP(-LN(2)/25))/(LN(2)/25)*Calculateur!AQ189*Calculateur!AS189*VLOOKUP('Données projet'!$B$10,Paramètres!$A$1:$I$89,3,0)*0.475*44/12</f>
        <v>23.686464837685246</v>
      </c>
      <c r="AW189" s="21">
        <f>EXP(-LN(2)/2)*AW188+(1-EXP(-LN(2)/2))/(LN(2)/2)*AQ189*AT189*VLOOKUP('Données projet'!$B$10,Paramètres!$A$1:$I$89,3,0)*0.475*44/12</f>
        <v>3.7563852232046777</v>
      </c>
      <c r="AX189" s="21">
        <f t="shared" si="166"/>
        <v>172.68323465967509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204.11804238362862</v>
      </c>
      <c r="BJ189" s="59">
        <f t="shared" si="146"/>
        <v>185.53854651509408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1.3502671854516066</v>
      </c>
      <c r="BQ189" s="21">
        <f>EXP(-LN(2)/25)*BQ188+(1-EXP(-LN(2)/25))/(LN(2)/25)*Calculateur!BL189*Calculateur!BN189*VLOOKUP('Données projet'!$B$11,Paramètres!$A$1:$I$89,3,0)*0.475*44/12</f>
        <v>3.7274078352307445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5.0776750206823511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1.9966666666666697</v>
      </c>
      <c r="BY189" s="12">
        <f>IF('Données projet'!$A$114&gt;35,BY188+BX189-CG188,IF(A189&lt;'Données projet'!$A$114,$BV$205^A189,IF(A189='Données projet'!$A$114,'Données projet'!$B$114,BY188+BX189-CG188)))</f>
        <v>133.03666666666695</v>
      </c>
      <c r="BZ189" s="13">
        <f>BY189*VLOOKUP('Données projet'!$B$12,Paramètres!$A$1:$I$89,3,0)*VLOOKUP('Données projet'!$B$12,Paramètres!$A$1:$I$89,5,0)</f>
        <v>132.8238080000003</v>
      </c>
      <c r="CA189" s="13">
        <f t="shared" si="170"/>
        <v>34.648040156827108</v>
      </c>
      <c r="CB189" s="20">
        <f t="shared" si="171"/>
        <v>291.68013553980774</v>
      </c>
      <c r="CC189" s="59">
        <f t="shared" si="119"/>
        <v>585.01346887314105</v>
      </c>
      <c r="CD189" s="59">
        <f ca="1">AVERAGE(OFFSET($CC$3,0,0,'Données projet'!$E$12+1,1))-AVERAGE(OFFSET($H$3,0,0,'Données projet'!$E$12+1,1))</f>
        <v>535.99935263833549</v>
      </c>
      <c r="CE189" s="59">
        <f t="shared" si="148"/>
        <v>245.89966477332644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60.872110136633154</v>
      </c>
      <c r="CL189" s="21">
        <f>EXP(-LN(2)/25)*CL188+(1-EXP(-LN(2)/25))/(LN(2)/25)*Calculateur!CG189*Calculateur!CI189*VLOOKUP('Données projet'!$B$12,Paramètres!$A$1:$I$89,3,0)*0.475*44/12</f>
        <v>54.687536112674692</v>
      </c>
      <c r="CM189" s="21">
        <f>EXP(-LN(2)/2)*CM188+(1-EXP(-LN(2)/2))/(LN(2)/2)*CG189*CJ189*VLOOKUP('Données projet'!$B$12,Paramètres!$A$1:$I$89,3,0)*0.475*44/12</f>
        <v>22.546675240064168</v>
      </c>
      <c r="CN189" s="22">
        <f t="shared" si="172"/>
        <v>138.10632148937202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2.5579538487363607E-13</v>
      </c>
      <c r="CU189" s="17">
        <f>CT189*VLOOKUP('Données projet'!$B$13,Paramètres!$A$1:$I$89,3,0)*VLOOKUP('Données projet'!$B$13,Paramètres!$A$1:$I$89,5,0)</f>
        <v>2.4341488824575211E-13</v>
      </c>
      <c r="CV189" s="13">
        <f t="shared" si="173"/>
        <v>3.2970717324875541E-12</v>
      </c>
      <c r="CW189" s="20">
        <f t="shared" si="174"/>
        <v>6.1663475311105072E-12</v>
      </c>
      <c r="CX189" s="59">
        <f t="shared" si="122"/>
        <v>293.33333333333945</v>
      </c>
      <c r="CY189" s="59">
        <f ca="1">AVERAGE(OFFSET($CX$3,0,0,'Données projet'!$E$13+1,1))-AVERAGE(OFFSET($H$3,0,0,'Données projet'!$E$13+1,1))</f>
        <v>449.28947235329758</v>
      </c>
      <c r="CZ189" s="59">
        <f t="shared" si="150"/>
        <v>289.36994109443964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21.82099115188554</v>
      </c>
      <c r="DG189" s="21">
        <f>EXP(-LN(2)/25)*DG188+(1-EXP(-LN(2)/25))/(LN(2)/25)*Calculateur!DB189*Calculateur!DD189*VLOOKUP('Données projet'!$B$13,Paramètres!$A$1:$I$89,3,0)*0.475*44/12</f>
        <v>12.74421515555504</v>
      </c>
      <c r="DH189" s="21">
        <f>EXP(-LN(2)/2)*DH188+(1-EXP(-LN(2)/2))/(LN(2)/2)*DB189*DE189*VLOOKUP('Données projet'!$B$13,Paramètres!$A$1:$I$89,3,0)*0.475*44/12</f>
        <v>1.3355593448249141E-7</v>
      </c>
      <c r="DI189" s="22">
        <f t="shared" si="175"/>
        <v>34.565206440996512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5.6843418860808015E-14</v>
      </c>
      <c r="DP189" s="17">
        <f>DO189*VLOOKUP('Données projet'!$B$14,Paramètres!$A$1:$I$89,3,0)*VLOOKUP('Données projet'!$B$14,Paramètres!$A$1:$I$89,5,0)</f>
        <v>4.4337866711430253E-14</v>
      </c>
      <c r="DQ189" s="13">
        <f t="shared" si="176"/>
        <v>7.3222115536967035E-13</v>
      </c>
      <c r="DR189" s="20">
        <f t="shared" si="177"/>
        <v>1.3525069634579169E-12</v>
      </c>
      <c r="DS189" s="59">
        <f t="shared" si="125"/>
        <v>293.33333333333468</v>
      </c>
      <c r="DT189" s="59">
        <f ca="1">AVERAGE(OFFSET($DS$3,0,0,'Données projet'!$E$14+1,1))-AVERAGE(OFFSET($H$3,0,0,'Données projet'!$E$14+1,1))</f>
        <v>288.82868507674738</v>
      </c>
      <c r="DU189" s="59">
        <f t="shared" si="152"/>
        <v>283.48738729114024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4.2379306287491163</v>
      </c>
      <c r="EB189" s="21">
        <f>EXP(-LN(2)/25)*EB188+(1-EXP(-LN(2)/25))/(LN(2)/25)*Calculateur!DW189*Calculateur!DY189*VLOOKUP('Données projet'!$B$14,Paramètres!$A$1:$I$89,3,0)*0.475*44/12</f>
        <v>1.6515094026286758</v>
      </c>
      <c r="EC189" s="21">
        <f>EXP(-LN(2)/2)*EC188+(1-EXP(-LN(2)/2))/(LN(2)/2)*DW189*DZ189*VLOOKUP('Données projet'!$B$14,Paramètres!$A$1:$I$89,3,0)*0.475*44/12</f>
        <v>1.4905089283976334E-16</v>
      </c>
      <c r="ED189" s="22">
        <f t="shared" si="178"/>
        <v>5.8894400313777924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3.0825000000000031</v>
      </c>
      <c r="EJ189" s="12">
        <f>IF('Données projet'!$A$192&gt;35,EJ188+EI189-ER188,IF(A189&lt;'Données projet'!$A$192,$EG$205^A189,IF(A189='Données projet'!$A$192,'Données projet'!$B$192,EJ188+EI189-ER188)))</f>
        <v>205.10499999999971</v>
      </c>
      <c r="EK189" s="17">
        <f>EJ189*VLOOKUP('Données projet'!$B$15,Paramètres!$A$1:$I$89,3,0)*VLOOKUP('Données projet'!$B$15,Paramètres!$A$1:$I$89,5,0)</f>
        <v>198.37755599999971</v>
      </c>
      <c r="EL189" s="13">
        <f t="shared" si="179"/>
        <v>49.387434785250633</v>
      </c>
      <c r="EM189" s="20">
        <f t="shared" si="180"/>
        <v>431.52402561764438</v>
      </c>
      <c r="EN189" s="59">
        <f t="shared" si="128"/>
        <v>724.85735895097764</v>
      </c>
      <c r="EO189" s="59">
        <f ca="1">AVERAGE(OFFSET($EN$3,0,0,'Données projet'!$E$15+1,1))-AVERAGE(OFFSET($H$3,0,0,'Données projet'!$E$15+1,1))</f>
        <v>510.71380643466227</v>
      </c>
      <c r="EP189" s="59">
        <f t="shared" si="154"/>
        <v>252.40654099948841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48.882309890172465</v>
      </c>
      <c r="EW189" s="21">
        <f>EXP(-LN(2)/25)*EW188+(1-EXP(-LN(2)/25))/(LN(2)/25)*Calculateur!ER189*Calculateur!ET189*VLOOKUP('Données projet'!$B$15,Paramètres!$A$1:$I$89,3,0)*0.475*44/12</f>
        <v>42.914229142826464</v>
      </c>
      <c r="EX189" s="21">
        <f>EXP(-LN(2)/2)*EX188+(1-EXP(-LN(2)/2))/(LN(2)/2)*ER189*EU189*VLOOKUP('Données projet'!$B$15,Paramètres!$A$1:$I$89,3,0)*0.475*44/12</f>
        <v>16.583886852209734</v>
      </c>
      <c r="EY189" s="22">
        <f t="shared" si="181"/>
        <v>108.38042588520867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1.9966666666666697</v>
      </c>
      <c r="N190" s="13">
        <f>IF('Données projet'!$A$36&gt;35,N189+M190-V189,IF(A190&lt;'Données projet'!$A$36,$K$205^A190,IF(A190='Données projet'!$A$36,'Données projet'!$B$36,N189+M190-V189)))</f>
        <v>135.03333333333362</v>
      </c>
      <c r="O190" s="13">
        <f>N190*VLOOKUP('Données projet'!$B$9,Paramètres!$A$1:$I$89,3,0)*VLOOKUP('Données projet'!$B$9,Paramètres!$A$1:$I$89,5,0)</f>
        <v>136.92380000000031</v>
      </c>
      <c r="P190" s="13">
        <f t="shared" si="141"/>
        <v>35.59138261373807</v>
      </c>
      <c r="Q190" s="20">
        <f t="shared" si="162"/>
        <v>300.46394305226096</v>
      </c>
      <c r="R190" s="59">
        <f t="shared" si="109"/>
        <v>593.79727638559427</v>
      </c>
      <c r="S190" s="59">
        <f ca="1">AVERAGE(OFFSET($R$3,0,0,'Données projet'!$E$9+1,1))-AVERAGE(OFFSET($H$3,0,0,'Données projet'!$E$9+1,1))</f>
        <v>543.67050511722618</v>
      </c>
      <c r="T190" s="59">
        <f t="shared" si="142"/>
        <v>249.0871389941106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110.45414825680743</v>
      </c>
      <c r="AA190" s="21">
        <f>EXP(-LN(2)/25)*AA189+(1-EXP(-LN(2)/25))/(LN(2)/25)*Calculateur!V190*Calculateur!X190*VLOOKUP('Données projet'!$B$9,Paramètres!$A$1:$I$89,3,0)*0.475*44/12</f>
        <v>45.238804726226874</v>
      </c>
      <c r="AB190" s="21">
        <f>EXP(-LN(2)/2)*AB189+(1-EXP(-LN(2)/2))/(LN(2)/2)*V190*Y190*VLOOKUP('Données projet'!$B$9,Paramètres!$A$1:$I$89,3,0)*0.475*44/12</f>
        <v>2.751383318866684E-3</v>
      </c>
      <c r="AC190" s="22">
        <f t="shared" si="163"/>
        <v>155.69570436635317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7.9580786405131221E-13</v>
      </c>
      <c r="AJ190" s="13">
        <f>AI190*VLOOKUP('Données projet'!$B$10,Paramètres!$A$1:$I$89,3,0)*VLOOKUP('Données projet'!$B$10,Paramètres!$A$1:$I$89,5,0)</f>
        <v>7.2004695539362725E-13</v>
      </c>
      <c r="AK190" s="13">
        <f t="shared" si="164"/>
        <v>8.5963894794935589E-12</v>
      </c>
      <c r="AL190" s="20">
        <f t="shared" si="165"/>
        <v>1.6226126790761848E-11</v>
      </c>
      <c r="AM190" s="59">
        <f t="shared" si="113"/>
        <v>293.33333333334951</v>
      </c>
      <c r="AN190" s="59">
        <f ca="1">AVERAGE(OFFSET($AM$3,0,0,'Données projet'!$E$10+1,1))-AVERAGE(OFFSET($H$3,0,0,'Données projet'!$E$10+1,1))</f>
        <v>635.71275911100679</v>
      </c>
      <c r="AO190" s="59">
        <f t="shared" si="144"/>
        <v>281.7776857269169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142.39230924469027</v>
      </c>
      <c r="AV190" s="21">
        <f>EXP(-LN(2)/25)*AV189+(1-EXP(-LN(2)/25))/(LN(2)/25)*Calculateur!AQ190*Calculateur!AS190*VLOOKUP('Données projet'!$B$10,Paramètres!$A$1:$I$89,3,0)*0.475*44/12</f>
        <v>23.038757211081695</v>
      </c>
      <c r="AW190" s="21">
        <f>EXP(-LN(2)/2)*AW189+(1-EXP(-LN(2)/2))/(LN(2)/2)*AQ190*AT190*VLOOKUP('Données projet'!$B$10,Paramètres!$A$1:$I$89,3,0)*0.475*44/12</f>
        <v>2.6561654640769707</v>
      </c>
      <c r="AX190" s="21">
        <f t="shared" si="166"/>
        <v>168.08723191984893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204.11804238362862</v>
      </c>
      <c r="BJ190" s="59">
        <f t="shared" si="146"/>
        <v>185.53854651509408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1.3237892695265618</v>
      </c>
      <c r="BQ190" s="21">
        <f>EXP(-LN(2)/25)*BQ189+(1-EXP(-LN(2)/25))/(LN(2)/25)*Calculateur!BL190*Calculateur!BN190*VLOOKUP('Données projet'!$B$11,Paramètres!$A$1:$I$89,3,0)*0.475*44/12</f>
        <v>3.6254816719605008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4.9492709414870628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1.9966666666666697</v>
      </c>
      <c r="BY190" s="12">
        <f>IF('Données projet'!$A$114&gt;35,BY189+BX190-CG189,IF(A190&lt;'Données projet'!$A$114,$BV$205^A190,IF(A190='Données projet'!$A$114,'Données projet'!$B$114,BY189+BX190-CG189)))</f>
        <v>135.03333333333362</v>
      </c>
      <c r="BZ190" s="13">
        <f>BY190*VLOOKUP('Données projet'!$B$12,Paramètres!$A$1:$I$89,3,0)*VLOOKUP('Données projet'!$B$12,Paramètres!$A$1:$I$89,5,0)</f>
        <v>134.8172800000003</v>
      </c>
      <c r="CA190" s="13">
        <f t="shared" si="170"/>
        <v>35.107123125157621</v>
      </c>
      <c r="CB190" s="20">
        <f t="shared" si="171"/>
        <v>295.95166877631669</v>
      </c>
      <c r="CC190" s="59">
        <f t="shared" si="119"/>
        <v>589.28500210965001</v>
      </c>
      <c r="CD190" s="59">
        <f ca="1">AVERAGE(OFFSET($CC$3,0,0,'Données projet'!$E$12+1,1))-AVERAGE(OFFSET($H$3,0,0,'Données projet'!$E$12+1,1))</f>
        <v>535.99935263833549</v>
      </c>
      <c r="CE190" s="59">
        <f t="shared" si="148"/>
        <v>245.89966477332644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59.678445185174844</v>
      </c>
      <c r="CL190" s="21">
        <f>EXP(-LN(2)/25)*CL189+(1-EXP(-LN(2)/25))/(LN(2)/25)*Calculateur!CG190*Calculateur!CI190*VLOOKUP('Données projet'!$B$12,Paramètres!$A$1:$I$89,3,0)*0.475*44/12</f>
        <v>53.19210256178107</v>
      </c>
      <c r="CM190" s="21">
        <f>EXP(-LN(2)/2)*CM189+(1-EXP(-LN(2)/2))/(LN(2)/2)*CG190*CJ190*VLOOKUP('Données projet'!$B$12,Paramètres!$A$1:$I$89,3,0)*0.475*44/12</f>
        <v>15.942906955460204</v>
      </c>
      <c r="CN190" s="22">
        <f t="shared" si="172"/>
        <v>128.81345470241612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2.5579538487363607E-13</v>
      </c>
      <c r="CU190" s="17">
        <f>CT190*VLOOKUP('Données projet'!$B$13,Paramètres!$A$1:$I$89,3,0)*VLOOKUP('Données projet'!$B$13,Paramètres!$A$1:$I$89,5,0)</f>
        <v>2.4341488824575211E-13</v>
      </c>
      <c r="CV190" s="13">
        <f t="shared" si="173"/>
        <v>3.2970717324875541E-12</v>
      </c>
      <c r="CW190" s="20">
        <f t="shared" si="174"/>
        <v>6.1663475311105072E-12</v>
      </c>
      <c r="CX190" s="59">
        <f t="shared" si="122"/>
        <v>293.33333333333945</v>
      </c>
      <c r="CY190" s="59">
        <f ca="1">AVERAGE(OFFSET($CX$3,0,0,'Données projet'!$E$13+1,1))-AVERAGE(OFFSET($H$3,0,0,'Données projet'!$E$13+1,1))</f>
        <v>449.28947235329758</v>
      </c>
      <c r="CZ190" s="59">
        <f t="shared" si="150"/>
        <v>289.36994109443964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21.393094824887463</v>
      </c>
      <c r="DG190" s="21">
        <f>EXP(-LN(2)/25)*DG189+(1-EXP(-LN(2)/25))/(LN(2)/25)*Calculateur!DB190*Calculateur!DD190*VLOOKUP('Données projet'!$B$13,Paramètres!$A$1:$I$89,3,0)*0.475*44/12</f>
        <v>12.39572392193724</v>
      </c>
      <c r="DH190" s="21">
        <f>EXP(-LN(2)/2)*DH189+(1-EXP(-LN(2)/2))/(LN(2)/2)*DB190*DE190*VLOOKUP('Données projet'!$B$13,Paramètres!$A$1:$I$89,3,0)*0.475*44/12</f>
        <v>9.4438306940275935E-8</v>
      </c>
      <c r="DI190" s="22">
        <f t="shared" si="175"/>
        <v>33.788818841263009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5.6843418860808015E-14</v>
      </c>
      <c r="DP190" s="17">
        <f>DO190*VLOOKUP('Données projet'!$B$14,Paramètres!$A$1:$I$89,3,0)*VLOOKUP('Données projet'!$B$14,Paramètres!$A$1:$I$89,5,0)</f>
        <v>4.4337866711430253E-14</v>
      </c>
      <c r="DQ190" s="13">
        <f t="shared" si="176"/>
        <v>7.3222115536967035E-13</v>
      </c>
      <c r="DR190" s="20">
        <f t="shared" si="177"/>
        <v>1.3525069634579169E-12</v>
      </c>
      <c r="DS190" s="59">
        <f t="shared" si="125"/>
        <v>293.33333333333468</v>
      </c>
      <c r="DT190" s="59">
        <f ca="1">AVERAGE(OFFSET($DS$3,0,0,'Données projet'!$E$14+1,1))-AVERAGE(OFFSET($H$3,0,0,'Données projet'!$E$14+1,1))</f>
        <v>288.82868507674738</v>
      </c>
      <c r="DU190" s="59">
        <f t="shared" si="152"/>
        <v>283.48738729114024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4.1548273940017939</v>
      </c>
      <c r="EB190" s="21">
        <f>EXP(-LN(2)/25)*EB189+(1-EXP(-LN(2)/25))/(LN(2)/25)*Calculateur!DW190*Calculateur!DY190*VLOOKUP('Données projet'!$B$14,Paramètres!$A$1:$I$89,3,0)*0.475*44/12</f>
        <v>1.6063487911646899</v>
      </c>
      <c r="EC190" s="21">
        <f>EXP(-LN(2)/2)*EC189+(1-EXP(-LN(2)/2))/(LN(2)/2)*DW190*DZ190*VLOOKUP('Données projet'!$B$14,Paramètres!$A$1:$I$89,3,0)*0.475*44/12</f>
        <v>1.0539489706890608E-16</v>
      </c>
      <c r="ED190" s="22">
        <f t="shared" si="178"/>
        <v>5.7611761851664838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3.0825000000000031</v>
      </c>
      <c r="EJ190" s="12">
        <f>IF('Données projet'!$A$192&gt;35,EJ189+EI190-ER189,IF(A190&lt;'Données projet'!$A$192,$EG$205^A190,IF(A190='Données projet'!$A$192,'Données projet'!$B$192,EJ189+EI190-ER189)))</f>
        <v>208.18749999999972</v>
      </c>
      <c r="EK190" s="17">
        <f>EJ190*VLOOKUP('Données projet'!$B$15,Paramètres!$A$1:$I$89,3,0)*VLOOKUP('Données projet'!$B$15,Paramètres!$A$1:$I$89,5,0)</f>
        <v>201.35894999999971</v>
      </c>
      <c r="EL190" s="13">
        <f t="shared" si="179"/>
        <v>50.042705996748062</v>
      </c>
      <c r="EM190" s="20">
        <f t="shared" si="180"/>
        <v>437.85788419433567</v>
      </c>
      <c r="EN190" s="59">
        <f t="shared" si="128"/>
        <v>731.19121752766898</v>
      </c>
      <c r="EO190" s="59">
        <f ca="1">AVERAGE(OFFSET($EN$3,0,0,'Données projet'!$E$15+1,1))-AVERAGE(OFFSET($H$3,0,0,'Données projet'!$E$15+1,1))</f>
        <v>510.71380643466227</v>
      </c>
      <c r="EP190" s="59">
        <f t="shared" si="154"/>
        <v>252.40654099948841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47.923757608491201</v>
      </c>
      <c r="EW190" s="21">
        <f>EXP(-LN(2)/25)*EW189+(1-EXP(-LN(2)/25))/(LN(2)/25)*Calculateur!ER190*Calculateur!ET190*VLOOKUP('Données projet'!$B$15,Paramètres!$A$1:$I$89,3,0)*0.475*44/12</f>
        <v>41.740737290154648</v>
      </c>
      <c r="EX190" s="21">
        <f>EXP(-LN(2)/2)*EX189+(1-EXP(-LN(2)/2))/(LN(2)/2)*ER190*EU190*VLOOKUP('Données projet'!$B$15,Paramètres!$A$1:$I$89,3,0)*0.475*44/12</f>
        <v>11.726578851627931</v>
      </c>
      <c r="EY190" s="22">
        <f t="shared" si="181"/>
        <v>101.39107375027378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>
        <f>VLOOKUP(A191,'Données projet'!$A$35:$I$55,2,0)</f>
        <v>137.03</v>
      </c>
      <c r="L191" s="12">
        <f>VLOOKUP(A191,'Données projet'!$A$35:$I$55,9,0)</f>
        <v>1.9966666666666697</v>
      </c>
      <c r="M191" s="12">
        <f t="array" ref="M191">INDEX(L:L,MIN(IF(ISNUMBER(L191:L387),ROW(L191:L387),"")))</f>
        <v>1.9966666666666697</v>
      </c>
      <c r="N191" s="13">
        <f>IF('Données projet'!$A$36&gt;35,N190+M191-V190,IF(A191&lt;'Données projet'!$A$36,$K$205^A191,IF(A191='Données projet'!$A$36,'Données projet'!$B$36,N190+M191-V190)))</f>
        <v>137.03000000000029</v>
      </c>
      <c r="O191" s="13">
        <f>N191*VLOOKUP('Données projet'!$B$9,Paramètres!$A$1:$I$89,3,0)*VLOOKUP('Données projet'!$B$9,Paramètres!$A$1:$I$89,5,0)</f>
        <v>138.94842000000031</v>
      </c>
      <c r="P191" s="13">
        <f t="shared" si="141"/>
        <v>36.055997676189463</v>
      </c>
      <c r="Q191" s="20">
        <f t="shared" si="162"/>
        <v>304.79936078603049</v>
      </c>
      <c r="R191" s="59">
        <f t="shared" si="109"/>
        <v>598.1326941193638</v>
      </c>
      <c r="S191" s="59">
        <f ca="1">AVERAGE(OFFSET($R$3,0,0,'Données projet'!$E$9+1,1))-AVERAGE(OFFSET($H$3,0,0,'Données projet'!$E$9+1,1))</f>
        <v>543.67050511722618</v>
      </c>
      <c r="T191" s="59">
        <f t="shared" si="142"/>
        <v>249.0871389941106</v>
      </c>
      <c r="U191" s="15">
        <f>IF(ISNA(VLOOKUP(A191,'Données projet'!$A$35:$I$55,3,0)),0,VLOOKUP(A191,'Données projet'!$A$35:$I$55,3,0))</f>
        <v>16</v>
      </c>
      <c r="V191" s="15">
        <f>IF(ISNA(VLOOKUP(A191,'Données projet'!$A$35:$I$55,4,0)),0,VLOOKUP(A191,'Données projet'!$A$35:$I$55,4,0))</f>
        <v>137.03</v>
      </c>
      <c r="W191" s="16">
        <f>IF(ISNA(VLOOKUP(A191,'Données projet'!$A$35:$I$55,5,0)),0%,VLOOKUP(A191,'Données projet'!$A$35:$I$55,5,0)*VLOOKUP('Données projet'!$B$9,Paramètres!$A$1:$I$89,7,0))</f>
        <v>0.215</v>
      </c>
      <c r="X191" s="16">
        <f>IF(ISNA(VLOOKUP(A191,'Données projet'!$A$35:$I$55,6,0)),0%,VLOOKUP(A191,'Données projet'!$A$35:$I$55,6,0)*VLOOKUP('Données projet'!$B$9,Paramètres!$A$1:$I$89,7,0))</f>
        <v>8.6000000000000007E-2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141.31293273734391</v>
      </c>
      <c r="AA191" s="21">
        <f>EXP(-LN(2)/25)*AA190+(1-EXP(-LN(2)/25))/(LN(2)/25)*Calculateur!V191*Calculateur!X191*VLOOKUP('Données projet'!$B$9,Paramètres!$A$1:$I$89,3,0)*0.475*44/12</f>
        <v>57.159624047896763</v>
      </c>
      <c r="AB191" s="21">
        <f>EXP(-LN(2)/2)*AB190+(1-EXP(-LN(2)/2))/(LN(2)/2)*V191*Y191*VLOOKUP('Données projet'!$B$9,Paramètres!$A$1:$I$89,3,0)*0.475*44/12</f>
        <v>1.9455218024141813E-3</v>
      </c>
      <c r="AC191" s="22">
        <f t="shared" si="163"/>
        <v>198.47450230704308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7.9580786405131221E-13</v>
      </c>
      <c r="AJ191" s="13">
        <f>AI191*VLOOKUP('Données projet'!$B$10,Paramètres!$A$1:$I$89,3,0)*VLOOKUP('Données projet'!$B$10,Paramètres!$A$1:$I$89,5,0)</f>
        <v>7.2004695539362725E-13</v>
      </c>
      <c r="AK191" s="13">
        <f t="shared" si="164"/>
        <v>8.5963894794935589E-12</v>
      </c>
      <c r="AL191" s="20">
        <f t="shared" si="165"/>
        <v>1.6226126790761848E-11</v>
      </c>
      <c r="AM191" s="59">
        <f t="shared" si="113"/>
        <v>293.33333333334951</v>
      </c>
      <c r="AN191" s="59">
        <f ca="1">AVERAGE(OFFSET($AM$3,0,0,'Données projet'!$E$10+1,1))-AVERAGE(OFFSET($H$3,0,0,'Données projet'!$E$10+1,1))</f>
        <v>635.71275911100679</v>
      </c>
      <c r="AO191" s="59">
        <f t="shared" si="144"/>
        <v>281.7776857269169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139.60008291113473</v>
      </c>
      <c r="AV191" s="21">
        <f>EXP(-LN(2)/25)*AV190+(1-EXP(-LN(2)/25))/(LN(2)/25)*Calculateur!AQ191*Calculateur!AS191*VLOOKUP('Données projet'!$B$10,Paramètres!$A$1:$I$89,3,0)*0.475*44/12</f>
        <v>22.408761183589078</v>
      </c>
      <c r="AW191" s="21">
        <f>EXP(-LN(2)/2)*AW190+(1-EXP(-LN(2)/2))/(LN(2)/2)*AQ191*AT191*VLOOKUP('Données projet'!$B$10,Paramètres!$A$1:$I$89,3,0)*0.475*44/12</f>
        <v>1.8781926116023391</v>
      </c>
      <c r="AX191" s="21">
        <f t="shared" si="166"/>
        <v>163.88703670632617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204.11804238362862</v>
      </c>
      <c r="BJ191" s="59">
        <f t="shared" si="146"/>
        <v>185.53854651509408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1.2978305693828731</v>
      </c>
      <c r="BQ191" s="21">
        <f>EXP(-LN(2)/25)*BQ190+(1-EXP(-LN(2)/25))/(LN(2)/25)*Calculateur!BL191*Calculateur!BN191*VLOOKUP('Données projet'!$B$11,Paramètres!$A$1:$I$89,3,0)*0.475*44/12</f>
        <v>3.5263426849849457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4.8241732543678193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>
        <f>VLOOKUP(A191,'Données projet'!$A$113:$I$133,2,0)</f>
        <v>137.03</v>
      </c>
      <c r="BW191" s="12">
        <f>VLOOKUP(A191,'Données projet'!$A$113:$I$133,9,0)</f>
        <v>1.9966666666666697</v>
      </c>
      <c r="BX191" s="12">
        <f t="array" ref="BX191">INDEX(BW:BW,MIN(IF(ISNUMBER(BW191:BW387),ROW(BW191:BW387),"")))</f>
        <v>1.9966666666666697</v>
      </c>
      <c r="BY191" s="12">
        <f>IF('Données projet'!$A$114&gt;35,BY190+BX191-CG190,IF(A191&lt;'Données projet'!$A$114,$BV$205^A191,IF(A191='Données projet'!$A$114,'Données projet'!$B$114,BY190+BX191-CG190)))</f>
        <v>137.03000000000029</v>
      </c>
      <c r="BZ191" s="13">
        <f>BY191*VLOOKUP('Données projet'!$B$12,Paramètres!$A$1:$I$89,3,0)*VLOOKUP('Données projet'!$B$12,Paramètres!$A$1:$I$89,5,0)</f>
        <v>136.81075200000029</v>
      </c>
      <c r="CA191" s="13">
        <f t="shared" si="170"/>
        <v>35.565416594121935</v>
      </c>
      <c r="CB191" s="20">
        <f t="shared" si="171"/>
        <v>300.2218269680962</v>
      </c>
      <c r="CC191" s="59">
        <f t="shared" si="119"/>
        <v>593.55516030142951</v>
      </c>
      <c r="CD191" s="59">
        <f ca="1">AVERAGE(OFFSET($CC$3,0,0,'Données projet'!$E$12+1,1))-AVERAGE(OFFSET($H$3,0,0,'Données projet'!$E$12+1,1))</f>
        <v>535.99935263833549</v>
      </c>
      <c r="CE191" s="59">
        <f t="shared" si="148"/>
        <v>245.89966477332644</v>
      </c>
      <c r="CF191" s="15">
        <f>IF(ISNA(VLOOKUP(A191,'Données projet'!$A$113:$I$133,3,0)),0,VLOOKUP(A191,'Données projet'!$A$113:$I$133,3,0))</f>
        <v>16</v>
      </c>
      <c r="CG191" s="15">
        <f>IF(ISNA(VLOOKUP(A191,'Données projet'!$A$113:$I$133,4,0)),0,VLOOKUP(A191,'Données projet'!$A$113:$I$133,4,0))</f>
        <v>137.03</v>
      </c>
      <c r="CH191" s="16">
        <f>IF(ISNA(VLOOKUP(A191,'Données projet'!$A$113:$I$133,5,0)),0%,VLOOKUP(A191,'Données projet'!$A$113:$I$133,5,0)*VLOOKUP('Données projet'!$B$12,Paramètres!$A$1:$I$89,7,0))</f>
        <v>0.1075</v>
      </c>
      <c r="CI191" s="16">
        <f>IF(ISNA(VLOOKUP(A191,'Données projet'!$A$113:$I$133,6,0)),0%,VLOOKUP(A191,'Données projet'!$A$113:$I$133,6,0)*VLOOKUP('Données projet'!$B$12,Paramètres!$A$1:$I$89,7,0))</f>
        <v>0.1075</v>
      </c>
      <c r="CJ191" s="16">
        <f>IF(ISNA(VLOOKUP(A191,'Données projet'!$A$113:$I$133,7,0)),0%,VLOOKUP(A191,'Données projet'!$A$113:$I$133,7,0))</f>
        <v>0.25</v>
      </c>
      <c r="CK191" s="21">
        <f>EXP(-LN(2)/35)*CK190+(1-EXP(-LN(2)/35))/(LN(2)/35)*CG191*CH191*VLOOKUP('Données projet'!$B$12,Paramètres!$A$1:$I$89,3,0)*0.475*44/12</f>
        <v>74.766512423645949</v>
      </c>
      <c r="CL191" s="21">
        <f>EXP(-LN(2)/25)*CL190+(1-EXP(-LN(2)/25))/(LN(2)/25)*Calculateur!CG191*Calculateur!CI191*VLOOKUP('Données projet'!$B$12,Paramètres!$A$1:$I$89,3,0)*0.475*44/12</f>
        <v>67.931871647256713</v>
      </c>
      <c r="CM191" s="21">
        <f>EXP(-LN(2)/2)*CM190+(1-EXP(-LN(2)/2))/(LN(2)/2)*CG191*CJ191*VLOOKUP('Données projet'!$B$12,Paramètres!$A$1:$I$89,3,0)*0.475*44/12</f>
        <v>43.544494299882821</v>
      </c>
      <c r="CN191" s="22">
        <f t="shared" si="172"/>
        <v>186.24287837078546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2.5579538487363607E-13</v>
      </c>
      <c r="CU191" s="17">
        <f>CT191*VLOOKUP('Données projet'!$B$13,Paramètres!$A$1:$I$89,3,0)*VLOOKUP('Données projet'!$B$13,Paramètres!$A$1:$I$89,5,0)</f>
        <v>2.4341488824575211E-13</v>
      </c>
      <c r="CV191" s="13">
        <f t="shared" si="173"/>
        <v>3.2970717324875541E-12</v>
      </c>
      <c r="CW191" s="20">
        <f t="shared" si="174"/>
        <v>6.1663475311105072E-12</v>
      </c>
      <c r="CX191" s="59">
        <f t="shared" si="122"/>
        <v>293.33333333333945</v>
      </c>
      <c r="CY191" s="59">
        <f ca="1">AVERAGE(OFFSET($CX$3,0,0,'Données projet'!$E$13+1,1))-AVERAGE(OFFSET($H$3,0,0,'Données projet'!$E$13+1,1))</f>
        <v>449.28947235329758</v>
      </c>
      <c r="CZ191" s="59">
        <f t="shared" si="150"/>
        <v>289.36994109443964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20.97358928387083</v>
      </c>
      <c r="DG191" s="21">
        <f>EXP(-LN(2)/25)*DG190+(1-EXP(-LN(2)/25))/(LN(2)/25)*Calculateur!DB191*Calculateur!DD191*VLOOKUP('Données projet'!$B$13,Paramètres!$A$1:$I$89,3,0)*0.475*44/12</f>
        <v>12.056762199429075</v>
      </c>
      <c r="DH191" s="21">
        <f>EXP(-LN(2)/2)*DH190+(1-EXP(-LN(2)/2))/(LN(2)/2)*DB191*DE191*VLOOKUP('Données projet'!$B$13,Paramètres!$A$1:$I$89,3,0)*0.475*44/12</f>
        <v>6.6777967241245707E-8</v>
      </c>
      <c r="DI191" s="22">
        <f t="shared" si="175"/>
        <v>33.030351550077867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5.6843418860808015E-14</v>
      </c>
      <c r="DP191" s="17">
        <f>DO191*VLOOKUP('Données projet'!$B$14,Paramètres!$A$1:$I$89,3,0)*VLOOKUP('Données projet'!$B$14,Paramètres!$A$1:$I$89,5,0)</f>
        <v>4.4337866711430253E-14</v>
      </c>
      <c r="DQ191" s="13">
        <f t="shared" si="176"/>
        <v>7.3222115536967035E-13</v>
      </c>
      <c r="DR191" s="20">
        <f t="shared" si="177"/>
        <v>1.3525069634579169E-12</v>
      </c>
      <c r="DS191" s="59">
        <f t="shared" si="125"/>
        <v>293.33333333333468</v>
      </c>
      <c r="DT191" s="59">
        <f ca="1">AVERAGE(OFFSET($DS$3,0,0,'Données projet'!$E$14+1,1))-AVERAGE(OFFSET($H$3,0,0,'Données projet'!$E$14+1,1))</f>
        <v>288.82868507674738</v>
      </c>
      <c r="DU191" s="59">
        <f t="shared" si="152"/>
        <v>283.48738729114024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4.0733537629998979</v>
      </c>
      <c r="EB191" s="21">
        <f>EXP(-LN(2)/25)*EB190+(1-EXP(-LN(2)/25))/(LN(2)/25)*Calculateur!DW191*Calculateur!DY191*VLOOKUP('Données projet'!$B$14,Paramètres!$A$1:$I$89,3,0)*0.475*44/12</f>
        <v>1.5624230989960799</v>
      </c>
      <c r="EC191" s="21">
        <f>EXP(-LN(2)/2)*EC190+(1-EXP(-LN(2)/2))/(LN(2)/2)*DW191*DZ191*VLOOKUP('Données projet'!$B$14,Paramètres!$A$1:$I$89,3,0)*0.475*44/12</f>
        <v>7.4525446419881671E-17</v>
      </c>
      <c r="ED191" s="22">
        <f t="shared" si="178"/>
        <v>5.6357768619959776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>
        <f>VLOOKUP(A191,'Données projet'!$A$191:$I$211,2,0)</f>
        <v>211.27</v>
      </c>
      <c r="EH191" s="12">
        <f>VLOOKUP(A191,'Données projet'!$A$191:$I$211,9,0)</f>
        <v>3.0825000000000031</v>
      </c>
      <c r="EI191" s="12">
        <f t="array" ref="EI191">INDEX(EH:EH,MIN(IF(ISNUMBER(EH191:EH387),ROW(EH191:EH387),"")))</f>
        <v>3.0825000000000031</v>
      </c>
      <c r="EJ191" s="12">
        <f>IF('Données projet'!$A$192&gt;35,EJ190+EI191-ER190,IF(A191&lt;'Données projet'!$A$192,$EG$205^A191,IF(A191='Données projet'!$A$192,'Données projet'!$B$192,EJ190+EI191-ER190)))</f>
        <v>211.26999999999973</v>
      </c>
      <c r="EK191" s="17">
        <f>EJ191*VLOOKUP('Données projet'!$B$15,Paramètres!$A$1:$I$89,3,0)*VLOOKUP('Données projet'!$B$15,Paramètres!$A$1:$I$89,5,0)</f>
        <v>204.34034399999976</v>
      </c>
      <c r="EL191" s="13">
        <f t="shared" si="179"/>
        <v>50.696848803013133</v>
      </c>
      <c r="EM191" s="20">
        <f t="shared" si="180"/>
        <v>444.18977746524746</v>
      </c>
      <c r="EN191" s="59">
        <f t="shared" si="128"/>
        <v>737.52311079858077</v>
      </c>
      <c r="EO191" s="59">
        <f ca="1">AVERAGE(OFFSET($EN$3,0,0,'Données projet'!$E$15+1,1))-AVERAGE(OFFSET($H$3,0,0,'Données projet'!$E$15+1,1))</f>
        <v>510.71380643466227</v>
      </c>
      <c r="EP191" s="59">
        <f t="shared" si="154"/>
        <v>252.40654099948841</v>
      </c>
      <c r="EQ191" s="15">
        <f>IF(ISNA(VLOOKUP(A191,'Données projet'!$A$191:$I$211,3,0)),0,VLOOKUP(A191,'Données projet'!$A$191:$I$211,3,0))</f>
        <v>15</v>
      </c>
      <c r="ER191" s="15">
        <f>IF(ISNA(VLOOKUP(A191,'Données projet'!$A$191:$I$211,4,0)),0,VLOOKUP(A191,'Données projet'!$A$191:$I$211,4,0))</f>
        <v>72.180000000000007</v>
      </c>
      <c r="ES191" s="16">
        <f>IF(ISNA(VLOOKUP(A191,'Données projet'!$A$191:$I$211,5,0)),0%,VLOOKUP(A191,'Données projet'!$A$191:$I$211,5,0)*VLOOKUP('Données projet'!$B$15,Paramètres!$A$1:$I$89,7,0))</f>
        <v>0.1075</v>
      </c>
      <c r="ET191" s="16">
        <f>IF(ISNA(VLOOKUP(A191,'Données projet'!$A$191:$I$211,6,0)),0%,VLOOKUP(A191,'Données projet'!$A$191:$I$211,6,0)*VLOOKUP('Données projet'!$B$15,Paramètres!$A$1:$I$89,7,0))</f>
        <v>0.1075</v>
      </c>
      <c r="EU191" s="16">
        <f>IF(ISNA(VLOOKUP(A191,'Données projet'!$A$191:$I$211,7,0)),0%,VLOOKUP(A191,'Données projet'!$A$191:$I$211,7,0))</f>
        <v>0.25</v>
      </c>
      <c r="EV191" s="21">
        <f>EXP(-LN(2)/35)*EV190+(1-EXP(-LN(2)/35))/(LN(2)/35)*ER191*ES191*VLOOKUP('Données projet'!$B$15,Paramètres!$A$1:$I$89,3,0)*0.475*44/12</f>
        <v>55.280383945690275</v>
      </c>
      <c r="EW191" s="21">
        <f>EXP(-LN(2)/25)*EW190+(1-EXP(-LN(2)/25))/(LN(2)/25)*Calculateur!ER191*Calculateur!ET191*VLOOKUP('Données projet'!$B$15,Paramètres!$A$1:$I$89,3,0)*0.475*44/12</f>
        <v>48.863050610124141</v>
      </c>
      <c r="EX191" s="21">
        <f>EXP(-LN(2)/2)*EX190+(1-EXP(-LN(2)/2))/(LN(2)/2)*ER191*EU191*VLOOKUP('Données projet'!$B$15,Paramètres!$A$1:$I$89,3,0)*0.475*44/12</f>
        <v>24.759435664050123</v>
      </c>
      <c r="EY191" s="22">
        <f t="shared" si="181"/>
        <v>128.90287021986455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2.8421709430404007E-13</v>
      </c>
      <c r="O192" s="13">
        <f>N192*VLOOKUP('Données projet'!$B$9,Paramètres!$A$1:$I$89,3,0)*VLOOKUP('Données projet'!$B$9,Paramètres!$A$1:$I$89,5,0)</f>
        <v>2.8819613362429665E-13</v>
      </c>
      <c r="P192" s="13">
        <f t="shared" si="141"/>
        <v>3.827652602141548E-12</v>
      </c>
      <c r="Q192" s="20">
        <f t="shared" si="162"/>
        <v>7.1684365481255119E-12</v>
      </c>
      <c r="R192" s="59">
        <f t="shared" si="109"/>
        <v>293.33333333334048</v>
      </c>
      <c r="S192" s="59">
        <f ca="1">AVERAGE(OFFSET($R$3,0,0,'Données projet'!$E$9+1,1))-AVERAGE(OFFSET($H$3,0,0,'Données projet'!$E$9+1,1))</f>
        <v>543.67050511722618</v>
      </c>
      <c r="T192" s="59">
        <f t="shared" si="142"/>
        <v>249.0871389941106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138.54187231874278</v>
      </c>
      <c r="AA192" s="21">
        <f>EXP(-LN(2)/25)*AA191+(1-EXP(-LN(2)/25))/(LN(2)/25)*Calculateur!V192*Calculateur!X192*VLOOKUP('Données projet'!$B$9,Paramètres!$A$1:$I$89,3,0)*0.475*44/12</f>
        <v>55.596591122413038</v>
      </c>
      <c r="AB192" s="21">
        <f>EXP(-LN(2)/2)*AB191+(1-EXP(-LN(2)/2))/(LN(2)/2)*V192*Y192*VLOOKUP('Données projet'!$B$9,Paramètres!$A$1:$I$89,3,0)*0.475*44/12</f>
        <v>1.3756916594333422E-3</v>
      </c>
      <c r="AC192" s="22">
        <f t="shared" si="163"/>
        <v>194.13983913281524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7.9580786405131221E-13</v>
      </c>
      <c r="AJ192" s="13">
        <f>AI192*VLOOKUP('Données projet'!$B$10,Paramètres!$A$1:$I$89,3,0)*VLOOKUP('Données projet'!$B$10,Paramètres!$A$1:$I$89,5,0)</f>
        <v>7.2004695539362725E-13</v>
      </c>
      <c r="AK192" s="13">
        <f t="shared" si="164"/>
        <v>8.5963894794935589E-12</v>
      </c>
      <c r="AL192" s="20">
        <f t="shared" si="165"/>
        <v>1.6226126790761848E-11</v>
      </c>
      <c r="AM192" s="59">
        <f t="shared" si="113"/>
        <v>293.33333333334951</v>
      </c>
      <c r="AN192" s="59">
        <f ca="1">AVERAGE(OFFSET($AM$3,0,0,'Données projet'!$E$10+1,1))-AVERAGE(OFFSET($H$3,0,0,'Données projet'!$E$10+1,1))</f>
        <v>635.71275911100679</v>
      </c>
      <c r="AO192" s="59">
        <f t="shared" si="144"/>
        <v>281.7776857269169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136.86261043289034</v>
      </c>
      <c r="AV192" s="21">
        <f>EXP(-LN(2)/25)*AV191+(1-EXP(-LN(2)/25))/(LN(2)/25)*Calculateur!AQ192*Calculateur!AS192*VLOOKUP('Données projet'!$B$10,Paramètres!$A$1:$I$89,3,0)*0.475*44/12</f>
        <v>21.7959924305983</v>
      </c>
      <c r="AW192" s="21">
        <f>EXP(-LN(2)/2)*AW191+(1-EXP(-LN(2)/2))/(LN(2)/2)*AQ192*AT192*VLOOKUP('Données projet'!$B$10,Paramètres!$A$1:$I$89,3,0)*0.475*44/12</f>
        <v>1.3280827320384856</v>
      </c>
      <c r="AX192" s="21">
        <f t="shared" si="166"/>
        <v>159.98668559552712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204.11804238362862</v>
      </c>
      <c r="BJ192" s="59">
        <f t="shared" si="146"/>
        <v>185.53854651509408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1.2723809035157585</v>
      </c>
      <c r="BQ192" s="21">
        <f>EXP(-LN(2)/25)*BQ191+(1-EXP(-LN(2)/25))/(LN(2)/25)*Calculateur!BL192*Calculateur!BN192*VLOOKUP('Données projet'!$B$11,Paramètres!$A$1:$I$89,3,0)*0.475*44/12</f>
        <v>3.4299146588217302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4.7022955623374889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2.8421709430404007E-13</v>
      </c>
      <c r="BZ192" s="13">
        <f>BY192*VLOOKUP('Données projet'!$B$12,Paramètres!$A$1:$I$89,3,0)*VLOOKUP('Données projet'!$B$12,Paramètres!$A$1:$I$89,5,0)</f>
        <v>2.8376234695315366E-13</v>
      </c>
      <c r="CA192" s="13">
        <f t="shared" si="170"/>
        <v>3.7755732234983288E-12</v>
      </c>
      <c r="CB192" s="20">
        <f t="shared" si="171"/>
        <v>7.070009451869665E-12</v>
      </c>
      <c r="CC192" s="59">
        <f t="shared" si="119"/>
        <v>293.33333333334036</v>
      </c>
      <c r="CD192" s="59">
        <f ca="1">AVERAGE(OFFSET($CC$3,0,0,'Données projet'!$E$12+1,1))-AVERAGE(OFFSET($H$3,0,0,'Données projet'!$E$12+1,1))</f>
        <v>535.99935263833549</v>
      </c>
      <c r="CE192" s="59">
        <f t="shared" si="148"/>
        <v>245.89966477332644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73.300386718087907</v>
      </c>
      <c r="CL192" s="21">
        <f>EXP(-LN(2)/25)*CL191+(1-EXP(-LN(2)/25))/(LN(2)/25)*Calculateur!CG192*Calculateur!CI192*VLOOKUP('Données projet'!$B$12,Paramètres!$A$1:$I$89,3,0)*0.475*44/12</f>
        <v>66.074271044680614</v>
      </c>
      <c r="CM192" s="21">
        <f>EXP(-LN(2)/2)*CM191+(1-EXP(-LN(2)/2))/(LN(2)/2)*CG192*CJ192*VLOOKUP('Données projet'!$B$12,Paramètres!$A$1:$I$89,3,0)*0.475*44/12</f>
        <v>30.790607202786109</v>
      </c>
      <c r="CN192" s="22">
        <f t="shared" si="172"/>
        <v>170.16526496555463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2.5579538487363607E-13</v>
      </c>
      <c r="CU192" s="17">
        <f>CT192*VLOOKUP('Données projet'!$B$13,Paramètres!$A$1:$I$89,3,0)*VLOOKUP('Données projet'!$B$13,Paramètres!$A$1:$I$89,5,0)</f>
        <v>2.4341488824575211E-13</v>
      </c>
      <c r="CV192" s="13">
        <f t="shared" si="173"/>
        <v>3.2970717324875541E-12</v>
      </c>
      <c r="CW192" s="20">
        <f t="shared" si="174"/>
        <v>6.1663475311105072E-12</v>
      </c>
      <c r="CX192" s="59">
        <f t="shared" si="122"/>
        <v>293.33333333333945</v>
      </c>
      <c r="CY192" s="59">
        <f ca="1">AVERAGE(OFFSET($CX$3,0,0,'Données projet'!$E$13+1,1))-AVERAGE(OFFSET($H$3,0,0,'Données projet'!$E$13+1,1))</f>
        <v>449.28947235329758</v>
      </c>
      <c r="CZ192" s="59">
        <f t="shared" si="150"/>
        <v>289.36994109443964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20.562309990640419</v>
      </c>
      <c r="DG192" s="21">
        <f>EXP(-LN(2)/25)*DG191+(1-EXP(-LN(2)/25))/(LN(2)/25)*Calculateur!DB192*Calculateur!DD192*VLOOKUP('Données projet'!$B$13,Paramètres!$A$1:$I$89,3,0)*0.475*44/12</f>
        <v>11.72706940304812</v>
      </c>
      <c r="DH192" s="21">
        <f>EXP(-LN(2)/2)*DH191+(1-EXP(-LN(2)/2))/(LN(2)/2)*DB192*DE192*VLOOKUP('Données projet'!$B$13,Paramètres!$A$1:$I$89,3,0)*0.475*44/12</f>
        <v>4.7219153470137968E-8</v>
      </c>
      <c r="DI192" s="22">
        <f t="shared" si="175"/>
        <v>32.289379440907688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5.6843418860808015E-14</v>
      </c>
      <c r="DP192" s="17">
        <f>DO192*VLOOKUP('Données projet'!$B$14,Paramètres!$A$1:$I$89,3,0)*VLOOKUP('Données projet'!$B$14,Paramètres!$A$1:$I$89,5,0)</f>
        <v>4.4337866711430253E-14</v>
      </c>
      <c r="DQ192" s="13">
        <f t="shared" si="176"/>
        <v>7.3222115536967035E-13</v>
      </c>
      <c r="DR192" s="20">
        <f t="shared" si="177"/>
        <v>1.3525069634579169E-12</v>
      </c>
      <c r="DS192" s="59">
        <f t="shared" si="125"/>
        <v>293.33333333333468</v>
      </c>
      <c r="DT192" s="59">
        <f ca="1">AVERAGE(OFFSET($DS$3,0,0,'Données projet'!$E$14+1,1))-AVERAGE(OFFSET($H$3,0,0,'Données projet'!$E$14+1,1))</f>
        <v>288.82868507674738</v>
      </c>
      <c r="DU192" s="59">
        <f t="shared" si="152"/>
        <v>283.48738729114024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3.9934777802079413</v>
      </c>
      <c r="EB192" s="21">
        <f>EXP(-LN(2)/25)*EB191+(1-EXP(-LN(2)/25))/(LN(2)/25)*Calculateur!DW192*Calculateur!DY192*VLOOKUP('Données projet'!$B$14,Paramètres!$A$1:$I$89,3,0)*0.475*44/12</f>
        <v>1.5196985571897723</v>
      </c>
      <c r="EC192" s="21">
        <f>EXP(-LN(2)/2)*EC191+(1-EXP(-LN(2)/2))/(LN(2)/2)*DW192*DZ192*VLOOKUP('Données projet'!$B$14,Paramètres!$A$1:$I$89,3,0)*0.475*44/12</f>
        <v>5.2697448534453041E-17</v>
      </c>
      <c r="ED192" s="22">
        <f t="shared" si="178"/>
        <v>5.5131763373977138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1.9733333333333292</v>
      </c>
      <c r="EJ192" s="12">
        <f>IF('Données projet'!$A$192&gt;35,EJ191+EI192-ER191,IF(A192&lt;'Données projet'!$A$192,$EG$205^A192,IF(A192='Données projet'!$A$192,'Données projet'!$B$192,EJ191+EI192-ER191)))</f>
        <v>141.06333333333305</v>
      </c>
      <c r="EK192" s="17">
        <f>EJ192*VLOOKUP('Données projet'!$B$15,Paramètres!$A$1:$I$89,3,0)*VLOOKUP('Données projet'!$B$15,Paramètres!$A$1:$I$89,5,0)</f>
        <v>136.43645599999974</v>
      </c>
      <c r="EL192" s="13">
        <f t="shared" si="179"/>
        <v>35.479426627606493</v>
      </c>
      <c r="EM192" s="20">
        <f t="shared" si="180"/>
        <v>299.42016224308082</v>
      </c>
      <c r="EN192" s="59">
        <f t="shared" si="128"/>
        <v>592.75349557641414</v>
      </c>
      <c r="EO192" s="59">
        <f ca="1">AVERAGE(OFFSET($EN$3,0,0,'Données projet'!$E$15+1,1))-AVERAGE(OFFSET($H$3,0,0,'Données projet'!$E$15+1,1))</f>
        <v>510.71380643466227</v>
      </c>
      <c r="EP192" s="59">
        <f t="shared" si="154"/>
        <v>252.40654099948841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54.196369334220151</v>
      </c>
      <c r="EW192" s="21">
        <f>EXP(-LN(2)/25)*EW191+(1-EXP(-LN(2)/25))/(LN(2)/25)*Calculateur!ER192*Calculateur!ET192*VLOOKUP('Données projet'!$B$15,Paramètres!$A$1:$I$89,3,0)*0.475*44/12</f>
        <v>47.526887921594145</v>
      </c>
      <c r="EX192" s="21">
        <f>EXP(-LN(2)/2)*EX191+(1-EXP(-LN(2)/2))/(LN(2)/2)*ER192*EU192*VLOOKUP('Données projet'!$B$15,Paramètres!$A$1:$I$89,3,0)*0.475*44/12</f>
        <v>17.507564856401892</v>
      </c>
      <c r="EY192" s="22">
        <f t="shared" si="181"/>
        <v>119.2308221122162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2.8421709430404007E-13</v>
      </c>
      <c r="O193" s="13">
        <f>N193*VLOOKUP('Données projet'!$B$9,Paramètres!$A$1:$I$89,3,0)*VLOOKUP('Données projet'!$B$9,Paramètres!$A$1:$I$89,5,0)</f>
        <v>2.8819613362429665E-13</v>
      </c>
      <c r="P193" s="13">
        <f t="shared" si="141"/>
        <v>3.827652602141548E-12</v>
      </c>
      <c r="Q193" s="20">
        <f t="shared" si="162"/>
        <v>7.1684365481255119E-12</v>
      </c>
      <c r="R193" s="59">
        <f t="shared" si="109"/>
        <v>293.33333333334048</v>
      </c>
      <c r="S193" s="59">
        <f ca="1">AVERAGE(OFFSET($R$3,0,0,'Données projet'!$E$9+1,1))-AVERAGE(OFFSET($H$3,0,0,'Données projet'!$E$9+1,1))</f>
        <v>543.67050511722618</v>
      </c>
      <c r="T193" s="59">
        <f t="shared" si="142"/>
        <v>249.0871389941106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135.82515070477044</v>
      </c>
      <c r="AA193" s="21">
        <f>EXP(-LN(2)/25)*AA192+(1-EXP(-LN(2)/25))/(LN(2)/25)*Calculateur!V193*Calculateur!X193*VLOOKUP('Données projet'!$B$9,Paramètres!$A$1:$I$89,3,0)*0.475*44/12</f>
        <v>54.076299414472992</v>
      </c>
      <c r="AB193" s="21">
        <f>EXP(-LN(2)/2)*AB192+(1-EXP(-LN(2)/2))/(LN(2)/2)*V193*Y193*VLOOKUP('Données projet'!$B$9,Paramètres!$A$1:$I$89,3,0)*0.475*44/12</f>
        <v>9.7276090120709086E-4</v>
      </c>
      <c r="AC193" s="22">
        <f t="shared" si="163"/>
        <v>189.90242288014466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7.9580786405131221E-13</v>
      </c>
      <c r="AJ193" s="13">
        <f>AI193*VLOOKUP('Données projet'!$B$10,Paramètres!$A$1:$I$89,3,0)*VLOOKUP('Données projet'!$B$10,Paramètres!$A$1:$I$89,5,0)</f>
        <v>7.2004695539362725E-13</v>
      </c>
      <c r="AK193" s="13">
        <f t="shared" si="164"/>
        <v>8.5963894794935589E-12</v>
      </c>
      <c r="AL193" s="20">
        <f t="shared" si="165"/>
        <v>1.6226126790761848E-11</v>
      </c>
      <c r="AM193" s="59">
        <f t="shared" si="113"/>
        <v>293.33333333334951</v>
      </c>
      <c r="AN193" s="59">
        <f ca="1">AVERAGE(OFFSET($AM$3,0,0,'Données projet'!$E$10+1,1))-AVERAGE(OFFSET($H$3,0,0,'Données projet'!$E$10+1,1))</f>
        <v>635.71275911100679</v>
      </c>
      <c r="AO193" s="59">
        <f t="shared" si="144"/>
        <v>281.7776857269169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134.17881812025095</v>
      </c>
      <c r="AV193" s="21">
        <f>EXP(-LN(2)/25)*AV192+(1-EXP(-LN(2)/25))/(LN(2)/25)*Calculateur!AQ193*Calculateur!AS193*VLOOKUP('Données projet'!$B$10,Paramètres!$A$1:$I$89,3,0)*0.475*44/12</f>
        <v>21.199979871382162</v>
      </c>
      <c r="AW193" s="21">
        <f>EXP(-LN(2)/2)*AW192+(1-EXP(-LN(2)/2))/(LN(2)/2)*AQ193*AT193*VLOOKUP('Données projet'!$B$10,Paramètres!$A$1:$I$89,3,0)*0.475*44/12</f>
        <v>0.93909630580116976</v>
      </c>
      <c r="AX193" s="21">
        <f t="shared" si="166"/>
        <v>156.31789429743429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204.11804238362862</v>
      </c>
      <c r="BJ193" s="59">
        <f t="shared" si="146"/>
        <v>185.53854651509408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1.2474302900735346</v>
      </c>
      <c r="BQ193" s="21">
        <f>EXP(-LN(2)/25)*BQ192+(1-EXP(-LN(2)/25))/(LN(2)/25)*Calculateur!BL193*Calculateur!BN193*VLOOKUP('Données projet'!$B$11,Paramètres!$A$1:$I$89,3,0)*0.475*44/12</f>
        <v>3.3361234621048772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4.5835537521784122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2.8421709430404007E-13</v>
      </c>
      <c r="BZ193" s="13">
        <f>BY193*VLOOKUP('Données projet'!$B$12,Paramètres!$A$1:$I$89,3,0)*VLOOKUP('Données projet'!$B$12,Paramètres!$A$1:$I$89,5,0)</f>
        <v>2.8376234695315366E-13</v>
      </c>
      <c r="CA193" s="13">
        <f t="shared" si="170"/>
        <v>3.7755732234983288E-12</v>
      </c>
      <c r="CB193" s="20">
        <f t="shared" si="171"/>
        <v>7.070009451869665E-12</v>
      </c>
      <c r="CC193" s="59">
        <f t="shared" si="119"/>
        <v>293.33333333334036</v>
      </c>
      <c r="CD193" s="59">
        <f ca="1">AVERAGE(OFFSET($CC$3,0,0,'Données projet'!$E$12+1,1))-AVERAGE(OFFSET($H$3,0,0,'Données projet'!$E$12+1,1))</f>
        <v>535.99935263833549</v>
      </c>
      <c r="CE193" s="59">
        <f t="shared" si="148"/>
        <v>245.89966477332644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71.863010843367476</v>
      </c>
      <c r="CL193" s="21">
        <f>EXP(-LN(2)/25)*CL192+(1-EXP(-LN(2)/25))/(LN(2)/25)*Calculateur!CG193*Calculateur!CI193*VLOOKUP('Données projet'!$B$12,Paramètres!$A$1:$I$89,3,0)*0.475*44/12</f>
        <v>64.26746662826892</v>
      </c>
      <c r="CM193" s="21">
        <f>EXP(-LN(2)/2)*CM192+(1-EXP(-LN(2)/2))/(LN(2)/2)*CG193*CJ193*VLOOKUP('Données projet'!$B$12,Paramètres!$A$1:$I$89,3,0)*0.475*44/12</f>
        <v>21.772247149941414</v>
      </c>
      <c r="CN193" s="22">
        <f t="shared" si="172"/>
        <v>157.90272462157782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2.5579538487363607E-13</v>
      </c>
      <c r="CU193" s="17">
        <f>CT193*VLOOKUP('Données projet'!$B$13,Paramètres!$A$1:$I$89,3,0)*VLOOKUP('Données projet'!$B$13,Paramètres!$A$1:$I$89,5,0)</f>
        <v>2.4341488824575211E-13</v>
      </c>
      <c r="CV193" s="13">
        <f t="shared" si="173"/>
        <v>3.2970717324875541E-12</v>
      </c>
      <c r="CW193" s="20">
        <f t="shared" si="174"/>
        <v>6.1663475311105072E-12</v>
      </c>
      <c r="CX193" s="59">
        <f t="shared" si="122"/>
        <v>293.33333333333945</v>
      </c>
      <c r="CY193" s="59">
        <f ca="1">AVERAGE(OFFSET($CX$3,0,0,'Données projet'!$E$13+1,1))-AVERAGE(OFFSET($H$3,0,0,'Données projet'!$E$13+1,1))</f>
        <v>449.28947235329758</v>
      </c>
      <c r="CZ193" s="59">
        <f t="shared" si="150"/>
        <v>289.36994109443964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20.159095633494658</v>
      </c>
      <c r="DG193" s="21">
        <f>EXP(-LN(2)/25)*DG192+(1-EXP(-LN(2)/25))/(LN(2)/25)*Calculateur!DB193*Calculateur!DD193*VLOOKUP('Données projet'!$B$13,Paramètres!$A$1:$I$89,3,0)*0.475*44/12</f>
        <v>11.406392073521991</v>
      </c>
      <c r="DH193" s="21">
        <f>EXP(-LN(2)/2)*DH192+(1-EXP(-LN(2)/2))/(LN(2)/2)*DB193*DE193*VLOOKUP('Données projet'!$B$13,Paramètres!$A$1:$I$89,3,0)*0.475*44/12</f>
        <v>3.3388983620622854E-8</v>
      </c>
      <c r="DI193" s="22">
        <f t="shared" si="175"/>
        <v>31.565487740405633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5.6843418860808015E-14</v>
      </c>
      <c r="DP193" s="17">
        <f>DO193*VLOOKUP('Données projet'!$B$14,Paramètres!$A$1:$I$89,3,0)*VLOOKUP('Données projet'!$B$14,Paramètres!$A$1:$I$89,5,0)</f>
        <v>4.4337866711430253E-14</v>
      </c>
      <c r="DQ193" s="13">
        <f t="shared" si="176"/>
        <v>7.3222115536967035E-13</v>
      </c>
      <c r="DR193" s="20">
        <f t="shared" si="177"/>
        <v>1.3525069634579169E-12</v>
      </c>
      <c r="DS193" s="59">
        <f t="shared" si="125"/>
        <v>293.33333333333468</v>
      </c>
      <c r="DT193" s="59">
        <f ca="1">AVERAGE(OFFSET($DS$3,0,0,'Données projet'!$E$14+1,1))-AVERAGE(OFFSET($H$3,0,0,'Données projet'!$E$14+1,1))</f>
        <v>288.82868507674738</v>
      </c>
      <c r="DU193" s="59">
        <f t="shared" si="152"/>
        <v>283.48738729114024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3.9151681167189962</v>
      </c>
      <c r="EB193" s="21">
        <f>EXP(-LN(2)/25)*EB192+(1-EXP(-LN(2)/25))/(LN(2)/25)*Calculateur!DW193*Calculateur!DY193*VLOOKUP('Données projet'!$B$14,Paramètres!$A$1:$I$89,3,0)*0.475*44/12</f>
        <v>1.4781423202259443</v>
      </c>
      <c r="EC193" s="21">
        <f>EXP(-LN(2)/2)*EC192+(1-EXP(-LN(2)/2))/(LN(2)/2)*DW193*DZ193*VLOOKUP('Données projet'!$B$14,Paramètres!$A$1:$I$89,3,0)*0.475*44/12</f>
        <v>3.7262723209940835E-17</v>
      </c>
      <c r="ED193" s="22">
        <f t="shared" si="178"/>
        <v>5.3933104369449403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1.9733333333333292</v>
      </c>
      <c r="EJ193" s="12">
        <f>IF('Données projet'!$A$192&gt;35,EJ192+EI193-ER192,IF(A193&lt;'Données projet'!$A$192,$EG$205^A193,IF(A193='Données projet'!$A$192,'Données projet'!$B$192,EJ192+EI193-ER192)))</f>
        <v>143.03666666666638</v>
      </c>
      <c r="EK193" s="17">
        <f>EJ193*VLOOKUP('Données projet'!$B$15,Paramètres!$A$1:$I$89,3,0)*VLOOKUP('Données projet'!$B$15,Paramètres!$A$1:$I$89,5,0)</f>
        <v>138.34506399999972</v>
      </c>
      <c r="EL193" s="13">
        <f t="shared" si="179"/>
        <v>35.917620913203898</v>
      </c>
      <c r="EM193" s="20">
        <f t="shared" si="180"/>
        <v>303.50750955716296</v>
      </c>
      <c r="EN193" s="59">
        <f t="shared" si="128"/>
        <v>596.84084289049633</v>
      </c>
      <c r="EO193" s="59">
        <f ca="1">AVERAGE(OFFSET($EN$3,0,0,'Données projet'!$E$15+1,1))-AVERAGE(OFFSET($H$3,0,0,'Données projet'!$E$15+1,1))</f>
        <v>510.71380643466227</v>
      </c>
      <c r="EP193" s="59">
        <f t="shared" si="154"/>
        <v>252.40654099948841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53.133611588097324</v>
      </c>
      <c r="EW193" s="21">
        <f>EXP(-LN(2)/25)*EW192+(1-EXP(-LN(2)/25))/(LN(2)/25)*Calculateur!ER193*Calculateur!ET193*VLOOKUP('Données projet'!$B$15,Paramètres!$A$1:$I$89,3,0)*0.475*44/12</f>
        <v>46.227262672047743</v>
      </c>
      <c r="EX193" s="21">
        <f>EXP(-LN(2)/2)*EX192+(1-EXP(-LN(2)/2))/(LN(2)/2)*ER193*EU193*VLOOKUP('Données projet'!$B$15,Paramètres!$A$1:$I$89,3,0)*0.475*44/12</f>
        <v>12.379717832025063</v>
      </c>
      <c r="EY193" s="22">
        <f t="shared" si="181"/>
        <v>111.74059209217013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2.8421709430404007E-13</v>
      </c>
      <c r="O194" s="13">
        <f>N194*VLOOKUP('Données projet'!$B$9,Paramètres!$A$1:$I$89,3,0)*VLOOKUP('Données projet'!$B$9,Paramètres!$A$1:$I$89,5,0)</f>
        <v>2.8819613362429665E-13</v>
      </c>
      <c r="P194" s="13">
        <f t="shared" si="141"/>
        <v>3.827652602141548E-12</v>
      </c>
      <c r="Q194" s="20">
        <f t="shared" si="162"/>
        <v>7.1684365481255119E-12</v>
      </c>
      <c r="R194" s="59">
        <f t="shared" si="109"/>
        <v>293.33333333334048</v>
      </c>
      <c r="S194" s="59">
        <f ca="1">AVERAGE(OFFSET($R$3,0,0,'Données projet'!$E$9+1,1))-AVERAGE(OFFSET($H$3,0,0,'Données projet'!$E$9+1,1))</f>
        <v>543.67050511722618</v>
      </c>
      <c r="T194" s="59">
        <f t="shared" si="142"/>
        <v>249.0871389941106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133.16170234461154</v>
      </c>
      <c r="AA194" s="21">
        <f>EXP(-LN(2)/25)*AA193+(1-EXP(-LN(2)/25))/(LN(2)/25)*Calculateur!V194*Calculateur!X194*VLOOKUP('Données projet'!$B$9,Paramètres!$A$1:$I$89,3,0)*0.475*44/12</f>
        <v>52.597580163235236</v>
      </c>
      <c r="AB194" s="21">
        <f>EXP(-LN(2)/2)*AB193+(1-EXP(-LN(2)/2))/(LN(2)/2)*V194*Y194*VLOOKUP('Données projet'!$B$9,Paramètres!$A$1:$I$89,3,0)*0.475*44/12</f>
        <v>6.8784582971667121E-4</v>
      </c>
      <c r="AC194" s="22">
        <f t="shared" si="163"/>
        <v>185.75997035367649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7.9580786405131221E-13</v>
      </c>
      <c r="AJ194" s="13">
        <f>AI194*VLOOKUP('Données projet'!$B$10,Paramètres!$A$1:$I$89,3,0)*VLOOKUP('Données projet'!$B$10,Paramètres!$A$1:$I$89,5,0)</f>
        <v>7.2004695539362725E-13</v>
      </c>
      <c r="AK194" s="13">
        <f t="shared" si="164"/>
        <v>8.5963894794935589E-12</v>
      </c>
      <c r="AL194" s="20">
        <f t="shared" si="165"/>
        <v>1.6226126790761848E-11</v>
      </c>
      <c r="AM194" s="59">
        <f t="shared" si="113"/>
        <v>293.33333333334951</v>
      </c>
      <c r="AN194" s="59">
        <f ca="1">AVERAGE(OFFSET($AM$3,0,0,'Données projet'!$E$10+1,1))-AVERAGE(OFFSET($H$3,0,0,'Données projet'!$E$10+1,1))</f>
        <v>635.71275911100679</v>
      </c>
      <c r="AO194" s="59">
        <f t="shared" si="144"/>
        <v>281.7776857269169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131.54765333791076</v>
      </c>
      <c r="AV194" s="21">
        <f>EXP(-LN(2)/25)*AV193+(1-EXP(-LN(2)/25))/(LN(2)/25)*Calculateur!AQ194*Calculateur!AS194*VLOOKUP('Données projet'!$B$10,Paramètres!$A$1:$I$89,3,0)*0.475*44/12</f>
        <v>20.620265306940727</v>
      </c>
      <c r="AW194" s="21">
        <f>EXP(-LN(2)/2)*AW193+(1-EXP(-LN(2)/2))/(LN(2)/2)*AQ194*AT194*VLOOKUP('Données projet'!$B$10,Paramètres!$A$1:$I$89,3,0)*0.475*44/12</f>
        <v>0.66404136601924291</v>
      </c>
      <c r="AX194" s="21">
        <f t="shared" si="166"/>
        <v>152.83196001087072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204.11804238362862</v>
      </c>
      <c r="BJ194" s="59">
        <f t="shared" si="146"/>
        <v>185.53854651509408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1.222968942942541</v>
      </c>
      <c r="BQ194" s="21">
        <f>EXP(-LN(2)/25)*BQ193+(1-EXP(-LN(2)/25))/(LN(2)/25)*Calculateur!BL194*Calculateur!BN194*VLOOKUP('Données projet'!$B$11,Paramètres!$A$1:$I$89,3,0)*0.475*44/12</f>
        <v>3.2448969905945111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4.4678659335370519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2.8421709430404007E-13</v>
      </c>
      <c r="BZ194" s="13">
        <f>BY194*VLOOKUP('Données projet'!$B$12,Paramètres!$A$1:$I$89,3,0)*VLOOKUP('Données projet'!$B$12,Paramètres!$A$1:$I$89,5,0)</f>
        <v>2.8376234695315366E-13</v>
      </c>
      <c r="CA194" s="13">
        <f t="shared" si="170"/>
        <v>3.7755732234983288E-12</v>
      </c>
      <c r="CB194" s="20">
        <f t="shared" si="171"/>
        <v>7.070009451869665E-12</v>
      </c>
      <c r="CC194" s="59">
        <f t="shared" si="119"/>
        <v>293.33333333334036</v>
      </c>
      <c r="CD194" s="59">
        <f ca="1">AVERAGE(OFFSET($CC$3,0,0,'Données projet'!$E$12+1,1))-AVERAGE(OFFSET($H$3,0,0,'Données projet'!$E$12+1,1))</f>
        <v>535.99935263833549</v>
      </c>
      <c r="CE194" s="59">
        <f t="shared" si="148"/>
        <v>245.89966477332644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70.453821032837595</v>
      </c>
      <c r="CL194" s="21">
        <f>EXP(-LN(2)/25)*CL193+(1-EXP(-LN(2)/25))/(LN(2)/25)*Calculateur!CG194*Calculateur!CI194*VLOOKUP('Données projet'!$B$12,Paramètres!$A$1:$I$89,3,0)*0.475*44/12</f>
        <v>62.510069373639723</v>
      </c>
      <c r="CM194" s="21">
        <f>EXP(-LN(2)/2)*CM193+(1-EXP(-LN(2)/2))/(LN(2)/2)*CG194*CJ194*VLOOKUP('Données projet'!$B$12,Paramètres!$A$1:$I$89,3,0)*0.475*44/12</f>
        <v>15.395303601393058</v>
      </c>
      <c r="CN194" s="22">
        <f t="shared" si="172"/>
        <v>148.3591940078704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2.5579538487363607E-13</v>
      </c>
      <c r="CU194" s="17">
        <f>CT194*VLOOKUP('Données projet'!$B$13,Paramètres!$A$1:$I$89,3,0)*VLOOKUP('Données projet'!$B$13,Paramètres!$A$1:$I$89,5,0)</f>
        <v>2.4341488824575211E-13</v>
      </c>
      <c r="CV194" s="13">
        <f t="shared" si="173"/>
        <v>3.2970717324875541E-12</v>
      </c>
      <c r="CW194" s="20">
        <f t="shared" si="174"/>
        <v>6.1663475311105072E-12</v>
      </c>
      <c r="CX194" s="59">
        <f t="shared" si="122"/>
        <v>293.33333333333945</v>
      </c>
      <c r="CY194" s="59">
        <f ca="1">AVERAGE(OFFSET($CX$3,0,0,'Données projet'!$E$13+1,1))-AVERAGE(OFFSET($H$3,0,0,'Données projet'!$E$13+1,1))</f>
        <v>449.28947235329758</v>
      </c>
      <c r="CZ194" s="59">
        <f t="shared" si="150"/>
        <v>289.36994109443964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19.763788063956053</v>
      </c>
      <c r="DG194" s="21">
        <f>EXP(-LN(2)/25)*DG193+(1-EXP(-LN(2)/25))/(LN(2)/25)*Calculateur!DB194*Calculateur!DD194*VLOOKUP('Données projet'!$B$13,Paramètres!$A$1:$I$89,3,0)*0.475*44/12</f>
        <v>11.094483682435442</v>
      </c>
      <c r="DH194" s="21">
        <f>EXP(-LN(2)/2)*DH193+(1-EXP(-LN(2)/2))/(LN(2)/2)*DB194*DE194*VLOOKUP('Données projet'!$B$13,Paramètres!$A$1:$I$89,3,0)*0.475*44/12</f>
        <v>2.3609576735068984E-8</v>
      </c>
      <c r="DI194" s="22">
        <f t="shared" si="175"/>
        <v>30.858271770001071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5.6843418860808015E-14</v>
      </c>
      <c r="DP194" s="17">
        <f>DO194*VLOOKUP('Données projet'!$B$14,Paramètres!$A$1:$I$89,3,0)*VLOOKUP('Données projet'!$B$14,Paramètres!$A$1:$I$89,5,0)</f>
        <v>4.4337866711430253E-14</v>
      </c>
      <c r="DQ194" s="13">
        <f t="shared" si="176"/>
        <v>7.3222115536967035E-13</v>
      </c>
      <c r="DR194" s="20">
        <f t="shared" si="177"/>
        <v>1.3525069634579169E-12</v>
      </c>
      <c r="DS194" s="59">
        <f t="shared" si="125"/>
        <v>293.33333333333468</v>
      </c>
      <c r="DT194" s="59">
        <f ca="1">AVERAGE(OFFSET($DS$3,0,0,'Données projet'!$E$14+1,1))-AVERAGE(OFFSET($H$3,0,0,'Données projet'!$E$14+1,1))</f>
        <v>288.82868507674738</v>
      </c>
      <c r="DU194" s="59">
        <f t="shared" si="152"/>
        <v>283.48738729114024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3.8383940579668909</v>
      </c>
      <c r="EB194" s="21">
        <f>EXP(-LN(2)/25)*EB193+(1-EXP(-LN(2)/25))/(LN(2)/25)*Calculateur!DW194*Calculateur!DY194*VLOOKUP('Données projet'!$B$14,Paramètres!$A$1:$I$89,3,0)*0.475*44/12</f>
        <v>1.4377224407472395</v>
      </c>
      <c r="EC194" s="21">
        <f>EXP(-LN(2)/2)*EC193+(1-EXP(-LN(2)/2))/(LN(2)/2)*DW194*DZ194*VLOOKUP('Données projet'!$B$14,Paramètres!$A$1:$I$89,3,0)*0.475*44/12</f>
        <v>2.634872426722652E-17</v>
      </c>
      <c r="ED194" s="22">
        <f t="shared" si="178"/>
        <v>5.2761164987141305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>
        <f>VLOOKUP(A194,'Données projet'!$A$191:$I$211,2,0)</f>
        <v>145.01</v>
      </c>
      <c r="EH194" s="12">
        <f>VLOOKUP(A194,'Données projet'!$A$191:$I$211,9,0)</f>
        <v>1.9733333333333292</v>
      </c>
      <c r="EI194" s="12">
        <f t="array" ref="EI194">INDEX(EH:EH,MIN(IF(ISNUMBER(EH194:EH390),ROW(EH194:EH390),"")))</f>
        <v>1.9733333333333292</v>
      </c>
      <c r="EJ194" s="12">
        <f>IF('Données projet'!$A$192&gt;35,EJ193+EI194-ER193,IF(A194&lt;'Données projet'!$A$192,$EG$205^A194,IF(A194='Données projet'!$A$192,'Données projet'!$B$192,EJ193+EI194-ER193)))</f>
        <v>145.00999999999971</v>
      </c>
      <c r="EK194" s="17">
        <f>EJ194*VLOOKUP('Données projet'!$B$15,Paramètres!$A$1:$I$89,3,0)*VLOOKUP('Données projet'!$B$15,Paramètres!$A$1:$I$89,5,0)</f>
        <v>140.25367199999971</v>
      </c>
      <c r="EL194" s="13">
        <f t="shared" si="179"/>
        <v>36.355112063878522</v>
      </c>
      <c r="EM194" s="20">
        <f t="shared" si="180"/>
        <v>307.59363224458792</v>
      </c>
      <c r="EN194" s="59">
        <f t="shared" si="128"/>
        <v>600.92696557792124</v>
      </c>
      <c r="EO194" s="59">
        <f ca="1">AVERAGE(OFFSET($EN$3,0,0,'Données projet'!$E$15+1,1))-AVERAGE(OFFSET($H$3,0,0,'Données projet'!$E$15+1,1))</f>
        <v>510.71380643466227</v>
      </c>
      <c r="EP194" s="59">
        <f t="shared" si="154"/>
        <v>252.40654099948841</v>
      </c>
      <c r="EQ194" s="15">
        <f>IF(ISNA(VLOOKUP(A194,'Données projet'!$A$191:$I$211,3,0)),0,VLOOKUP(A194,'Données projet'!$A$191:$I$211,3,0))</f>
        <v>16</v>
      </c>
      <c r="ER194" s="15">
        <f>IF(ISNA(VLOOKUP(A194,'Données projet'!$A$191:$I$211,4,0)),0,VLOOKUP(A194,'Données projet'!$A$191:$I$211,4,0))</f>
        <v>145.01</v>
      </c>
      <c r="ES194" s="16">
        <f>IF(ISNA(VLOOKUP(A194,'Données projet'!$A$191:$I$211,5,0)),0%,VLOOKUP(A194,'Données projet'!$A$191:$I$211,5,0)*VLOOKUP('Données projet'!$B$15,Paramètres!$A$1:$I$89,7,0))</f>
        <v>0.1075</v>
      </c>
      <c r="ET194" s="16">
        <f>IF(ISNA(VLOOKUP(A194,'Données projet'!$A$191:$I$211,6,0)),0%,VLOOKUP(A194,'Données projet'!$A$191:$I$211,6,0)*VLOOKUP('Données projet'!$B$15,Paramètres!$A$1:$I$89,7,0))</f>
        <v>0.1075</v>
      </c>
      <c r="EU194" s="16">
        <f>IF(ISNA(VLOOKUP(A194,'Données projet'!$A$191:$I$211,7,0)),0%,VLOOKUP(A194,'Données projet'!$A$191:$I$211,7,0))</f>
        <v>0.25</v>
      </c>
      <c r="EV194" s="21">
        <f>EXP(-LN(2)/35)*EV193+(1-EXP(-LN(2)/35))/(LN(2)/35)*ER194*ES194*VLOOKUP('Données projet'!$B$15,Paramètres!$A$1:$I$89,3,0)*0.475*44/12</f>
        <v>68.759168974956211</v>
      </c>
      <c r="EW194" s="21">
        <f>EXP(-LN(2)/25)*EW193+(1-EXP(-LN(2)/25))/(LN(2)/25)*Calculateur!ER194*Calculateur!ET194*VLOOKUP('Données projet'!$B$15,Paramètres!$A$1:$I$89,3,0)*0.475*44/12</f>
        <v>61.565024644811281</v>
      </c>
      <c r="EX194" s="21">
        <f>EXP(-LN(2)/2)*EX193+(1-EXP(-LN(2)/2))/(LN(2)/2)*ER194*EU194*VLOOKUP('Données projet'!$B$15,Paramètres!$A$1:$I$89,3,0)*0.475*44/12</f>
        <v>41.837061029259978</v>
      </c>
      <c r="EY194" s="22">
        <f t="shared" si="181"/>
        <v>172.16125464902748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2.8421709430404007E-13</v>
      </c>
      <c r="O195" s="13">
        <f>N195*VLOOKUP('Données projet'!$B$9,Paramètres!$A$1:$I$89,3,0)*VLOOKUP('Données projet'!$B$9,Paramètres!$A$1:$I$89,5,0)</f>
        <v>2.8819613362429665E-13</v>
      </c>
      <c r="P195" s="13">
        <f t="shared" si="141"/>
        <v>3.827652602141548E-12</v>
      </c>
      <c r="Q195" s="20">
        <f t="shared" si="162"/>
        <v>7.1684365481255119E-12</v>
      </c>
      <c r="R195" s="59">
        <f t="shared" ref="R195:R203" si="191">Q195+(I195+J195)*44/12</f>
        <v>293.33333333334048</v>
      </c>
      <c r="S195" s="59">
        <f ca="1">AVERAGE(OFFSET($R$3,0,0,'Données projet'!$E$9+1,1))-AVERAGE(OFFSET($H$3,0,0,'Données projet'!$E$9+1,1))</f>
        <v>543.67050511722618</v>
      </c>
      <c r="T195" s="59">
        <f t="shared" si="142"/>
        <v>249.0871389941106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130.55048258225227</v>
      </c>
      <c r="AA195" s="21">
        <f>EXP(-LN(2)/25)*AA194+(1-EXP(-LN(2)/25))/(LN(2)/25)*Calculateur!V195*Calculateur!X195*VLOOKUP('Données projet'!$B$9,Paramètres!$A$1:$I$89,3,0)*0.475*44/12</f>
        <v>51.15929656768504</v>
      </c>
      <c r="AB195" s="21">
        <f>EXP(-LN(2)/2)*AB194+(1-EXP(-LN(2)/2))/(LN(2)/2)*V195*Y195*VLOOKUP('Données projet'!$B$9,Paramètres!$A$1:$I$89,3,0)*0.475*44/12</f>
        <v>4.8638045060354549E-4</v>
      </c>
      <c r="AC195" s="22">
        <f t="shared" si="163"/>
        <v>181.71026553038791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7.9580786405131221E-13</v>
      </c>
      <c r="AJ195" s="13">
        <f>AI195*VLOOKUP('Données projet'!$B$10,Paramètres!$A$1:$I$89,3,0)*VLOOKUP('Données projet'!$B$10,Paramètres!$A$1:$I$89,5,0)</f>
        <v>7.2004695539362725E-13</v>
      </c>
      <c r="AK195" s="13">
        <f t="shared" si="164"/>
        <v>8.5963894794935589E-12</v>
      </c>
      <c r="AL195" s="20">
        <f t="shared" si="165"/>
        <v>1.6226126790761848E-11</v>
      </c>
      <c r="AM195" s="59">
        <f t="shared" si="113"/>
        <v>293.33333333334951</v>
      </c>
      <c r="AN195" s="59">
        <f ca="1">AVERAGE(OFFSET($AM$3,0,0,'Données projet'!$E$10+1,1))-AVERAGE(OFFSET($H$3,0,0,'Données projet'!$E$10+1,1))</f>
        <v>635.71275911100679</v>
      </c>
      <c r="AO195" s="59">
        <f t="shared" si="144"/>
        <v>281.7776857269169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128.96808409210021</v>
      </c>
      <c r="AV195" s="21">
        <f>EXP(-LN(2)/25)*AV194+(1-EXP(-LN(2)/25))/(LN(2)/25)*Calculateur!AQ195*Calculateur!AS195*VLOOKUP('Données projet'!$B$10,Paramètres!$A$1:$I$89,3,0)*0.475*44/12</f>
        <v>20.056403067749809</v>
      </c>
      <c r="AW195" s="21">
        <f>EXP(-LN(2)/2)*AW194+(1-EXP(-LN(2)/2))/(LN(2)/2)*AQ195*AT195*VLOOKUP('Données projet'!$B$10,Paramètres!$A$1:$I$89,3,0)*0.475*44/12</f>
        <v>0.46954815290058494</v>
      </c>
      <c r="AX195" s="21">
        <f t="shared" si="166"/>
        <v>149.49403531275061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204.11804238362862</v>
      </c>
      <c r="BJ195" s="59">
        <f t="shared" si="146"/>
        <v>185.53854651509408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1.1989872679088378</v>
      </c>
      <c r="BQ195" s="21">
        <f>EXP(-LN(2)/25)*BQ194+(1-EXP(-LN(2)/25))/(LN(2)/25)*Calculateur!BL195*Calculateur!BN195*VLOOKUP('Données projet'!$B$11,Paramètres!$A$1:$I$89,3,0)*0.475*44/12</f>
        <v>3.1561651117449876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4.3551523796538252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2.8421709430404007E-13</v>
      </c>
      <c r="BZ195" s="13">
        <f>BY195*VLOOKUP('Données projet'!$B$12,Paramètres!$A$1:$I$89,3,0)*VLOOKUP('Données projet'!$B$12,Paramètres!$A$1:$I$89,5,0)</f>
        <v>2.8376234695315366E-13</v>
      </c>
      <c r="CA195" s="13">
        <f t="shared" si="170"/>
        <v>3.7755732234983288E-12</v>
      </c>
      <c r="CB195" s="20">
        <f t="shared" si="171"/>
        <v>7.070009451869665E-12</v>
      </c>
      <c r="CC195" s="59">
        <f t="shared" si="119"/>
        <v>293.33333333334036</v>
      </c>
      <c r="CD195" s="59">
        <f ca="1">AVERAGE(OFFSET($CC$3,0,0,'Données projet'!$E$12+1,1))-AVERAGE(OFFSET($H$3,0,0,'Données projet'!$E$12+1,1))</f>
        <v>535.99935263833549</v>
      </c>
      <c r="CE195" s="59">
        <f t="shared" si="148"/>
        <v>245.89966477332644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69.072264574971285</v>
      </c>
      <c r="CL195" s="21">
        <f>EXP(-LN(2)/25)*CL194+(1-EXP(-LN(2)/25))/(LN(2)/25)*Calculateur!CG195*Calculateur!CI195*VLOOKUP('Données projet'!$B$12,Paramètres!$A$1:$I$89,3,0)*0.475*44/12</f>
        <v>60.800728239355863</v>
      </c>
      <c r="CM195" s="21">
        <f>EXP(-LN(2)/2)*CM194+(1-EXP(-LN(2)/2))/(LN(2)/2)*CG195*CJ195*VLOOKUP('Données projet'!$B$12,Paramètres!$A$1:$I$89,3,0)*0.475*44/12</f>
        <v>10.886123574970709</v>
      </c>
      <c r="CN195" s="22">
        <f t="shared" si="172"/>
        <v>140.75911638929784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2.5579538487363607E-13</v>
      </c>
      <c r="CU195" s="17">
        <f>CT195*VLOOKUP('Données projet'!$B$13,Paramètres!$A$1:$I$89,3,0)*VLOOKUP('Données projet'!$B$13,Paramètres!$A$1:$I$89,5,0)</f>
        <v>2.4341488824575211E-13</v>
      </c>
      <c r="CV195" s="13">
        <f t="shared" si="173"/>
        <v>3.2970717324875541E-12</v>
      </c>
      <c r="CW195" s="20">
        <f t="shared" si="174"/>
        <v>6.1663475311105072E-12</v>
      </c>
      <c r="CX195" s="59">
        <f t="shared" si="122"/>
        <v>293.33333333333945</v>
      </c>
      <c r="CY195" s="59">
        <f ca="1">AVERAGE(OFFSET($CX$3,0,0,'Données projet'!$E$13+1,1))-AVERAGE(OFFSET($H$3,0,0,'Données projet'!$E$13+1,1))</f>
        <v>449.28947235329758</v>
      </c>
      <c r="CZ195" s="59">
        <f t="shared" si="150"/>
        <v>289.36994109443964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19.37623223474229</v>
      </c>
      <c r="DG195" s="21">
        <f>EXP(-LN(2)/25)*DG194+(1-EXP(-LN(2)/25))/(LN(2)/25)*Calculateur!DB195*Calculateur!DD195*VLOOKUP('Données projet'!$B$13,Paramètres!$A$1:$I$89,3,0)*0.475*44/12</f>
        <v>10.791104442705704</v>
      </c>
      <c r="DH195" s="21">
        <f>EXP(-LN(2)/2)*DH194+(1-EXP(-LN(2)/2))/(LN(2)/2)*DB195*DE195*VLOOKUP('Données projet'!$B$13,Paramètres!$A$1:$I$89,3,0)*0.475*44/12</f>
        <v>1.6694491810311427E-8</v>
      </c>
      <c r="DI195" s="22">
        <f t="shared" si="175"/>
        <v>30.167336694142485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5.6843418860808015E-14</v>
      </c>
      <c r="DP195" s="17">
        <f>DO195*VLOOKUP('Données projet'!$B$14,Paramètres!$A$1:$I$89,3,0)*VLOOKUP('Données projet'!$B$14,Paramètres!$A$1:$I$89,5,0)</f>
        <v>4.4337866711430253E-14</v>
      </c>
      <c r="DQ195" s="13">
        <f t="shared" si="176"/>
        <v>7.3222115536967035E-13</v>
      </c>
      <c r="DR195" s="20">
        <f t="shared" si="177"/>
        <v>1.3525069634579169E-12</v>
      </c>
      <c r="DS195" s="59">
        <f t="shared" si="125"/>
        <v>293.33333333333468</v>
      </c>
      <c r="DT195" s="59">
        <f ca="1">AVERAGE(OFFSET($DS$3,0,0,'Données projet'!$E$14+1,1))-AVERAGE(OFFSET($H$3,0,0,'Données projet'!$E$14+1,1))</f>
        <v>288.82868507674738</v>
      </c>
      <c r="DU195" s="59">
        <f t="shared" si="152"/>
        <v>283.48738729114024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3.7631254916793622</v>
      </c>
      <c r="EB195" s="21">
        <f>EXP(-LN(2)/25)*EB194+(1-EXP(-LN(2)/25))/(LN(2)/25)*Calculateur!DW195*Calculateur!DY195*VLOOKUP('Données projet'!$B$14,Paramètres!$A$1:$I$89,3,0)*0.475*44/12</f>
        <v>1.3984078449984692</v>
      </c>
      <c r="EC195" s="21">
        <f>EXP(-LN(2)/2)*EC194+(1-EXP(-LN(2)/2))/(LN(2)/2)*DW195*DZ195*VLOOKUP('Données projet'!$B$14,Paramètres!$A$1:$I$89,3,0)*0.475*44/12</f>
        <v>1.8631361604970418E-17</v>
      </c>
      <c r="ED195" s="22">
        <f t="shared" si="178"/>
        <v>5.1615333366778309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-2.8421709430404007E-13</v>
      </c>
      <c r="EK195" s="17">
        <f>EJ195*VLOOKUP('Données projet'!$B$15,Paramètres!$A$1:$I$89,3,0)*VLOOKUP('Données projet'!$B$15,Paramètres!$A$1:$I$89,5,0)</f>
        <v>-2.7489477361086758E-13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510.71380643466227</v>
      </c>
      <c r="EP195" s="59">
        <f t="shared" si="154"/>
        <v>252.40654099948841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67.410843610309271</v>
      </c>
      <c r="EW195" s="21">
        <f>EXP(-LN(2)/25)*EW194+(1-EXP(-LN(2)/25))/(LN(2)/25)*Calculateur!ER195*Calculateur!ET195*VLOOKUP('Données projet'!$B$15,Paramètres!$A$1:$I$89,3,0)*0.475*44/12</f>
        <v>59.881525808334978</v>
      </c>
      <c r="EX195" s="21">
        <f>EXP(-LN(2)/2)*EX194+(1-EXP(-LN(2)/2))/(LN(2)/2)*ER195*EU195*VLOOKUP('Données projet'!$B$15,Paramètres!$A$1:$I$89,3,0)*0.475*44/12</f>
        <v>29.583269558705172</v>
      </c>
      <c r="EY195" s="22">
        <f t="shared" si="181"/>
        <v>156.87563897734944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2.8421709430404007E-13</v>
      </c>
      <c r="O196" s="13">
        <f>N196*VLOOKUP('Données projet'!$B$9,Paramètres!$A$1:$I$89,3,0)*VLOOKUP('Données projet'!$B$9,Paramètres!$A$1:$I$89,5,0)</f>
        <v>2.8819613362429665E-13</v>
      </c>
      <c r="P196" s="13">
        <f t="shared" si="141"/>
        <v>3.827652602141548E-12</v>
      </c>
      <c r="Q196" s="20">
        <f t="shared" si="162"/>
        <v>7.1684365481255119E-12</v>
      </c>
      <c r="R196" s="59">
        <f t="shared" si="191"/>
        <v>293.33333333334048</v>
      </c>
      <c r="S196" s="59">
        <f ca="1">AVERAGE(OFFSET($R$3,0,0,'Données projet'!$E$9+1,1))-AVERAGE(OFFSET($H$3,0,0,'Données projet'!$E$9+1,1))</f>
        <v>543.67050511722618</v>
      </c>
      <c r="T196" s="59">
        <f t="shared" si="142"/>
        <v>249.0871389941106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127.99046724674608</v>
      </c>
      <c r="AA196" s="21">
        <f>EXP(-LN(2)/25)*AA195+(1-EXP(-LN(2)/25))/(LN(2)/25)*Calculateur!V196*Calculateur!X196*VLOOKUP('Données projet'!$B$9,Paramètres!$A$1:$I$89,3,0)*0.475*44/12</f>
        <v>49.760342912691215</v>
      </c>
      <c r="AB196" s="21">
        <f>EXP(-LN(2)/2)*AB195+(1-EXP(-LN(2)/2))/(LN(2)/2)*V196*Y196*VLOOKUP('Données projet'!$B$9,Paramètres!$A$1:$I$89,3,0)*0.475*44/12</f>
        <v>3.4392291485833566E-4</v>
      </c>
      <c r="AC196" s="22">
        <f t="shared" si="163"/>
        <v>177.75115408235214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7.9580786405131221E-13</v>
      </c>
      <c r="AJ196" s="13">
        <f>AI196*VLOOKUP('Données projet'!$B$10,Paramètres!$A$1:$I$89,3,0)*VLOOKUP('Données projet'!$B$10,Paramètres!$A$1:$I$89,5,0)</f>
        <v>7.2004695539362725E-13</v>
      </c>
      <c r="AK196" s="13">
        <f t="shared" si="164"/>
        <v>8.5963894794935589E-12</v>
      </c>
      <c r="AL196" s="20">
        <f t="shared" si="165"/>
        <v>1.6226126790761848E-11</v>
      </c>
      <c r="AM196" s="59">
        <f t="shared" ref="AM196:AM203" si="193">AL196+(AD196+AE196)*44/12</f>
        <v>293.33333333334951</v>
      </c>
      <c r="AN196" s="59">
        <f ca="1">AVERAGE(OFFSET($AM$3,0,0,'Données projet'!$E$10+1,1))-AVERAGE(OFFSET($H$3,0,0,'Données projet'!$E$10+1,1))</f>
        <v>635.71275911100679</v>
      </c>
      <c r="AO196" s="59">
        <f t="shared" si="144"/>
        <v>281.7776857269169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126.43909862581812</v>
      </c>
      <c r="AV196" s="21">
        <f>EXP(-LN(2)/25)*AV195+(1-EXP(-LN(2)/25))/(LN(2)/25)*Calculateur!AQ196*Calculateur!AS196*VLOOKUP('Données projet'!$B$10,Paramètres!$A$1:$I$89,3,0)*0.475*44/12</f>
        <v>19.507959671141794</v>
      </c>
      <c r="AW196" s="21">
        <f>EXP(-LN(2)/2)*AW195+(1-EXP(-LN(2)/2))/(LN(2)/2)*AQ196*AT196*VLOOKUP('Données projet'!$B$10,Paramètres!$A$1:$I$89,3,0)*0.475*44/12</f>
        <v>0.33202068300962151</v>
      </c>
      <c r="AX196" s="21">
        <f t="shared" si="166"/>
        <v>146.27907897996954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204.11804238362862</v>
      </c>
      <c r="BJ196" s="59">
        <f t="shared" si="146"/>
        <v>185.53854651509408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1.1754758588951681</v>
      </c>
      <c r="BQ196" s="21">
        <f>EXP(-LN(2)/25)*BQ195+(1-EXP(-LN(2)/25))/(LN(2)/25)*Calculateur!BL196*Calculateur!BN196*VLOOKUP('Données projet'!$B$11,Paramètres!$A$1:$I$89,3,0)*0.475*44/12</f>
        <v>3.0698596107888112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4.2453354696839796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2.8421709430404007E-13</v>
      </c>
      <c r="BZ196" s="13">
        <f>BY196*VLOOKUP('Données projet'!$B$12,Paramètres!$A$1:$I$89,3,0)*VLOOKUP('Données projet'!$B$12,Paramètres!$A$1:$I$89,5,0)</f>
        <v>2.8376234695315366E-13</v>
      </c>
      <c r="CA196" s="13">
        <f t="shared" si="170"/>
        <v>3.7755732234983288E-12</v>
      </c>
      <c r="CB196" s="20">
        <f t="shared" si="171"/>
        <v>7.070009451869665E-12</v>
      </c>
      <c r="CC196" s="59">
        <f t="shared" ref="CC196:CC203" si="195">CB196+(BT196+BU196)*44/12</f>
        <v>293.33333333334036</v>
      </c>
      <c r="CD196" s="59">
        <f ca="1">AVERAGE(OFFSET($CC$3,0,0,'Données projet'!$E$12+1,1))-AVERAGE(OFFSET($H$3,0,0,'Données projet'!$E$12+1,1))</f>
        <v>535.99935263833549</v>
      </c>
      <c r="CE196" s="59">
        <f t="shared" si="148"/>
        <v>245.89966477332644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67.717799596577507</v>
      </c>
      <c r="CL196" s="21">
        <f>EXP(-LN(2)/25)*CL195+(1-EXP(-LN(2)/25))/(LN(2)/25)*Calculateur!CG196*Calculateur!CI196*VLOOKUP('Données projet'!$B$12,Paramètres!$A$1:$I$89,3,0)*0.475*44/12</f>
        <v>59.138129128279338</v>
      </c>
      <c r="CM196" s="21">
        <f>EXP(-LN(2)/2)*CM195+(1-EXP(-LN(2)/2))/(LN(2)/2)*CG196*CJ196*VLOOKUP('Données projet'!$B$12,Paramètres!$A$1:$I$89,3,0)*0.475*44/12</f>
        <v>7.69765180069653</v>
      </c>
      <c r="CN196" s="22">
        <f t="shared" si="172"/>
        <v>134.55358052555337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2.5579538487363607E-13</v>
      </c>
      <c r="CU196" s="17">
        <f>CT196*VLOOKUP('Données projet'!$B$13,Paramètres!$A$1:$I$89,3,0)*VLOOKUP('Données projet'!$B$13,Paramètres!$A$1:$I$89,5,0)</f>
        <v>2.4341488824575211E-13</v>
      </c>
      <c r="CV196" s="13">
        <f t="shared" si="173"/>
        <v>3.2970717324875541E-12</v>
      </c>
      <c r="CW196" s="20">
        <f t="shared" si="174"/>
        <v>6.1663475311105072E-12</v>
      </c>
      <c r="CX196" s="59">
        <f t="shared" ref="CX196:CX203" si="196">CW196+(CO196+CP196)*44/12</f>
        <v>293.33333333333945</v>
      </c>
      <c r="CY196" s="59">
        <f ca="1">AVERAGE(OFFSET($CX$3,0,0,'Données projet'!$E$13+1,1))-AVERAGE(OFFSET($H$3,0,0,'Données projet'!$E$13+1,1))</f>
        <v>449.28947235329758</v>
      </c>
      <c r="CZ196" s="59">
        <f t="shared" si="150"/>
        <v>289.36994109443964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18.996276138953693</v>
      </c>
      <c r="DG196" s="21">
        <f>EXP(-LN(2)/25)*DG195+(1-EXP(-LN(2)/25))/(LN(2)/25)*Calculateur!DB196*Calculateur!DD196*VLOOKUP('Données projet'!$B$13,Paramètres!$A$1:$I$89,3,0)*0.475*44/12</f>
        <v>10.496021124240396</v>
      </c>
      <c r="DH196" s="21">
        <f>EXP(-LN(2)/2)*DH195+(1-EXP(-LN(2)/2))/(LN(2)/2)*DB196*DE196*VLOOKUP('Données projet'!$B$13,Paramètres!$A$1:$I$89,3,0)*0.475*44/12</f>
        <v>1.1804788367534492E-8</v>
      </c>
      <c r="DI196" s="22">
        <f t="shared" si="175"/>
        <v>29.492297274998879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5.6843418860808015E-14</v>
      </c>
      <c r="DP196" s="17">
        <f>DO196*VLOOKUP('Données projet'!$B$14,Paramètres!$A$1:$I$89,3,0)*VLOOKUP('Données projet'!$B$14,Paramètres!$A$1:$I$89,5,0)</f>
        <v>4.4337866711430253E-14</v>
      </c>
      <c r="DQ196" s="13">
        <f t="shared" si="176"/>
        <v>7.3222115536967035E-13</v>
      </c>
      <c r="DR196" s="20">
        <f t="shared" si="177"/>
        <v>1.3525069634579169E-12</v>
      </c>
      <c r="DS196" s="59">
        <f t="shared" ref="DS196:DS203" si="197">DR196+(DJ196+DK196)*44/12</f>
        <v>293.33333333333468</v>
      </c>
      <c r="DT196" s="59">
        <f ca="1">AVERAGE(OFFSET($DS$3,0,0,'Données projet'!$E$14+1,1))-AVERAGE(OFFSET($H$3,0,0,'Données projet'!$E$14+1,1))</f>
        <v>288.82868507674738</v>
      </c>
      <c r="DU196" s="59">
        <f t="shared" si="152"/>
        <v>283.48738729114024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3.6893328960674396</v>
      </c>
      <c r="EB196" s="21">
        <f>EXP(-LN(2)/25)*EB195+(1-EXP(-LN(2)/25))/(LN(2)/25)*Calculateur!DW196*Calculateur!DY196*VLOOKUP('Données projet'!$B$14,Paramètres!$A$1:$I$89,3,0)*0.475*44/12</f>
        <v>1.3601683089379135</v>
      </c>
      <c r="EC196" s="21">
        <f>EXP(-LN(2)/2)*EC195+(1-EXP(-LN(2)/2))/(LN(2)/2)*DW196*DZ196*VLOOKUP('Données projet'!$B$14,Paramètres!$A$1:$I$89,3,0)*0.475*44/12</f>
        <v>1.317436213361326E-17</v>
      </c>
      <c r="ED196" s="22">
        <f t="shared" si="178"/>
        <v>5.0495012050053534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-2.8421709430404007E-13</v>
      </c>
      <c r="EK196" s="17">
        <f>EJ196*VLOOKUP('Données projet'!$B$15,Paramètres!$A$1:$I$89,3,0)*VLOOKUP('Données projet'!$B$15,Paramètres!$A$1:$I$89,5,0)</f>
        <v>-2.7489477361086758E-13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510.71380643466227</v>
      </c>
      <c r="EP196" s="59">
        <f t="shared" si="154"/>
        <v>252.40654099948841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66.088958083665787</v>
      </c>
      <c r="EW196" s="21">
        <f>EXP(-LN(2)/25)*EW195+(1-EXP(-LN(2)/25))/(LN(2)/25)*Calculateur!ER196*Calculateur!ET196*VLOOKUP('Données projet'!$B$15,Paramètres!$A$1:$I$89,3,0)*0.475*44/12</f>
        <v>58.244062336073476</v>
      </c>
      <c r="EX196" s="21">
        <f>EXP(-LN(2)/2)*EX195+(1-EXP(-LN(2)/2))/(LN(2)/2)*ER196*EU196*VLOOKUP('Données projet'!$B$15,Paramètres!$A$1:$I$89,3,0)*0.475*44/12</f>
        <v>20.918530514629992</v>
      </c>
      <c r="EY196" s="22">
        <f t="shared" si="181"/>
        <v>145.25155093436925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2.8421709430404007E-13</v>
      </c>
      <c r="O197" s="13">
        <f>N197*VLOOKUP('Données projet'!$B$9,Paramètres!$A$1:$I$89,3,0)*VLOOKUP('Données projet'!$B$9,Paramètres!$A$1:$I$89,5,0)</f>
        <v>2.8819613362429665E-13</v>
      </c>
      <c r="P197" s="13">
        <f t="shared" ref="P197:P203" si="203">EXP(-1.0587+0.8836*LN(O197)+0.284)</f>
        <v>3.827652602141548E-12</v>
      </c>
      <c r="Q197" s="20">
        <f t="shared" si="162"/>
        <v>7.1684365481255119E-12</v>
      </c>
      <c r="R197" s="59">
        <f t="shared" si="191"/>
        <v>293.33333333334048</v>
      </c>
      <c r="S197" s="59">
        <f ca="1">AVERAGE(OFFSET($R$3,0,0,'Données projet'!$E$9+1,1))-AVERAGE(OFFSET($H$3,0,0,'Données projet'!$E$9+1,1))</f>
        <v>543.67050511722618</v>
      </c>
      <c r="T197" s="59">
        <f t="shared" ref="T197:T203" si="204">$T$3</f>
        <v>249.0871389941106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125.48065225051398</v>
      </c>
      <c r="AA197" s="21">
        <f>EXP(-LN(2)/25)*AA196+(1-EXP(-LN(2)/25))/(LN(2)/25)*Calculateur!V197*Calculateur!X197*VLOOKUP('Données projet'!$B$9,Paramètres!$A$1:$I$89,3,0)*0.475*44/12</f>
        <v>48.399643718960967</v>
      </c>
      <c r="AB197" s="21">
        <f>EXP(-LN(2)/2)*AB196+(1-EXP(-LN(2)/2))/(LN(2)/2)*V197*Y197*VLOOKUP('Données projet'!$B$9,Paramètres!$A$1:$I$89,3,0)*0.475*44/12</f>
        <v>2.4319022530177277E-4</v>
      </c>
      <c r="AC197" s="22">
        <f t="shared" si="163"/>
        <v>173.88053915970025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7.9580786405131221E-13</v>
      </c>
      <c r="AJ197" s="13">
        <f>AI197*VLOOKUP('Données projet'!$B$10,Paramètres!$A$1:$I$89,3,0)*VLOOKUP('Données projet'!$B$10,Paramètres!$A$1:$I$89,5,0)</f>
        <v>7.2004695539362725E-13</v>
      </c>
      <c r="AK197" s="13">
        <f t="shared" si="164"/>
        <v>8.5963894794935589E-12</v>
      </c>
      <c r="AL197" s="20">
        <f t="shared" si="165"/>
        <v>1.6226126790761848E-11</v>
      </c>
      <c r="AM197" s="59">
        <f t="shared" si="193"/>
        <v>293.33333333334951</v>
      </c>
      <c r="AN197" s="59">
        <f ca="1">AVERAGE(OFFSET($AM$3,0,0,'Données projet'!$E$10+1,1))-AVERAGE(OFFSET($H$3,0,0,'Données projet'!$E$10+1,1))</f>
        <v>635.71275911100679</v>
      </c>
      <c r="AO197" s="59">
        <f t="shared" ref="AO197:AO203" si="205">$AO$3</f>
        <v>281.7776857269169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123.959705022001</v>
      </c>
      <c r="AV197" s="21">
        <f>EXP(-LN(2)/25)*AV196+(1-EXP(-LN(2)/25))/(LN(2)/25)*Calculateur!AQ197*Calculateur!AS197*VLOOKUP('Données projet'!$B$10,Paramètres!$A$1:$I$89,3,0)*0.475*44/12</f>
        <v>18.974513488055408</v>
      </c>
      <c r="AW197" s="21">
        <f>EXP(-LN(2)/2)*AW196+(1-EXP(-LN(2)/2))/(LN(2)/2)*AQ197*AT197*VLOOKUP('Données projet'!$B$10,Paramètres!$A$1:$I$89,3,0)*0.475*44/12</f>
        <v>0.2347740764502925</v>
      </c>
      <c r="AX197" s="21">
        <f t="shared" si="166"/>
        <v>143.1689925865067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204.11804238362862</v>
      </c>
      <c r="BJ197" s="59">
        <f t="shared" ref="BJ197:BJ203" si="206">$BJ$3</f>
        <v>185.53854651509408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1.1524254942717129</v>
      </c>
      <c r="BQ197" s="21">
        <f>EXP(-LN(2)/25)*BQ196+(1-EXP(-LN(2)/25))/(LN(2)/25)*Calculateur!BL197*Calculateur!BN197*VLOOKUP('Données projet'!$B$11,Paramètres!$A$1:$I$89,3,0)*0.475*44/12</f>
        <v>2.9859141382948904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4.1383396325666038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2.8421709430404007E-13</v>
      </c>
      <c r="BZ197" s="13">
        <f>BY197*VLOOKUP('Données projet'!$B$12,Paramètres!$A$1:$I$89,3,0)*VLOOKUP('Données projet'!$B$12,Paramètres!$A$1:$I$89,5,0)</f>
        <v>2.8376234695315366E-13</v>
      </c>
      <c r="CA197" s="13">
        <f t="shared" si="170"/>
        <v>3.7755732234983288E-12</v>
      </c>
      <c r="CB197" s="20">
        <f t="shared" si="171"/>
        <v>7.070009451869665E-12</v>
      </c>
      <c r="CC197" s="59">
        <f t="shared" si="195"/>
        <v>293.33333333334036</v>
      </c>
      <c r="CD197" s="59">
        <f ca="1">AVERAGE(OFFSET($CC$3,0,0,'Données projet'!$E$12+1,1))-AVERAGE(OFFSET($H$3,0,0,'Données projet'!$E$12+1,1))</f>
        <v>535.99935263833549</v>
      </c>
      <c r="CE197" s="59">
        <f t="shared" ref="CE197:CE203" si="207">$CE$3</f>
        <v>245.89966477332644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66.389894850267964</v>
      </c>
      <c r="CL197" s="21">
        <f>EXP(-LN(2)/25)*CL196+(1-EXP(-LN(2)/25))/(LN(2)/25)*Calculateur!CG197*Calculateur!CI197*VLOOKUP('Données projet'!$B$12,Paramètres!$A$1:$I$89,3,0)*0.475*44/12</f>
        <v>57.520993877327491</v>
      </c>
      <c r="CM197" s="21">
        <f>EXP(-LN(2)/2)*CM196+(1-EXP(-LN(2)/2))/(LN(2)/2)*CG197*CJ197*VLOOKUP('Données projet'!$B$12,Paramètres!$A$1:$I$89,3,0)*0.475*44/12</f>
        <v>5.4430617874853553</v>
      </c>
      <c r="CN197" s="22">
        <f t="shared" si="172"/>
        <v>129.35395051508081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2.5579538487363607E-13</v>
      </c>
      <c r="CU197" s="17">
        <f>CT197*VLOOKUP('Données projet'!$B$13,Paramètres!$A$1:$I$89,3,0)*VLOOKUP('Données projet'!$B$13,Paramètres!$A$1:$I$89,5,0)</f>
        <v>2.4341488824575211E-13</v>
      </c>
      <c r="CV197" s="13">
        <f t="shared" si="173"/>
        <v>3.2970717324875541E-12</v>
      </c>
      <c r="CW197" s="20">
        <f t="shared" si="174"/>
        <v>6.1663475311105072E-12</v>
      </c>
      <c r="CX197" s="59">
        <f t="shared" si="196"/>
        <v>293.33333333333945</v>
      </c>
      <c r="CY197" s="59">
        <f ca="1">AVERAGE(OFFSET($CX$3,0,0,'Données projet'!$E$13+1,1))-AVERAGE(OFFSET($H$3,0,0,'Données projet'!$E$13+1,1))</f>
        <v>449.28947235329758</v>
      </c>
      <c r="CZ197" s="59">
        <f t="shared" ref="CZ197:CZ203" si="208">$CZ$3</f>
        <v>289.36994109443964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18.623770750453176</v>
      </c>
      <c r="DG197" s="21">
        <f>EXP(-LN(2)/25)*DG196+(1-EXP(-LN(2)/25))/(LN(2)/25)*Calculateur!DB197*Calculateur!DD197*VLOOKUP('Données projet'!$B$13,Paramètres!$A$1:$I$89,3,0)*0.475*44/12</f>
        <v>10.20900687463628</v>
      </c>
      <c r="DH197" s="21">
        <f>EXP(-LN(2)/2)*DH196+(1-EXP(-LN(2)/2))/(LN(2)/2)*DB197*DE197*VLOOKUP('Données projet'!$B$13,Paramètres!$A$1:$I$89,3,0)*0.475*44/12</f>
        <v>8.3472459051557134E-9</v>
      </c>
      <c r="DI197" s="22">
        <f t="shared" si="175"/>
        <v>28.832777633436702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5.6843418860808015E-14</v>
      </c>
      <c r="DP197" s="17">
        <f>DO197*VLOOKUP('Données projet'!$B$14,Paramètres!$A$1:$I$89,3,0)*VLOOKUP('Données projet'!$B$14,Paramètres!$A$1:$I$89,5,0)</f>
        <v>4.4337866711430253E-14</v>
      </c>
      <c r="DQ197" s="13">
        <f t="shared" si="176"/>
        <v>7.3222115536967035E-13</v>
      </c>
      <c r="DR197" s="20">
        <f t="shared" si="177"/>
        <v>1.3525069634579169E-12</v>
      </c>
      <c r="DS197" s="59">
        <f t="shared" si="197"/>
        <v>293.33333333333468</v>
      </c>
      <c r="DT197" s="59">
        <f ca="1">AVERAGE(OFFSET($DS$3,0,0,'Données projet'!$E$14+1,1))-AVERAGE(OFFSET($H$3,0,0,'Données projet'!$E$14+1,1))</f>
        <v>288.82868507674738</v>
      </c>
      <c r="DU197" s="59">
        <f t="shared" ref="DU197:DU203" si="209">$DU$3</f>
        <v>283.48738729114024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3.6169873282464278</v>
      </c>
      <c r="EB197" s="21">
        <f>EXP(-LN(2)/25)*EB196+(1-EXP(-LN(2)/25))/(LN(2)/25)*Calculateur!DW197*Calculateur!DY197*VLOOKUP('Données projet'!$B$14,Paramètres!$A$1:$I$89,3,0)*0.475*44/12</f>
        <v>1.3229744350018635</v>
      </c>
      <c r="EC197" s="21">
        <f>EXP(-LN(2)/2)*EC196+(1-EXP(-LN(2)/2))/(LN(2)/2)*DW197*DZ197*VLOOKUP('Données projet'!$B$14,Paramètres!$A$1:$I$89,3,0)*0.475*44/12</f>
        <v>9.3156808024852089E-18</v>
      </c>
      <c r="ED197" s="22">
        <f t="shared" si="178"/>
        <v>4.9399617632482915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-2.8421709430404007E-13</v>
      </c>
      <c r="EK197" s="17">
        <f>EJ197*VLOOKUP('Données projet'!$B$15,Paramètres!$A$1:$I$89,3,0)*VLOOKUP('Données projet'!$B$15,Paramètres!$A$1:$I$89,5,0)</f>
        <v>-2.7489477361086758E-13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510.71380643466227</v>
      </c>
      <c r="EP197" s="59">
        <f t="shared" ref="EP197:EP203" si="210">$EP$3</f>
        <v>252.40654099948841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64.792993925929224</v>
      </c>
      <c r="EW197" s="21">
        <f>EXP(-LN(2)/25)*EW196+(1-EXP(-LN(2)/25))/(LN(2)/25)*Calculateur!ER197*Calculateur!ET197*VLOOKUP('Données projet'!$B$15,Paramètres!$A$1:$I$89,3,0)*0.475*44/12</f>
        <v>56.651375388571431</v>
      </c>
      <c r="EX197" s="21">
        <f>EXP(-LN(2)/2)*EX196+(1-EXP(-LN(2)/2))/(LN(2)/2)*ER197*EU197*VLOOKUP('Données projet'!$B$15,Paramètres!$A$1:$I$89,3,0)*0.475*44/12</f>
        <v>14.791634779352588</v>
      </c>
      <c r="EY197" s="22">
        <f t="shared" si="181"/>
        <v>136.23600409385324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2.8421709430404007E-13</v>
      </c>
      <c r="O198" s="13">
        <f>N198*VLOOKUP('Données projet'!$B$9,Paramètres!$A$1:$I$89,3,0)*VLOOKUP('Données projet'!$B$9,Paramètres!$A$1:$I$89,5,0)</f>
        <v>2.8819613362429665E-13</v>
      </c>
      <c r="P198" s="13">
        <f t="shared" si="203"/>
        <v>3.827652602141548E-12</v>
      </c>
      <c r="Q198" s="20">
        <f t="shared" si="162"/>
        <v>7.1684365481255119E-12</v>
      </c>
      <c r="R198" s="59">
        <f t="shared" si="191"/>
        <v>293.33333333334048</v>
      </c>
      <c r="S198" s="59">
        <f ca="1">AVERAGE(OFFSET($R$3,0,0,'Données projet'!$E$9+1,1))-AVERAGE(OFFSET($H$3,0,0,'Données projet'!$E$9+1,1))</f>
        <v>543.67050511722618</v>
      </c>
      <c r="T198" s="59">
        <f t="shared" si="204"/>
        <v>249.0871389941106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123.02005319552201</v>
      </c>
      <c r="AA198" s="21">
        <f>EXP(-LN(2)/25)*AA197+(1-EXP(-LN(2)/25))/(LN(2)/25)*Calculateur!V198*Calculateur!X198*VLOOKUP('Données projet'!$B$9,Paramètres!$A$1:$I$89,3,0)*0.475*44/12</f>
        <v>47.076152916239337</v>
      </c>
      <c r="AB198" s="21">
        <f>EXP(-LN(2)/2)*AB197+(1-EXP(-LN(2)/2))/(LN(2)/2)*V198*Y198*VLOOKUP('Données projet'!$B$9,Paramètres!$A$1:$I$89,3,0)*0.475*44/12</f>
        <v>1.7196145742916786E-4</v>
      </c>
      <c r="AC198" s="22">
        <f t="shared" si="163"/>
        <v>170.09637807321877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7.9580786405131221E-13</v>
      </c>
      <c r="AJ198" s="13">
        <f>AI198*VLOOKUP('Données projet'!$B$10,Paramètres!$A$1:$I$89,3,0)*VLOOKUP('Données projet'!$B$10,Paramètres!$A$1:$I$89,5,0)</f>
        <v>7.2004695539362725E-13</v>
      </c>
      <c r="AK198" s="13">
        <f t="shared" si="164"/>
        <v>8.5963894794935589E-12</v>
      </c>
      <c r="AL198" s="20">
        <f t="shared" si="165"/>
        <v>1.6226126790761848E-11</v>
      </c>
      <c r="AM198" s="59">
        <f t="shared" si="193"/>
        <v>293.33333333334951</v>
      </c>
      <c r="AN198" s="59">
        <f ca="1">AVERAGE(OFFSET($AM$3,0,0,'Données projet'!$E$10+1,1))-AVERAGE(OFFSET($H$3,0,0,'Données projet'!$E$10+1,1))</f>
        <v>635.71275911100679</v>
      </c>
      <c r="AO198" s="59">
        <f t="shared" si="205"/>
        <v>281.7776857269169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121.52893081447397</v>
      </c>
      <c r="AV198" s="21">
        <f>EXP(-LN(2)/25)*AV197+(1-EXP(-LN(2)/25))/(LN(2)/25)*Calculateur!AQ198*Calculateur!AS198*VLOOKUP('Données projet'!$B$10,Paramètres!$A$1:$I$89,3,0)*0.475*44/12</f>
        <v>18.455654418898234</v>
      </c>
      <c r="AW198" s="21">
        <f>EXP(-LN(2)/2)*AW197+(1-EXP(-LN(2)/2))/(LN(2)/2)*AQ198*AT198*VLOOKUP('Données projet'!$B$10,Paramètres!$A$1:$I$89,3,0)*0.475*44/12</f>
        <v>0.16601034150481075</v>
      </c>
      <c r="AX198" s="21">
        <f t="shared" si="166"/>
        <v>140.150595574877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204.11804238362862</v>
      </c>
      <c r="BJ198" s="59">
        <f t="shared" si="206"/>
        <v>185.53854651509408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1.1298271332391896</v>
      </c>
      <c r="BQ198" s="21">
        <f>EXP(-LN(2)/25)*BQ197+(1-EXP(-LN(2)/25))/(LN(2)/25)*Calculateur!BL198*Calculateur!BN198*VLOOKUP('Données projet'!$B$11,Paramètres!$A$1:$I$89,3,0)*0.475*44/12</f>
        <v>2.9042641591608165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4.0340912924000065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2.8421709430404007E-13</v>
      </c>
      <c r="BZ198" s="13">
        <f>BY198*VLOOKUP('Données projet'!$B$12,Paramètres!$A$1:$I$89,3,0)*VLOOKUP('Données projet'!$B$12,Paramètres!$A$1:$I$89,5,0)</f>
        <v>2.8376234695315366E-13</v>
      </c>
      <c r="CA198" s="13">
        <f t="shared" si="170"/>
        <v>3.7755732234983288E-12</v>
      </c>
      <c r="CB198" s="20">
        <f t="shared" si="171"/>
        <v>7.070009451869665E-12</v>
      </c>
      <c r="CC198" s="59">
        <f t="shared" si="195"/>
        <v>293.33333333334036</v>
      </c>
      <c r="CD198" s="59">
        <f ca="1">AVERAGE(OFFSET($CC$3,0,0,'Données projet'!$E$12+1,1))-AVERAGE(OFFSET($H$3,0,0,'Données projet'!$E$12+1,1))</f>
        <v>535.99935263833549</v>
      </c>
      <c r="CE198" s="59">
        <f t="shared" si="207"/>
        <v>245.89966477332644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65.08802950609163</v>
      </c>
      <c r="CL198" s="21">
        <f>EXP(-LN(2)/25)*CL197+(1-EXP(-LN(2)/25))/(LN(2)/25)*Calculateur!CG198*Calculateur!CI198*VLOOKUP('Données projet'!$B$12,Paramètres!$A$1:$I$89,3,0)*0.475*44/12</f>
        <v>55.948079274854372</v>
      </c>
      <c r="CM198" s="21">
        <f>EXP(-LN(2)/2)*CM197+(1-EXP(-LN(2)/2))/(LN(2)/2)*CG198*CJ198*VLOOKUP('Données projet'!$B$12,Paramètres!$A$1:$I$89,3,0)*0.475*44/12</f>
        <v>3.8488259003482654</v>
      </c>
      <c r="CN198" s="22">
        <f t="shared" si="172"/>
        <v>124.88493468129425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2.5579538487363607E-13</v>
      </c>
      <c r="CU198" s="17">
        <f>CT198*VLOOKUP('Données projet'!$B$13,Paramètres!$A$1:$I$89,3,0)*VLOOKUP('Données projet'!$B$13,Paramètres!$A$1:$I$89,5,0)</f>
        <v>2.4341488824575211E-13</v>
      </c>
      <c r="CV198" s="13">
        <f t="shared" si="173"/>
        <v>3.2970717324875541E-12</v>
      </c>
      <c r="CW198" s="20">
        <f t="shared" si="174"/>
        <v>6.1663475311105072E-12</v>
      </c>
      <c r="CX198" s="59">
        <f t="shared" si="196"/>
        <v>293.33333333333945</v>
      </c>
      <c r="CY198" s="59">
        <f ca="1">AVERAGE(OFFSET($CX$3,0,0,'Données projet'!$E$13+1,1))-AVERAGE(OFFSET($H$3,0,0,'Données projet'!$E$13+1,1))</f>
        <v>449.28947235329758</v>
      </c>
      <c r="CZ198" s="59">
        <f t="shared" si="208"/>
        <v>289.36994109443964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18.258569965415301</v>
      </c>
      <c r="DG198" s="21">
        <f>EXP(-LN(2)/25)*DG197+(1-EXP(-LN(2)/25))/(LN(2)/25)*Calculateur!DB198*Calculateur!DD198*VLOOKUP('Données projet'!$B$13,Paramètres!$A$1:$I$89,3,0)*0.475*44/12</f>
        <v>9.9298410447810124</v>
      </c>
      <c r="DH198" s="21">
        <f>EXP(-LN(2)/2)*DH197+(1-EXP(-LN(2)/2))/(LN(2)/2)*DB198*DE198*VLOOKUP('Données projet'!$B$13,Paramètres!$A$1:$I$89,3,0)*0.475*44/12</f>
        <v>5.902394183767246E-9</v>
      </c>
      <c r="DI198" s="22">
        <f t="shared" si="175"/>
        <v>28.188411016098705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5.6843418860808015E-14</v>
      </c>
      <c r="DP198" s="17">
        <f>DO198*VLOOKUP('Données projet'!$B$14,Paramètres!$A$1:$I$89,3,0)*VLOOKUP('Données projet'!$B$14,Paramètres!$A$1:$I$89,5,0)</f>
        <v>4.4337866711430253E-14</v>
      </c>
      <c r="DQ198" s="13">
        <f t="shared" si="176"/>
        <v>7.3222115536967035E-13</v>
      </c>
      <c r="DR198" s="20">
        <f t="shared" si="177"/>
        <v>1.3525069634579169E-12</v>
      </c>
      <c r="DS198" s="59">
        <f t="shared" si="197"/>
        <v>293.33333333333468</v>
      </c>
      <c r="DT198" s="59">
        <f ca="1">AVERAGE(OFFSET($DS$3,0,0,'Données projet'!$E$14+1,1))-AVERAGE(OFFSET($H$3,0,0,'Données projet'!$E$14+1,1))</f>
        <v>288.82868507674738</v>
      </c>
      <c r="DU198" s="59">
        <f t="shared" si="209"/>
        <v>283.48738729114024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3.5460604128839468</v>
      </c>
      <c r="EB198" s="21">
        <f>EXP(-LN(2)/25)*EB197+(1-EXP(-LN(2)/25))/(LN(2)/25)*Calculateur!DW198*Calculateur!DY198*VLOOKUP('Données projet'!$B$14,Paramètres!$A$1:$I$89,3,0)*0.475*44/12</f>
        <v>1.2867976295045358</v>
      </c>
      <c r="EC198" s="21">
        <f>EXP(-LN(2)/2)*EC197+(1-EXP(-LN(2)/2))/(LN(2)/2)*DW198*DZ198*VLOOKUP('Données projet'!$B$14,Paramètres!$A$1:$I$89,3,0)*0.475*44/12</f>
        <v>6.5871810668066301E-18</v>
      </c>
      <c r="ED198" s="22">
        <f t="shared" si="178"/>
        <v>4.8328580423884828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-2.8421709430404007E-13</v>
      </c>
      <c r="EK198" s="17">
        <f>EJ198*VLOOKUP('Données projet'!$B$15,Paramètres!$A$1:$I$89,3,0)*VLOOKUP('Données projet'!$B$15,Paramètres!$A$1:$I$89,5,0)</f>
        <v>-2.7489477361086758E-13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510.71380643466227</v>
      </c>
      <c r="EP198" s="59">
        <f t="shared" si="210"/>
        <v>252.40654099948841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63.522442834865785</v>
      </c>
      <c r="EW198" s="21">
        <f>EXP(-LN(2)/25)*EW197+(1-EXP(-LN(2)/25))/(LN(2)/25)*Calculateur!ER198*Calculateur!ET198*VLOOKUP('Données projet'!$B$15,Paramètres!$A$1:$I$89,3,0)*0.475*44/12</f>
        <v>55.102240549404591</v>
      </c>
      <c r="EX198" s="21">
        <f>EXP(-LN(2)/2)*EX197+(1-EXP(-LN(2)/2))/(LN(2)/2)*ER198*EU198*VLOOKUP('Données projet'!$B$15,Paramètres!$A$1:$I$89,3,0)*0.475*44/12</f>
        <v>10.459265257314998</v>
      </c>
      <c r="EY198" s="22">
        <f t="shared" si="181"/>
        <v>129.08394864158538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2.8421709430404007E-13</v>
      </c>
      <c r="O199" s="13">
        <f>N199*VLOOKUP('Données projet'!$B$9,Paramètres!$A$1:$I$89,3,0)*VLOOKUP('Données projet'!$B$9,Paramètres!$A$1:$I$89,5,0)</f>
        <v>2.8819613362429665E-13</v>
      </c>
      <c r="P199" s="13">
        <f t="shared" si="203"/>
        <v>3.827652602141548E-12</v>
      </c>
      <c r="Q199" s="20">
        <f t="shared" si="162"/>
        <v>7.1684365481255119E-12</v>
      </c>
      <c r="R199" s="59">
        <f t="shared" si="191"/>
        <v>293.33333333334048</v>
      </c>
      <c r="S199" s="59">
        <f ca="1">AVERAGE(OFFSET($R$3,0,0,'Données projet'!$E$9+1,1))-AVERAGE(OFFSET($H$3,0,0,'Données projet'!$E$9+1,1))</f>
        <v>543.67050511722618</v>
      </c>
      <c r="T199" s="59">
        <f t="shared" si="204"/>
        <v>249.0871389941106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120.60770498718119</v>
      </c>
      <c r="AA199" s="21">
        <f>EXP(-LN(2)/25)*AA198+(1-EXP(-LN(2)/25))/(LN(2)/25)*Calculateur!V199*Calculateur!X199*VLOOKUP('Données projet'!$B$9,Paramètres!$A$1:$I$89,3,0)*0.475*44/12</f>
        <v>45.788853039117484</v>
      </c>
      <c r="AB199" s="21">
        <f>EXP(-LN(2)/2)*AB198+(1-EXP(-LN(2)/2))/(LN(2)/2)*V199*Y199*VLOOKUP('Données projet'!$B$9,Paramètres!$A$1:$I$89,3,0)*0.475*44/12</f>
        <v>1.2159511265088641E-4</v>
      </c>
      <c r="AC199" s="22">
        <f t="shared" si="163"/>
        <v>166.39667962141135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7.9580786405131221E-13</v>
      </c>
      <c r="AJ199" s="13">
        <f>AI199*VLOOKUP('Données projet'!$B$10,Paramètres!$A$1:$I$89,3,0)*VLOOKUP('Données projet'!$B$10,Paramètres!$A$1:$I$89,5,0)</f>
        <v>7.2004695539362725E-13</v>
      </c>
      <c r="AK199" s="13">
        <f t="shared" si="164"/>
        <v>8.5963894794935589E-12</v>
      </c>
      <c r="AL199" s="20">
        <f t="shared" si="165"/>
        <v>1.6226126790761848E-11</v>
      </c>
      <c r="AM199" s="59">
        <f t="shared" si="193"/>
        <v>293.33333333334951</v>
      </c>
      <c r="AN199" s="59">
        <f ca="1">AVERAGE(OFFSET($AM$3,0,0,'Données projet'!$E$10+1,1))-AVERAGE(OFFSET($H$3,0,0,'Données projet'!$E$10+1,1))</f>
        <v>635.71275911100679</v>
      </c>
      <c r="AO199" s="59">
        <f t="shared" si="205"/>
        <v>281.7776857269169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119.14582260653066</v>
      </c>
      <c r="AV199" s="21">
        <f>EXP(-LN(2)/25)*AV198+(1-EXP(-LN(2)/25))/(LN(2)/25)*Calculateur!AQ199*Calculateur!AS199*VLOOKUP('Données projet'!$B$10,Paramètres!$A$1:$I$89,3,0)*0.475*44/12</f>
        <v>17.950983578272776</v>
      </c>
      <c r="AW199" s="21">
        <f>EXP(-LN(2)/2)*AW198+(1-EXP(-LN(2)/2))/(LN(2)/2)*AQ199*AT199*VLOOKUP('Données projet'!$B$10,Paramètres!$A$1:$I$89,3,0)*0.475*44/12</f>
        <v>0.11738703822514625</v>
      </c>
      <c r="AX199" s="21">
        <f t="shared" si="166"/>
        <v>137.21419322302856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204.11804238362862</v>
      </c>
      <c r="BJ199" s="59">
        <f t="shared" si="206"/>
        <v>185.53854651509408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1.1076719122828749</v>
      </c>
      <c r="BQ199" s="21">
        <f>EXP(-LN(2)/25)*BQ198+(1-EXP(-LN(2)/25))/(LN(2)/25)*Calculateur!BL199*Calculateur!BN199*VLOOKUP('Données projet'!$B$11,Paramètres!$A$1:$I$89,3,0)*0.475*44/12</f>
        <v>2.8248469029999494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3.9325188152828243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2.8421709430404007E-13</v>
      </c>
      <c r="BZ199" s="13">
        <f>BY199*VLOOKUP('Données projet'!$B$12,Paramètres!$A$1:$I$89,3,0)*VLOOKUP('Données projet'!$B$12,Paramètres!$A$1:$I$89,5,0)</f>
        <v>2.8376234695315366E-13</v>
      </c>
      <c r="CA199" s="13">
        <f t="shared" si="170"/>
        <v>3.7755732234983288E-12</v>
      </c>
      <c r="CB199" s="20">
        <f t="shared" si="171"/>
        <v>7.070009451869665E-12</v>
      </c>
      <c r="CC199" s="59">
        <f t="shared" si="195"/>
        <v>293.33333333334036</v>
      </c>
      <c r="CD199" s="59">
        <f ca="1">AVERAGE(OFFSET($CC$3,0,0,'Données projet'!$E$12+1,1))-AVERAGE(OFFSET($H$3,0,0,'Données projet'!$E$12+1,1))</f>
        <v>535.99935263833549</v>
      </c>
      <c r="CE199" s="59">
        <f t="shared" si="207"/>
        <v>245.89966477332644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63.811692947255146</v>
      </c>
      <c r="CL199" s="21">
        <f>EXP(-LN(2)/25)*CL198+(1-EXP(-LN(2)/25))/(LN(2)/25)*Calculateur!CG199*Calculateur!CI199*VLOOKUP('Données projet'!$B$12,Paramètres!$A$1:$I$89,3,0)*0.475*44/12</f>
        <v>54.41817610490186</v>
      </c>
      <c r="CM199" s="21">
        <f>EXP(-LN(2)/2)*CM198+(1-EXP(-LN(2)/2))/(LN(2)/2)*CG199*CJ199*VLOOKUP('Données projet'!$B$12,Paramètres!$A$1:$I$89,3,0)*0.475*44/12</f>
        <v>2.7215308937426781</v>
      </c>
      <c r="CN199" s="22">
        <f t="shared" si="172"/>
        <v>120.95139994589968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2.5579538487363607E-13</v>
      </c>
      <c r="CU199" s="17">
        <f>CT199*VLOOKUP('Données projet'!$B$13,Paramètres!$A$1:$I$89,3,0)*VLOOKUP('Données projet'!$B$13,Paramètres!$A$1:$I$89,5,0)</f>
        <v>2.4341488824575211E-13</v>
      </c>
      <c r="CV199" s="13">
        <f t="shared" si="173"/>
        <v>3.2970717324875541E-12</v>
      </c>
      <c r="CW199" s="20">
        <f t="shared" si="174"/>
        <v>6.1663475311105072E-12</v>
      </c>
      <c r="CX199" s="59">
        <f t="shared" si="196"/>
        <v>293.33333333333945</v>
      </c>
      <c r="CY199" s="59">
        <f ca="1">AVERAGE(OFFSET($CX$3,0,0,'Données projet'!$E$13+1,1))-AVERAGE(OFFSET($H$3,0,0,'Données projet'!$E$13+1,1))</f>
        <v>449.28947235329758</v>
      </c>
      <c r="CZ199" s="59">
        <f t="shared" si="208"/>
        <v>289.36994109443964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17.900530545021535</v>
      </c>
      <c r="DG199" s="21">
        <f>EXP(-LN(2)/25)*DG198+(1-EXP(-LN(2)/25))/(LN(2)/25)*Calculateur!DB199*Calculateur!DD199*VLOOKUP('Données projet'!$B$13,Paramètres!$A$1:$I$89,3,0)*0.475*44/12</f>
        <v>9.6583090192238306</v>
      </c>
      <c r="DH199" s="21">
        <f>EXP(-LN(2)/2)*DH198+(1-EXP(-LN(2)/2))/(LN(2)/2)*DB199*DE199*VLOOKUP('Données projet'!$B$13,Paramètres!$A$1:$I$89,3,0)*0.475*44/12</f>
        <v>4.1736229525778567E-9</v>
      </c>
      <c r="DI199" s="22">
        <f t="shared" si="175"/>
        <v>27.558839568418989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5.6843418860808015E-14</v>
      </c>
      <c r="DP199" s="17">
        <f>DO199*VLOOKUP('Données projet'!$B$14,Paramètres!$A$1:$I$89,3,0)*VLOOKUP('Données projet'!$B$14,Paramètres!$A$1:$I$89,5,0)</f>
        <v>4.4337866711430253E-14</v>
      </c>
      <c r="DQ199" s="13">
        <f t="shared" si="176"/>
        <v>7.3222115536967035E-13</v>
      </c>
      <c r="DR199" s="20">
        <f t="shared" si="177"/>
        <v>1.3525069634579169E-12</v>
      </c>
      <c r="DS199" s="59">
        <f t="shared" si="197"/>
        <v>293.33333333333468</v>
      </c>
      <c r="DT199" s="59">
        <f ca="1">AVERAGE(OFFSET($DS$3,0,0,'Données projet'!$E$14+1,1))-AVERAGE(OFFSET($H$3,0,0,'Données projet'!$E$14+1,1))</f>
        <v>288.82868507674738</v>
      </c>
      <c r="DU199" s="59">
        <f t="shared" si="209"/>
        <v>283.48738729114024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3.4765243310705776</v>
      </c>
      <c r="EB199" s="21">
        <f>EXP(-LN(2)/25)*EB198+(1-EXP(-LN(2)/25))/(LN(2)/25)*Calculateur!DW199*Calculateur!DY199*VLOOKUP('Données projet'!$B$14,Paramètres!$A$1:$I$89,3,0)*0.475*44/12</f>
        <v>1.251610080655988</v>
      </c>
      <c r="EC199" s="21">
        <f>EXP(-LN(2)/2)*EC198+(1-EXP(-LN(2)/2))/(LN(2)/2)*DW199*DZ199*VLOOKUP('Données projet'!$B$14,Paramètres!$A$1:$I$89,3,0)*0.475*44/12</f>
        <v>4.6578404012426044E-18</v>
      </c>
      <c r="ED199" s="22">
        <f t="shared" si="178"/>
        <v>4.7281344117265656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-2.8421709430404007E-13</v>
      </c>
      <c r="EK199" s="17">
        <f>EJ199*VLOOKUP('Données projet'!$B$15,Paramètres!$A$1:$I$89,3,0)*VLOOKUP('Données projet'!$B$15,Paramètres!$A$1:$I$89,5,0)</f>
        <v>-2.7489477361086758E-13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510.71380643466227</v>
      </c>
      <c r="EP199" s="59">
        <f t="shared" si="210"/>
        <v>252.40654099948841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62.276806475738461</v>
      </c>
      <c r="EW199" s="21">
        <f>EXP(-LN(2)/25)*EW198+(1-EXP(-LN(2)/25))/(LN(2)/25)*Calculateur!ER199*Calculateur!ET199*VLOOKUP('Données projet'!$B$15,Paramètres!$A$1:$I$89,3,0)*0.475*44/12</f>
        <v>53.595466883880228</v>
      </c>
      <c r="EX199" s="21">
        <f>EXP(-LN(2)/2)*EX198+(1-EXP(-LN(2)/2))/(LN(2)/2)*ER199*EU199*VLOOKUP('Données projet'!$B$15,Paramètres!$A$1:$I$89,3,0)*0.475*44/12</f>
        <v>7.3958173896762958</v>
      </c>
      <c r="EY199" s="22">
        <f t="shared" si="181"/>
        <v>123.26809074929498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2.8421709430404007E-13</v>
      </c>
      <c r="O200" s="13">
        <f>N200*VLOOKUP('Données projet'!$B$9,Paramètres!$A$1:$I$89,3,0)*VLOOKUP('Données projet'!$B$9,Paramètres!$A$1:$I$89,5,0)</f>
        <v>2.8819613362429665E-13</v>
      </c>
      <c r="P200" s="13">
        <f t="shared" si="203"/>
        <v>3.827652602141548E-12</v>
      </c>
      <c r="Q200" s="20">
        <f t="shared" si="162"/>
        <v>7.1684365481255119E-12</v>
      </c>
      <c r="R200" s="59">
        <f t="shared" si="191"/>
        <v>293.33333333334048</v>
      </c>
      <c r="S200" s="59">
        <f ca="1">AVERAGE(OFFSET($R$3,0,0,'Données projet'!$E$9+1,1))-AVERAGE(OFFSET($H$3,0,0,'Données projet'!$E$9+1,1))</f>
        <v>543.67050511722618</v>
      </c>
      <c r="T200" s="59">
        <f t="shared" si="204"/>
        <v>249.0871389941106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118.24266145581883</v>
      </c>
      <c r="AA200" s="21">
        <f>EXP(-LN(2)/25)*AA199+(1-EXP(-LN(2)/25))/(LN(2)/25)*Calculateur!V200*Calculateur!X200*VLOOKUP('Données projet'!$B$9,Paramètres!$A$1:$I$89,3,0)*0.475*44/12</f>
        <v>44.536754444831686</v>
      </c>
      <c r="AB200" s="21">
        <f>EXP(-LN(2)/2)*AB199+(1-EXP(-LN(2)/2))/(LN(2)/2)*V200*Y200*VLOOKUP('Données projet'!$B$9,Paramètres!$A$1:$I$89,3,0)*0.475*44/12</f>
        <v>8.5980728714583942E-5</v>
      </c>
      <c r="AC200" s="22">
        <f t="shared" si="163"/>
        <v>162.77950188137925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7.9580786405131221E-13</v>
      </c>
      <c r="AJ200" s="13">
        <f>AI200*VLOOKUP('Données projet'!$B$10,Paramètres!$A$1:$I$89,3,0)*VLOOKUP('Données projet'!$B$10,Paramètres!$A$1:$I$89,5,0)</f>
        <v>7.2004695539362725E-13</v>
      </c>
      <c r="AK200" s="13">
        <f t="shared" si="164"/>
        <v>8.5963894794935589E-12</v>
      </c>
      <c r="AL200" s="20">
        <f t="shared" si="165"/>
        <v>1.6226126790761848E-11</v>
      </c>
      <c r="AM200" s="59">
        <f t="shared" si="193"/>
        <v>293.33333333334951</v>
      </c>
      <c r="AN200" s="59">
        <f ca="1">AVERAGE(OFFSET($AM$3,0,0,'Données projet'!$E$10+1,1))-AVERAGE(OFFSET($H$3,0,0,'Données projet'!$E$10+1,1))</f>
        <v>635.71275911100679</v>
      </c>
      <c r="AO200" s="59">
        <f t="shared" si="205"/>
        <v>281.7776857269169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116.80944569699264</v>
      </c>
      <c r="AV200" s="21">
        <f>EXP(-LN(2)/25)*AV199+(1-EXP(-LN(2)/25))/(LN(2)/25)*Calculateur!AQ200*Calculateur!AS200*VLOOKUP('Données projet'!$B$10,Paramètres!$A$1:$I$89,3,0)*0.475*44/12</f>
        <v>17.460112988323708</v>
      </c>
      <c r="AW200" s="21">
        <f>EXP(-LN(2)/2)*AW199+(1-EXP(-LN(2)/2))/(LN(2)/2)*AQ200*AT200*VLOOKUP('Données projet'!$B$10,Paramètres!$A$1:$I$89,3,0)*0.475*44/12</f>
        <v>8.3005170752405377E-2</v>
      </c>
      <c r="AX200" s="21">
        <f t="shared" si="166"/>
        <v>134.35256385606877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204.11804238362862</v>
      </c>
      <c r="BJ200" s="59">
        <f t="shared" si="206"/>
        <v>185.53854651509408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1.0859511416961629</v>
      </c>
      <c r="BQ200" s="21">
        <f>EXP(-LN(2)/25)*BQ199+(1-EXP(-LN(2)/25))/(LN(2)/25)*Calculateur!BL200*Calculateur!BN200*VLOOKUP('Données projet'!$B$11,Paramètres!$A$1:$I$89,3,0)*0.475*44/12</f>
        <v>2.7476013158851735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3.8335524575813364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2.8421709430404007E-13</v>
      </c>
      <c r="BZ200" s="13">
        <f>BY200*VLOOKUP('Données projet'!$B$12,Paramètres!$A$1:$I$89,3,0)*VLOOKUP('Données projet'!$B$12,Paramètres!$A$1:$I$89,5,0)</f>
        <v>2.8376234695315366E-13</v>
      </c>
      <c r="CA200" s="13">
        <f t="shared" si="170"/>
        <v>3.7755732234983288E-12</v>
      </c>
      <c r="CB200" s="20">
        <f t="shared" si="171"/>
        <v>7.070009451869665E-12</v>
      </c>
      <c r="CC200" s="59">
        <f t="shared" si="195"/>
        <v>293.33333333334036</v>
      </c>
      <c r="CD200" s="59">
        <f ca="1">AVERAGE(OFFSET($CC$3,0,0,'Données projet'!$E$12+1,1))-AVERAGE(OFFSET($H$3,0,0,'Données projet'!$E$12+1,1))</f>
        <v>535.99935263833549</v>
      </c>
      <c r="CE200" s="59">
        <f t="shared" si="207"/>
        <v>245.89966477332644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62.560384569849013</v>
      </c>
      <c r="CL200" s="21">
        <f>EXP(-LN(2)/25)*CL199+(1-EXP(-LN(2)/25))/(LN(2)/25)*Calculateur!CG200*Calculateur!CI200*VLOOKUP('Données projet'!$B$12,Paramètres!$A$1:$I$89,3,0)*0.475*44/12</f>
        <v>52.930108217585811</v>
      </c>
      <c r="CM200" s="21">
        <f>EXP(-LN(2)/2)*CM199+(1-EXP(-LN(2)/2))/(LN(2)/2)*CG200*CJ200*VLOOKUP('Données projet'!$B$12,Paramètres!$A$1:$I$89,3,0)*0.475*44/12</f>
        <v>1.9244129501741332</v>
      </c>
      <c r="CN200" s="22">
        <f t="shared" si="172"/>
        <v>117.41490573760895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2.5579538487363607E-13</v>
      </c>
      <c r="CU200" s="17">
        <f>CT200*VLOOKUP('Données projet'!$B$13,Paramètres!$A$1:$I$89,3,0)*VLOOKUP('Données projet'!$B$13,Paramètres!$A$1:$I$89,5,0)</f>
        <v>2.4341488824575211E-13</v>
      </c>
      <c r="CV200" s="13">
        <f t="shared" si="173"/>
        <v>3.2970717324875541E-12</v>
      </c>
      <c r="CW200" s="20">
        <f t="shared" si="174"/>
        <v>6.1663475311105072E-12</v>
      </c>
      <c r="CX200" s="59">
        <f t="shared" si="196"/>
        <v>293.33333333333945</v>
      </c>
      <c r="CY200" s="59">
        <f ca="1">AVERAGE(OFFSET($CX$3,0,0,'Données projet'!$E$13+1,1))-AVERAGE(OFFSET($H$3,0,0,'Données projet'!$E$13+1,1))</f>
        <v>449.28947235329758</v>
      </c>
      <c r="CZ200" s="59">
        <f t="shared" si="208"/>
        <v>289.36994109443964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17.549512059279209</v>
      </c>
      <c r="DG200" s="21">
        <f>EXP(-LN(2)/25)*DG199+(1-EXP(-LN(2)/25))/(LN(2)/25)*Calculateur!DB200*Calculateur!DD200*VLOOKUP('Données projet'!$B$13,Paramètres!$A$1:$I$89,3,0)*0.475*44/12</f>
        <v>9.3942020511847577</v>
      </c>
      <c r="DH200" s="21">
        <f>EXP(-LN(2)/2)*DH199+(1-EXP(-LN(2)/2))/(LN(2)/2)*DB200*DE200*VLOOKUP('Données projet'!$B$13,Paramètres!$A$1:$I$89,3,0)*0.475*44/12</f>
        <v>2.951197091883623E-9</v>
      </c>
      <c r="DI200" s="22">
        <f t="shared" si="175"/>
        <v>26.943714113415162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5.6843418860808015E-14</v>
      </c>
      <c r="DP200" s="17">
        <f>DO200*VLOOKUP('Données projet'!$B$14,Paramètres!$A$1:$I$89,3,0)*VLOOKUP('Données projet'!$B$14,Paramètres!$A$1:$I$89,5,0)</f>
        <v>4.4337866711430253E-14</v>
      </c>
      <c r="DQ200" s="13">
        <f t="shared" si="176"/>
        <v>7.3222115536967035E-13</v>
      </c>
      <c r="DR200" s="20">
        <f t="shared" si="177"/>
        <v>1.3525069634579169E-12</v>
      </c>
      <c r="DS200" s="59">
        <f t="shared" si="197"/>
        <v>293.33333333333468</v>
      </c>
      <c r="DT200" s="59">
        <f ca="1">AVERAGE(OFFSET($DS$3,0,0,'Données projet'!$E$14+1,1))-AVERAGE(OFFSET($H$3,0,0,'Données projet'!$E$14+1,1))</f>
        <v>288.82868507674738</v>
      </c>
      <c r="DU200" s="59">
        <f t="shared" si="209"/>
        <v>283.48738729114024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3.4083518094087464</v>
      </c>
      <c r="EB200" s="21">
        <f>EXP(-LN(2)/25)*EB199+(1-EXP(-LN(2)/25))/(LN(2)/25)*Calculateur!DW200*Calculateur!DY200*VLOOKUP('Données projet'!$B$14,Paramètres!$A$1:$I$89,3,0)*0.475*44/12</f>
        <v>1.2173847371811364</v>
      </c>
      <c r="EC200" s="21">
        <f>EXP(-LN(2)/2)*EC199+(1-EXP(-LN(2)/2))/(LN(2)/2)*DW200*DZ200*VLOOKUP('Données projet'!$B$14,Paramètres!$A$1:$I$89,3,0)*0.475*44/12</f>
        <v>3.2935905334033151E-18</v>
      </c>
      <c r="ED200" s="22">
        <f t="shared" si="178"/>
        <v>4.6257365465898825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-2.8421709430404007E-13</v>
      </c>
      <c r="EK200" s="17">
        <f>EJ200*VLOOKUP('Données projet'!$B$15,Paramètres!$A$1:$I$89,3,0)*VLOOKUP('Données projet'!$B$15,Paramètres!$A$1:$I$89,5,0)</f>
        <v>-2.7489477361086758E-13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510.71380643466227</v>
      </c>
      <c r="EP200" s="59">
        <f t="shared" si="210"/>
        <v>252.40654099948841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61.055596285850463</v>
      </c>
      <c r="EW200" s="21">
        <f>EXP(-LN(2)/25)*EW199+(1-EXP(-LN(2)/25))/(LN(2)/25)*Calculateur!ER200*Calculateur!ET200*VLOOKUP('Données projet'!$B$15,Paramètres!$A$1:$I$89,3,0)*0.475*44/12</f>
        <v>52.129896023477414</v>
      </c>
      <c r="EX200" s="21">
        <f>EXP(-LN(2)/2)*EX199+(1-EXP(-LN(2)/2))/(LN(2)/2)*ER200*EU200*VLOOKUP('Données projet'!$B$15,Paramètres!$A$1:$I$89,3,0)*0.475*44/12</f>
        <v>5.2296326286574999</v>
      </c>
      <c r="EY200" s="22">
        <f t="shared" si="181"/>
        <v>118.41512493798538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2.8421709430404007E-13</v>
      </c>
      <c r="O201" s="13">
        <f>N201*VLOOKUP('Données projet'!$B$9,Paramètres!$A$1:$I$89,3,0)*VLOOKUP('Données projet'!$B$9,Paramètres!$A$1:$I$89,5,0)</f>
        <v>2.8819613362429665E-13</v>
      </c>
      <c r="P201" s="13">
        <f t="shared" si="203"/>
        <v>3.827652602141548E-12</v>
      </c>
      <c r="Q201" s="20">
        <f t="shared" si="162"/>
        <v>7.1684365481255119E-12</v>
      </c>
      <c r="R201" s="59">
        <f t="shared" si="191"/>
        <v>293.33333333334048</v>
      </c>
      <c r="S201" s="59">
        <f ca="1">AVERAGE(OFFSET($R$3,0,0,'Données projet'!$E$9+1,1))-AVERAGE(OFFSET($H$3,0,0,'Données projet'!$E$9+1,1))</f>
        <v>543.67050511722618</v>
      </c>
      <c r="T201" s="59">
        <f t="shared" si="204"/>
        <v>249.0871389941106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115.92399498557236</v>
      </c>
      <c r="AA201" s="21">
        <f>EXP(-LN(2)/25)*AA200+(1-EXP(-LN(2)/25))/(LN(2)/25)*Calculateur!V201*Calculateur!X201*VLOOKUP('Données projet'!$B$9,Paramètres!$A$1:$I$89,3,0)*0.475*44/12</f>
        <v>43.318894552451638</v>
      </c>
      <c r="AB201" s="21">
        <f>EXP(-LN(2)/2)*AB200+(1-EXP(-LN(2)/2))/(LN(2)/2)*V201*Y201*VLOOKUP('Données projet'!$B$9,Paramètres!$A$1:$I$89,3,0)*0.475*44/12</f>
        <v>6.0797556325443213E-5</v>
      </c>
      <c r="AC201" s="22">
        <f t="shared" si="163"/>
        <v>159.24295033558033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7.9580786405131221E-13</v>
      </c>
      <c r="AJ201" s="13">
        <f>AI201*VLOOKUP('Données projet'!$B$10,Paramètres!$A$1:$I$89,3,0)*VLOOKUP('Données projet'!$B$10,Paramètres!$A$1:$I$89,5,0)</f>
        <v>7.2004695539362725E-13</v>
      </c>
      <c r="AK201" s="13">
        <f t="shared" si="164"/>
        <v>8.5963894794935589E-12</v>
      </c>
      <c r="AL201" s="20">
        <f t="shared" si="165"/>
        <v>1.6226126790761848E-11</v>
      </c>
      <c r="AM201" s="59">
        <f t="shared" si="193"/>
        <v>293.33333333334951</v>
      </c>
      <c r="AN201" s="59">
        <f ca="1">AVERAGE(OFFSET($AM$3,0,0,'Données projet'!$E$10+1,1))-AVERAGE(OFFSET($H$3,0,0,'Données projet'!$E$10+1,1))</f>
        <v>635.71275911100679</v>
      </c>
      <c r="AO201" s="59">
        <f t="shared" si="205"/>
        <v>281.7776857269169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114.51888371360145</v>
      </c>
      <c r="AV201" s="21">
        <f>EXP(-LN(2)/25)*AV200+(1-EXP(-LN(2)/25))/(LN(2)/25)*Calculateur!AQ201*Calculateur!AS201*VLOOKUP('Données projet'!$B$10,Paramètres!$A$1:$I$89,3,0)*0.475*44/12</f>
        <v>16.98266528047056</v>
      </c>
      <c r="AW201" s="21">
        <f>EXP(-LN(2)/2)*AW200+(1-EXP(-LN(2)/2))/(LN(2)/2)*AQ201*AT201*VLOOKUP('Données projet'!$B$10,Paramètres!$A$1:$I$89,3,0)*0.475*44/12</f>
        <v>5.8693519112573124E-2</v>
      </c>
      <c r="AX201" s="21">
        <f t="shared" si="166"/>
        <v>131.56024251318459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204.11804238362862</v>
      </c>
      <c r="BJ201" s="59">
        <f t="shared" si="206"/>
        <v>185.53854651509408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1.0646563021722946</v>
      </c>
      <c r="BQ201" s="21">
        <f>EXP(-LN(2)/25)*BQ200+(1-EXP(-LN(2)/25))/(LN(2)/25)*Calculateur!BL201*Calculateur!BN201*VLOOKUP('Données projet'!$B$11,Paramètres!$A$1:$I$89,3,0)*0.475*44/12</f>
        <v>2.6724680134122201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3.7371243155845146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2.8421709430404007E-13</v>
      </c>
      <c r="BZ201" s="13">
        <f>BY201*VLOOKUP('Données projet'!$B$12,Paramètres!$A$1:$I$89,3,0)*VLOOKUP('Données projet'!$B$12,Paramètres!$A$1:$I$89,5,0)</f>
        <v>2.8376234695315366E-13</v>
      </c>
      <c r="CA201" s="13">
        <f t="shared" si="170"/>
        <v>3.7755732234983288E-12</v>
      </c>
      <c r="CB201" s="20">
        <f t="shared" si="171"/>
        <v>7.070009451869665E-12</v>
      </c>
      <c r="CC201" s="59">
        <f t="shared" si="195"/>
        <v>293.33333333334036</v>
      </c>
      <c r="CD201" s="59">
        <f ca="1">AVERAGE(OFFSET($CC$3,0,0,'Données projet'!$E$12+1,1))-AVERAGE(OFFSET($H$3,0,0,'Données projet'!$E$12+1,1))</f>
        <v>535.99935263833549</v>
      </c>
      <c r="CE201" s="59">
        <f t="shared" si="207"/>
        <v>245.89966477332644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61.333613586501066</v>
      </c>
      <c r="CL201" s="21">
        <f>EXP(-LN(2)/25)*CL200+(1-EXP(-LN(2)/25))/(LN(2)/25)*Calculateur!CG201*Calculateur!CI201*VLOOKUP('Données projet'!$B$12,Paramètres!$A$1:$I$89,3,0)*0.475*44/12</f>
        <v>51.482731624902506</v>
      </c>
      <c r="CM201" s="21">
        <f>EXP(-LN(2)/2)*CM200+(1-EXP(-LN(2)/2))/(LN(2)/2)*CG201*CJ201*VLOOKUP('Données projet'!$B$12,Paramètres!$A$1:$I$89,3,0)*0.475*44/12</f>
        <v>1.3607654468713393</v>
      </c>
      <c r="CN201" s="22">
        <f t="shared" si="172"/>
        <v>114.17711065827491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2.5579538487363607E-13</v>
      </c>
      <c r="CU201" s="17">
        <f>CT201*VLOOKUP('Données projet'!$B$13,Paramètres!$A$1:$I$89,3,0)*VLOOKUP('Données projet'!$B$13,Paramètres!$A$1:$I$89,5,0)</f>
        <v>2.4341488824575211E-13</v>
      </c>
      <c r="CV201" s="13">
        <f t="shared" si="173"/>
        <v>3.2970717324875541E-12</v>
      </c>
      <c r="CW201" s="20">
        <f t="shared" si="174"/>
        <v>6.1663475311105072E-12</v>
      </c>
      <c r="CX201" s="59">
        <f t="shared" si="196"/>
        <v>293.33333333333945</v>
      </c>
      <c r="CY201" s="59">
        <f ca="1">AVERAGE(OFFSET($CX$3,0,0,'Données projet'!$E$13+1,1))-AVERAGE(OFFSET($H$3,0,0,'Données projet'!$E$13+1,1))</f>
        <v>449.28947235329758</v>
      </c>
      <c r="CZ201" s="59">
        <f t="shared" si="208"/>
        <v>289.36994109443964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17.205376831942154</v>
      </c>
      <c r="DG201" s="21">
        <f>EXP(-LN(2)/25)*DG200+(1-EXP(-LN(2)/25))/(LN(2)/25)*Calculateur!DB201*Calculateur!DD201*VLOOKUP('Données projet'!$B$13,Paramètres!$A$1:$I$89,3,0)*0.475*44/12</f>
        <v>9.137317102075496</v>
      </c>
      <c r="DH201" s="21">
        <f>EXP(-LN(2)/2)*DH200+(1-EXP(-LN(2)/2))/(LN(2)/2)*DB201*DE201*VLOOKUP('Données projet'!$B$13,Paramètres!$A$1:$I$89,3,0)*0.475*44/12</f>
        <v>2.0868114762889283E-9</v>
      </c>
      <c r="DI201" s="22">
        <f t="shared" si="175"/>
        <v>26.34269393610446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5.6843418860808015E-14</v>
      </c>
      <c r="DP201" s="17">
        <f>DO201*VLOOKUP('Données projet'!$B$14,Paramètres!$A$1:$I$89,3,0)*VLOOKUP('Données projet'!$B$14,Paramètres!$A$1:$I$89,5,0)</f>
        <v>4.4337866711430253E-14</v>
      </c>
      <c r="DQ201" s="13">
        <f t="shared" si="176"/>
        <v>7.3222115536967035E-13</v>
      </c>
      <c r="DR201" s="20">
        <f t="shared" si="177"/>
        <v>1.3525069634579169E-12</v>
      </c>
      <c r="DS201" s="59">
        <f t="shared" si="197"/>
        <v>293.33333333333468</v>
      </c>
      <c r="DT201" s="59">
        <f ca="1">AVERAGE(OFFSET($DS$3,0,0,'Données projet'!$E$14+1,1))-AVERAGE(OFFSET($H$3,0,0,'Données projet'!$E$14+1,1))</f>
        <v>288.82868507674738</v>
      </c>
      <c r="DU201" s="59">
        <f t="shared" si="209"/>
        <v>283.48738729114024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3.3415161093155712</v>
      </c>
      <c r="EB201" s="21">
        <f>EXP(-LN(2)/25)*EB200+(1-EXP(-LN(2)/25))/(LN(2)/25)*Calculateur!DW201*Calculateur!DY201*VLOOKUP('Données projet'!$B$14,Paramètres!$A$1:$I$89,3,0)*0.475*44/12</f>
        <v>1.1840952875234372</v>
      </c>
      <c r="EC201" s="21">
        <f>EXP(-LN(2)/2)*EC200+(1-EXP(-LN(2)/2))/(LN(2)/2)*DW201*DZ201*VLOOKUP('Données projet'!$B$14,Paramètres!$A$1:$I$89,3,0)*0.475*44/12</f>
        <v>2.3289202006213022E-18</v>
      </c>
      <c r="ED201" s="22">
        <f t="shared" si="178"/>
        <v>4.5256113968390084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-2.8421709430404007E-13</v>
      </c>
      <c r="EK201" s="17">
        <f>EJ201*VLOOKUP('Données projet'!$B$15,Paramètres!$A$1:$I$89,3,0)*VLOOKUP('Données projet'!$B$15,Paramètres!$A$1:$I$89,5,0)</f>
        <v>-2.7489477361086758E-13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510.71380643466227</v>
      </c>
      <c r="EP201" s="59">
        <f t="shared" si="210"/>
        <v>252.40654099948841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59.8583332829215</v>
      </c>
      <c r="EW201" s="21">
        <f>EXP(-LN(2)/25)*EW200+(1-EXP(-LN(2)/25))/(LN(2)/25)*Calculateur!ER201*Calculateur!ET201*VLOOKUP('Données projet'!$B$15,Paramètres!$A$1:$I$89,3,0)*0.475*44/12</f>
        <v>50.704401275323335</v>
      </c>
      <c r="EX201" s="21">
        <f>EXP(-LN(2)/2)*EX200+(1-EXP(-LN(2)/2))/(LN(2)/2)*ER201*EU201*VLOOKUP('Données projet'!$B$15,Paramètres!$A$1:$I$89,3,0)*0.475*44/12</f>
        <v>3.6979086948381483</v>
      </c>
      <c r="EY201" s="22">
        <f t="shared" si="181"/>
        <v>114.26064325308299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2.8421709430404007E-13</v>
      </c>
      <c r="O202" s="13">
        <f>N202*VLOOKUP('Données projet'!$B$9,Paramètres!$A$1:$I$89,3,0)*VLOOKUP('Données projet'!$B$9,Paramètres!$A$1:$I$89,5,0)</f>
        <v>2.8819613362429665E-13</v>
      </c>
      <c r="P202" s="13">
        <f t="shared" si="203"/>
        <v>3.827652602141548E-12</v>
      </c>
      <c r="Q202" s="20">
        <f t="shared" si="162"/>
        <v>7.1684365481255119E-12</v>
      </c>
      <c r="R202" s="59">
        <f t="shared" si="191"/>
        <v>293.33333333334048</v>
      </c>
      <c r="S202" s="59">
        <f ca="1">AVERAGE(OFFSET($R$3,0,0,'Données projet'!$E$9+1,1))-AVERAGE(OFFSET($H$3,0,0,'Données projet'!$E$9+1,1))</f>
        <v>543.67050511722618</v>
      </c>
      <c r="T202" s="59">
        <f t="shared" si="204"/>
        <v>249.0871389941106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113.65079615056052</v>
      </c>
      <c r="AA202" s="21">
        <f>EXP(-LN(2)/25)*AA201+(1-EXP(-LN(2)/25))/(LN(2)/25)*Calculateur!V202*Calculateur!X202*VLOOKUP('Données projet'!$B$9,Paramètres!$A$1:$I$89,3,0)*0.475*44/12</f>
        <v>42.134337102873189</v>
      </c>
      <c r="AB202" s="21">
        <f>EXP(-LN(2)/2)*AB201+(1-EXP(-LN(2)/2))/(LN(2)/2)*V202*Y202*VLOOKUP('Données projet'!$B$9,Paramètres!$A$1:$I$89,3,0)*0.475*44/12</f>
        <v>4.2990364357291978E-5</v>
      </c>
      <c r="AC202" s="22">
        <f t="shared" si="163"/>
        <v>155.78517624379808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7.9580786405131221E-13</v>
      </c>
      <c r="AJ202" s="13">
        <f>AI202*VLOOKUP('Données projet'!$B$10,Paramètres!$A$1:$I$89,3,0)*VLOOKUP('Données projet'!$B$10,Paramètres!$A$1:$I$89,5,0)</f>
        <v>7.2004695539362725E-13</v>
      </c>
      <c r="AK202" s="13">
        <f t="shared" si="164"/>
        <v>8.5963894794935589E-12</v>
      </c>
      <c r="AL202" s="20">
        <f t="shared" si="165"/>
        <v>1.6226126790761848E-11</v>
      </c>
      <c r="AM202" s="59">
        <f t="shared" si="193"/>
        <v>293.33333333334951</v>
      </c>
      <c r="AN202" s="59">
        <f ca="1">AVERAGE(OFFSET($AM$3,0,0,'Données projet'!$E$10+1,1))-AVERAGE(OFFSET($H$3,0,0,'Données projet'!$E$10+1,1))</f>
        <v>635.71275911100679</v>
      </c>
      <c r="AO202" s="59">
        <f t="shared" si="205"/>
        <v>281.7776857269169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112.27323825359971</v>
      </c>
      <c r="AV202" s="21">
        <f>EXP(-LN(2)/25)*AV201+(1-EXP(-LN(2)/25))/(LN(2)/25)*Calculateur!AQ202*Calculateur!AS202*VLOOKUP('Données projet'!$B$10,Paramètres!$A$1:$I$89,3,0)*0.475*44/12</f>
        <v>16.51827340529654</v>
      </c>
      <c r="AW202" s="21">
        <f>EXP(-LN(2)/2)*AW201+(1-EXP(-LN(2)/2))/(LN(2)/2)*AQ202*AT202*VLOOKUP('Données projet'!$B$10,Paramètres!$A$1:$I$89,3,0)*0.475*44/12</f>
        <v>4.1502585376202689E-2</v>
      </c>
      <c r="AX202" s="21">
        <f t="shared" si="166"/>
        <v>128.83301424427245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204.11804238362862</v>
      </c>
      <c r="BJ202" s="59">
        <f t="shared" si="206"/>
        <v>185.53854651509408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1.0437790414629196</v>
      </c>
      <c r="BQ202" s="21">
        <f>EXP(-LN(2)/25)*BQ201+(1-EXP(-LN(2)/25))/(LN(2)/25)*Calculateur!BL202*Calculateur!BN202*VLOOKUP('Données projet'!$B$11,Paramètres!$A$1:$I$89,3,0)*0.475*44/12</f>
        <v>2.5993892350464782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3.6431682765093978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2.8421709430404007E-13</v>
      </c>
      <c r="BZ202" s="13">
        <f>BY202*VLOOKUP('Données projet'!$B$12,Paramètres!$A$1:$I$89,3,0)*VLOOKUP('Données projet'!$B$12,Paramètres!$A$1:$I$89,5,0)</f>
        <v>2.8376234695315366E-13</v>
      </c>
      <c r="CA202" s="13">
        <f t="shared" si="170"/>
        <v>3.7755732234983288E-12</v>
      </c>
      <c r="CB202" s="20">
        <f t="shared" si="171"/>
        <v>7.070009451869665E-12</v>
      </c>
      <c r="CC202" s="59">
        <f t="shared" si="195"/>
        <v>293.33333333334036</v>
      </c>
      <c r="CD202" s="59">
        <f ca="1">AVERAGE(OFFSET($CC$3,0,0,'Données projet'!$E$12+1,1))-AVERAGE(OFFSET($H$3,0,0,'Données projet'!$E$12+1,1))</f>
        <v>535.99935263833549</v>
      </c>
      <c r="CE202" s="59">
        <f t="shared" si="207"/>
        <v>245.89966477332644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60.130898833880153</v>
      </c>
      <c r="CL202" s="21">
        <f>EXP(-LN(2)/25)*CL201+(1-EXP(-LN(2)/25))/(LN(2)/25)*Calculateur!CG202*Calculateur!CI202*VLOOKUP('Données projet'!$B$12,Paramètres!$A$1:$I$89,3,0)*0.475*44/12</f>
        <v>50.074933621260357</v>
      </c>
      <c r="CM202" s="21">
        <f>EXP(-LN(2)/2)*CM201+(1-EXP(-LN(2)/2))/(LN(2)/2)*CG202*CJ202*VLOOKUP('Données projet'!$B$12,Paramètres!$A$1:$I$89,3,0)*0.475*44/12</f>
        <v>0.96220647508706669</v>
      </c>
      <c r="CN202" s="22">
        <f t="shared" si="172"/>
        <v>111.16803893022758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2.5579538487363607E-13</v>
      </c>
      <c r="CU202" s="17">
        <f>CT202*VLOOKUP('Données projet'!$B$13,Paramètres!$A$1:$I$89,3,0)*VLOOKUP('Données projet'!$B$13,Paramètres!$A$1:$I$89,5,0)</f>
        <v>2.4341488824575211E-13</v>
      </c>
      <c r="CV202" s="13">
        <f t="shared" si="173"/>
        <v>3.2970717324875541E-12</v>
      </c>
      <c r="CW202" s="20">
        <f t="shared" si="174"/>
        <v>6.1663475311105072E-12</v>
      </c>
      <c r="CX202" s="59">
        <f t="shared" si="196"/>
        <v>293.33333333333945</v>
      </c>
      <c r="CY202" s="59">
        <f ca="1">AVERAGE(OFFSET($CX$3,0,0,'Données projet'!$E$13+1,1))-AVERAGE(OFFSET($H$3,0,0,'Données projet'!$E$13+1,1))</f>
        <v>449.28947235329758</v>
      </c>
      <c r="CZ202" s="59">
        <f t="shared" si="208"/>
        <v>289.36994109443964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16.867989886511413</v>
      </c>
      <c r="DG202" s="21">
        <f>EXP(-LN(2)/25)*DG201+(1-EXP(-LN(2)/25))/(LN(2)/25)*Calculateur!DB202*Calculateur!DD202*VLOOKUP('Données projet'!$B$13,Paramètres!$A$1:$I$89,3,0)*0.475*44/12</f>
        <v>8.887456685408619</v>
      </c>
      <c r="DH202" s="21">
        <f>EXP(-LN(2)/2)*DH201+(1-EXP(-LN(2)/2))/(LN(2)/2)*DB202*DE202*VLOOKUP('Données projet'!$B$13,Paramètres!$A$1:$I$89,3,0)*0.475*44/12</f>
        <v>1.4755985459418115E-9</v>
      </c>
      <c r="DI202" s="22">
        <f t="shared" si="175"/>
        <v>25.755446573395631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5.6843418860808015E-14</v>
      </c>
      <c r="DP202" s="17">
        <f>DO202*VLOOKUP('Données projet'!$B$14,Paramètres!$A$1:$I$89,3,0)*VLOOKUP('Données projet'!$B$14,Paramètres!$A$1:$I$89,5,0)</f>
        <v>4.4337866711430253E-14</v>
      </c>
      <c r="DQ202" s="13">
        <f t="shared" si="176"/>
        <v>7.3222115536967035E-13</v>
      </c>
      <c r="DR202" s="20">
        <f t="shared" si="177"/>
        <v>1.3525069634579169E-12</v>
      </c>
      <c r="DS202" s="59">
        <f t="shared" si="197"/>
        <v>293.33333333333468</v>
      </c>
      <c r="DT202" s="59">
        <f ca="1">AVERAGE(OFFSET($DS$3,0,0,'Données projet'!$E$14+1,1))-AVERAGE(OFFSET($H$3,0,0,'Données projet'!$E$14+1,1))</f>
        <v>288.82868507674738</v>
      </c>
      <c r="DU202" s="59">
        <f t="shared" si="209"/>
        <v>283.48738729114024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3.2759910165354715</v>
      </c>
      <c r="EB202" s="21">
        <f>EXP(-LN(2)/25)*EB201+(1-EXP(-LN(2)/25))/(LN(2)/25)*Calculateur!DW202*Calculateur!DY202*VLOOKUP('Données projet'!$B$14,Paramètres!$A$1:$I$89,3,0)*0.475*44/12</f>
        <v>1.151716139617244</v>
      </c>
      <c r="EC202" s="21">
        <f>EXP(-LN(2)/2)*EC201+(1-EXP(-LN(2)/2))/(LN(2)/2)*DW202*DZ202*VLOOKUP('Données projet'!$B$14,Paramètres!$A$1:$I$89,3,0)*0.475*44/12</f>
        <v>1.6467952667016575E-18</v>
      </c>
      <c r="ED202" s="22">
        <f t="shared" si="178"/>
        <v>4.4277071561527155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-2.8421709430404007E-13</v>
      </c>
      <c r="EK202" s="17">
        <f>EJ202*VLOOKUP('Données projet'!$B$15,Paramètres!$A$1:$I$89,3,0)*VLOOKUP('Données projet'!$B$15,Paramètres!$A$1:$I$89,5,0)</f>
        <v>-2.7489477361086758E-13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510.71380643466227</v>
      </c>
      <c r="EP202" s="59">
        <f t="shared" si="210"/>
        <v>252.40654099948841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58.684547877221654</v>
      </c>
      <c r="EW202" s="21">
        <f>EXP(-LN(2)/25)*EW201+(1-EXP(-LN(2)/25))/(LN(2)/25)*Calculateur!ER202*Calculateur!ET202*VLOOKUP('Données projet'!$B$15,Paramètres!$A$1:$I$89,3,0)*0.475*44/12</f>
        <v>49.317886756021039</v>
      </c>
      <c r="EX202" s="21">
        <f>EXP(-LN(2)/2)*EX201+(1-EXP(-LN(2)/2))/(LN(2)/2)*ER202*EU202*VLOOKUP('Données projet'!$B$15,Paramètres!$A$1:$I$89,3,0)*0.475*44/12</f>
        <v>2.6148163143287504</v>
      </c>
      <c r="EY202" s="22">
        <f t="shared" si="181"/>
        <v>110.61725094757145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2.8421709430404007E-13</v>
      </c>
      <c r="O203" s="13">
        <f>N203*VLOOKUP('Données projet'!$B$9,Paramètres!$A$1:$I$89,3,0)*VLOOKUP('Données projet'!$B$9,Paramètres!$A$1:$I$89,5,0)</f>
        <v>2.8819613362429665E-13</v>
      </c>
      <c r="P203" s="13">
        <f t="shared" si="203"/>
        <v>3.827652602141548E-12</v>
      </c>
      <c r="Q203" s="20">
        <f t="shared" si="162"/>
        <v>7.1684365481255119E-12</v>
      </c>
      <c r="R203" s="59">
        <f t="shared" si="191"/>
        <v>293.33333333334048</v>
      </c>
      <c r="S203" s="59">
        <f ca="1">AVERAGE(OFFSET($R$3,0,0,'Données projet'!$E$9+1,1))-AVERAGE(OFFSET($H$3,0,0,'Données projet'!$E$9+1,1))</f>
        <v>543.67050511722618</v>
      </c>
      <c r="T203" s="59">
        <f t="shared" si="204"/>
        <v>249.0871389941106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111.42217335818889</v>
      </c>
      <c r="AA203" s="21">
        <f>EXP(-LN(2)/25)*AA202+(1-EXP(-LN(2)/25))/(LN(2)/25)*Calculateur!V203*Calculateur!X203*VLOOKUP('Données projet'!$B$9,Paramètres!$A$1:$I$89,3,0)*0.475*44/12</f>
        <v>40.982171439046631</v>
      </c>
      <c r="AB203" s="21">
        <f>EXP(-LN(2)/2)*AB202+(1-EXP(-LN(2)/2))/(LN(2)/2)*V203*Y203*VLOOKUP('Données projet'!$B$9,Paramètres!$A$1:$I$89,3,0)*0.475*44/12</f>
        <v>3.0398778162721613E-5</v>
      </c>
      <c r="AC203" s="22">
        <f t="shared" si="163"/>
        <v>152.40437519601369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7.9580786405131221E-13</v>
      </c>
      <c r="AJ203" s="13">
        <f>AI203*VLOOKUP('Données projet'!$B$10,Paramètres!$A$1:$I$89,3,0)*VLOOKUP('Données projet'!$B$10,Paramètres!$A$1:$I$89,5,0)</f>
        <v>7.2004695539362725E-13</v>
      </c>
      <c r="AK203" s="13">
        <f t="shared" si="164"/>
        <v>8.5963894794935589E-12</v>
      </c>
      <c r="AL203" s="20">
        <f t="shared" si="165"/>
        <v>1.6226126790761848E-11</v>
      </c>
      <c r="AM203" s="59">
        <f t="shared" si="193"/>
        <v>293.33333333334951</v>
      </c>
      <c r="AN203" s="59">
        <f ca="1">AVERAGE(OFFSET($AM$3,0,0,'Données projet'!$E$10+1,1))-AVERAGE(OFFSET($H$3,0,0,'Données projet'!$E$10+1,1))</f>
        <v>635.71275911100679</v>
      </c>
      <c r="AO203" s="59">
        <f t="shared" si="205"/>
        <v>281.7776857269169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110.07162853136013</v>
      </c>
      <c r="AV203" s="21">
        <f>EXP(-LN(2)/25)*AV202+(1-EXP(-LN(2)/25))/(LN(2)/25)*Calculateur!AQ203*Calculateur!AS203*VLOOKUP('Données projet'!$B$10,Paramètres!$A$1:$I$89,3,0)*0.475*44/12</f>
        <v>16.066580350370462</v>
      </c>
      <c r="AW203" s="21">
        <f>EXP(-LN(2)/2)*AW202+(1-EXP(-LN(2)/2))/(LN(2)/2)*AQ203*AT203*VLOOKUP('Données projet'!$B$10,Paramètres!$A$1:$I$89,3,0)*0.475*44/12</f>
        <v>2.9346759556286562E-2</v>
      </c>
      <c r="AX203" s="21">
        <f t="shared" si="166"/>
        <v>126.16755564128688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204.11804238362862</v>
      </c>
      <c r="BJ203" s="59">
        <f t="shared" si="206"/>
        <v>185.53854651509408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1.0233111711021838</v>
      </c>
      <c r="BQ203" s="21">
        <f>EXP(-LN(2)/25)*BQ202+(1-EXP(-LN(2)/25))/(LN(2)/25)*Calculateur!BL203*Calculateur!BN203*VLOOKUP('Données projet'!$B$11,Paramètres!$A$1:$I$89,3,0)*0.475*44/12</f>
        <v>2.5283087997181934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3.5516199708203775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2.8421709430404007E-13</v>
      </c>
      <c r="BZ203" s="13">
        <f>BY203*VLOOKUP('Données projet'!$B$12,Paramètres!$A$1:$I$89,3,0)*VLOOKUP('Données projet'!$B$12,Paramètres!$A$1:$I$89,5,0)</f>
        <v>2.8376234695315366E-13</v>
      </c>
      <c r="CA203" s="13">
        <f t="shared" si="170"/>
        <v>3.7755732234983288E-12</v>
      </c>
      <c r="CB203" s="20">
        <f t="shared" si="171"/>
        <v>7.070009451869665E-12</v>
      </c>
      <c r="CC203" s="59">
        <f t="shared" si="195"/>
        <v>293.33333333334036</v>
      </c>
      <c r="CD203" s="59">
        <f ca="1">AVERAGE(OFFSET($CC$3,0,0,'Données projet'!$E$12+1,1))-AVERAGE(OFFSET($H$3,0,0,'Données projet'!$E$12+1,1))</f>
        <v>535.99935263833549</v>
      </c>
      <c r="CE203" s="59">
        <f t="shared" si="207"/>
        <v>245.89966477332644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58.951768583974577</v>
      </c>
      <c r="CL203" s="21">
        <f>EXP(-LN(2)/25)*CL202+(1-EXP(-LN(2)/25))/(LN(2)/25)*Calculateur!CG203*Calculateur!CI203*VLOOKUP('Données projet'!$B$12,Paramètres!$A$1:$I$89,3,0)*0.475*44/12</f>
        <v>48.705631928060683</v>
      </c>
      <c r="CM203" s="21">
        <f>EXP(-LN(2)/2)*CM202+(1-EXP(-LN(2)/2))/(LN(2)/2)*CG203*CJ203*VLOOKUP('Données projet'!$B$12,Paramètres!$A$1:$I$89,3,0)*0.475*44/12</f>
        <v>0.68038272343566975</v>
      </c>
      <c r="CN203" s="22">
        <f t="shared" si="172"/>
        <v>108.33778323547092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2.5579538487363607E-13</v>
      </c>
      <c r="CU203" s="17">
        <f>CT203*VLOOKUP('Données projet'!$B$13,Paramètres!$A$1:$I$89,3,0)*VLOOKUP('Données projet'!$B$13,Paramètres!$A$1:$I$89,5,0)</f>
        <v>2.4341488824575211E-13</v>
      </c>
      <c r="CV203" s="13">
        <f t="shared" si="173"/>
        <v>3.2970717324875541E-12</v>
      </c>
      <c r="CW203" s="20">
        <f t="shared" si="174"/>
        <v>6.1663475311105072E-12</v>
      </c>
      <c r="CX203" s="59">
        <f t="shared" si="196"/>
        <v>293.33333333333945</v>
      </c>
      <c r="CY203" s="59">
        <f ca="1">AVERAGE(OFFSET($CX$3,0,0,'Données projet'!$E$13+1,1))-AVERAGE(OFFSET($H$3,0,0,'Données projet'!$E$13+1,1))</f>
        <v>449.28947235329758</v>
      </c>
      <c r="CZ203" s="59">
        <f t="shared" si="208"/>
        <v>289.36994109443964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16.537218893294856</v>
      </c>
      <c r="DG203" s="21">
        <f>EXP(-LN(2)/25)*DG202+(1-EXP(-LN(2)/25))/(LN(2)/25)*Calculateur!DB203*Calculateur!DD203*VLOOKUP('Données projet'!$B$13,Paramètres!$A$1:$I$89,3,0)*0.475*44/12</f>
        <v>8.6444287149750849</v>
      </c>
      <c r="DH203" s="21">
        <f>EXP(-LN(2)/2)*DH202+(1-EXP(-LN(2)/2))/(LN(2)/2)*DB203*DE203*VLOOKUP('Données projet'!$B$13,Paramètres!$A$1:$I$89,3,0)*0.475*44/12</f>
        <v>1.0434057381444642E-9</v>
      </c>
      <c r="DI203" s="22">
        <f t="shared" si="175"/>
        <v>25.181647609313348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5.6843418860808015E-14</v>
      </c>
      <c r="DP203" s="17">
        <f>DO203*VLOOKUP('Données projet'!$B$14,Paramètres!$A$1:$I$89,3,0)*VLOOKUP('Données projet'!$B$14,Paramètres!$A$1:$I$89,5,0)</f>
        <v>4.4337866711430253E-14</v>
      </c>
      <c r="DQ203" s="13">
        <f t="shared" si="176"/>
        <v>7.3222115536967035E-13</v>
      </c>
      <c r="DR203" s="20">
        <f t="shared" si="177"/>
        <v>1.3525069634579169E-12</v>
      </c>
      <c r="DS203" s="59">
        <f t="shared" si="197"/>
        <v>293.33333333333468</v>
      </c>
      <c r="DT203" s="59">
        <f ca="1">AVERAGE(OFFSET($DS$3,0,0,'Données projet'!$E$14+1,1))-AVERAGE(OFFSET($H$3,0,0,'Données projet'!$E$14+1,1))</f>
        <v>288.82868507674738</v>
      </c>
      <c r="DU203" s="59">
        <f t="shared" si="209"/>
        <v>283.48738729114024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3.2117508308584295</v>
      </c>
      <c r="EB203" s="21">
        <f>EXP(-LN(2)/25)*EB202+(1-EXP(-LN(2)/25))/(LN(2)/25)*Calculateur!DW203*Calculateur!DY203*VLOOKUP('Données projet'!$B$14,Paramètres!$A$1:$I$89,3,0)*0.475*44/12</f>
        <v>1.1202224012132909</v>
      </c>
      <c r="EC203" s="21">
        <f>EXP(-LN(2)/2)*EC202+(1-EXP(-LN(2)/2))/(LN(2)/2)*DW203*DZ203*VLOOKUP('Données projet'!$B$14,Paramètres!$A$1:$I$89,3,0)*0.475*44/12</f>
        <v>1.1644601003106511E-18</v>
      </c>
      <c r="ED203" s="22">
        <f t="shared" si="178"/>
        <v>4.3319732320717206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-2.8421709430404007E-13</v>
      </c>
      <c r="EK203" s="17">
        <f>EJ203*VLOOKUP('Données projet'!$B$15,Paramètres!$A$1:$I$89,3,0)*VLOOKUP('Données projet'!$B$15,Paramètres!$A$1:$I$89,5,0)</f>
        <v>-2.7489477361086758E-13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510.71380643466227</v>
      </c>
      <c r="EP203" s="59">
        <f t="shared" si="210"/>
        <v>252.40654099948841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57.533779687389178</v>
      </c>
      <c r="EW203" s="21">
        <f>EXP(-LN(2)/25)*EW202+(1-EXP(-LN(2)/25))/(LN(2)/25)*Calculateur!ER203*Calculateur!ET203*VLOOKUP('Données projet'!$B$15,Paramètres!$A$1:$I$89,3,0)*0.475*44/12</f>
        <v>47.969286549162696</v>
      </c>
      <c r="EX203" s="21">
        <f>EXP(-LN(2)/2)*EX202+(1-EXP(-LN(2)/2))/(LN(2)/2)*ER203*EU203*VLOOKUP('Données projet'!$B$15,Paramètres!$A$1:$I$89,3,0)*0.475*44/12</f>
        <v>1.8489543474190746</v>
      </c>
      <c r="EY203" s="22">
        <f t="shared" si="181"/>
        <v>107.35202058397095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1.1122249243210514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1.1303799945549604</v>
      </c>
      <c r="BA205" s="82">
        <f>EXP(LN('Données projet'!B88)/'Données projet'!A88)</f>
        <v>1.2226994946602114</v>
      </c>
      <c r="BV205" s="82">
        <f>EXP(LN('Données projet'!B114)/'Données projet'!A114)</f>
        <v>1.1122249243210514</v>
      </c>
      <c r="CQ205" s="82">
        <f>EXP(LN('Données projet'!B140)/'Données projet'!A140)</f>
        <v>1.141469227569226</v>
      </c>
      <c r="DL205" s="82">
        <f>EXP(LN('Données projet'!B166)/'Données projet'!A166)</f>
        <v>1.2788040393997409</v>
      </c>
      <c r="EG205" s="82">
        <f>EXP(LN('Données projet'!B192)/'Données projet'!A192)</f>
        <v>1.0924684246274448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3125" style="4" bestFit="1" customWidth="1"/>
    <col min="3" max="3" width="11.86328125" style="4" bestFit="1" customWidth="1"/>
    <col min="4" max="4" width="40" style="4" bestFit="1" customWidth="1"/>
    <col min="5" max="5" width="11.86328125" style="4" bestFit="1" customWidth="1"/>
    <col min="6" max="6" width="13.53125" style="4" bestFit="1" customWidth="1"/>
    <col min="7" max="7" width="11.46484375" style="4" bestFit="1" customWidth="1"/>
    <col min="8" max="8" width="39" style="4" bestFit="1" customWidth="1"/>
    <col min="9" max="9" width="16.531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J15" sqref="J9:J15"/>
    </sheetView>
  </sheetViews>
  <sheetFormatPr baseColWidth="10" defaultColWidth="11.46484375" defaultRowHeight="14.25" x14ac:dyDescent="0.45"/>
  <cols>
    <col min="1" max="1" width="22.8632812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Chêne pubescent</v>
      </c>
      <c r="B6" s="146">
        <f>'Données projet'!D9</f>
        <v>2.2239</v>
      </c>
      <c r="C6" s="147">
        <f ca="1">IF(OR('Données projet'!B9="",'Données projet'!C9="",'Données projet'!C9=0%),0,Calculateur!S3)</f>
        <v>543.67050511722618</v>
      </c>
      <c r="D6" s="147">
        <f>IF(OR('Données projet'!B9="",'Données projet'!C9="",'Données projet'!C9=0%),0,Calculateur!T3)</f>
        <v>249.0871389941106</v>
      </c>
      <c r="E6" s="147">
        <f ca="1">MIN(C6,D6)</f>
        <v>249.0871389941106</v>
      </c>
      <c r="F6" s="147">
        <f ca="1">E6*B6</f>
        <v>553.9448884090026</v>
      </c>
      <c r="G6" s="147">
        <f ca="1">F6*(100%-'Données projet'!$C$24)*(100%-'Données projet'!$C$25)*(100%-'Données projet'!$C$26)*(100%-'Données projet'!$C$27)</f>
        <v>498.55039956810236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498.55039956810236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Chêne sessile</v>
      </c>
      <c r="B7" s="154">
        <f>'Données projet'!D10</f>
        <v>2.2239</v>
      </c>
      <c r="C7" s="147">
        <f ca="1">IF(OR('Données projet'!B10="",'Données projet'!C10="",'Données projet'!C10=0%),0,Calculateur!AN3)</f>
        <v>635.71275911100679</v>
      </c>
      <c r="D7" s="147">
        <f>IF(OR('Données projet'!B10="",'Données projet'!C10="",'Données projet'!C10=0%),0,Calculateur!AO3)</f>
        <v>281.7776857269169</v>
      </c>
      <c r="E7" s="147">
        <f t="shared" ref="E7:E15" ca="1" si="0">MIN(C7,D7)</f>
        <v>281.7776857269169</v>
      </c>
      <c r="F7" s="147">
        <f t="shared" ref="F7:F15" ca="1" si="1">E7*B7</f>
        <v>626.64539528809053</v>
      </c>
      <c r="G7" s="147">
        <f ca="1">F7*(100%-'Données projet'!$C$24)*(100%-'Données projet'!$C$25)*(100%-'Données projet'!$C$26)*(100%-'Données projet'!$C$27)</f>
        <v>563.98085575928144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563.98085575928144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Chêne rouge d'Amérique</v>
      </c>
      <c r="B8" s="154">
        <f>'Données projet'!D11</f>
        <v>0.52949999999999997</v>
      </c>
      <c r="C8" s="147">
        <f ca="1">IF(OR('Données projet'!B11="",'Données projet'!C11="",'Données projet'!C11=0%),0,Calculateur!BI3)</f>
        <v>204.11804238362862</v>
      </c>
      <c r="D8" s="147">
        <f>IF(OR('Données projet'!B11="",'Données projet'!C11="",'Données projet'!C11=0%),0,Calculateur!BJ3)</f>
        <v>185.53854651509408</v>
      </c>
      <c r="E8" s="147">
        <f t="shared" ca="1" si="0"/>
        <v>185.53854651509408</v>
      </c>
      <c r="F8" s="147">
        <f t="shared" ca="1" si="1"/>
        <v>98.242660379742318</v>
      </c>
      <c r="G8" s="147">
        <f ca="1">F8*(100%-'Données projet'!$C$24)*(100%-'Données projet'!$C$25)*(100%-'Données projet'!$C$26)*(100%-'Données projet'!$C$27)</f>
        <v>88.418394341768092</v>
      </c>
      <c r="H8" s="155">
        <f>IF(OR('Données projet'!B11="",'Données projet'!C11="",'Données projet'!C11=0%),0,AVERAGE(Calculateur!$BS$3:$BS$33)*B8)</f>
        <v>0.91769313711807021</v>
      </c>
      <c r="I8" s="149">
        <f>H8*(100%-'Données projet'!$C$24)*(100%-'Données projet'!$C$25)*(100%-'Données projet'!$C$26)*(100%-'Données projet'!$C$27)</f>
        <v>0.82592382340626325</v>
      </c>
      <c r="J8" s="150">
        <f>IF(OR('Données projet'!B11="",'Données projet'!C11="",'Données projet'!C11=0%),0,SUM(Calculateur!$BL$3:$BL$33)*VLOOKUP('Données projet'!$B$11,Paramètres!$A$1:$I$89,9,0)*B8)</f>
        <v>5.770192307692307</v>
      </c>
      <c r="K8" s="151">
        <f>J8*(100%-'Données projet'!$C$24)*(100%-'Données projet'!$C$25)*(100%-'Données projet'!$C$26)*(100%-'Données projet'!$C$27)</f>
        <v>5.1931730769230766</v>
      </c>
      <c r="L8" s="152">
        <f t="shared" ca="1" si="2"/>
        <v>94.437491242097423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>Chêne tauzin</v>
      </c>
      <c r="B9" s="154">
        <f>'Données projet'!D12</f>
        <v>0.52949999999999997</v>
      </c>
      <c r="C9" s="147">
        <f ca="1">IF(OR('Données projet'!B12="",'Données projet'!C12="",'Données projet'!C12=0%),0,Calculateur!CD3)</f>
        <v>535.99935263833549</v>
      </c>
      <c r="D9" s="147">
        <f>IF(OR('Données projet'!B12="",'Données projet'!C12="",'Données projet'!C12=0%),0,Calculateur!CE3)</f>
        <v>245.89966477332644</v>
      </c>
      <c r="E9" s="147">
        <f t="shared" ca="1" si="0"/>
        <v>245.89966477332644</v>
      </c>
      <c r="F9" s="147">
        <f t="shared" ca="1" si="1"/>
        <v>130.20387249747634</v>
      </c>
      <c r="G9" s="147">
        <f ca="1">F9*(100%-'Données projet'!$C$24)*(100%-'Données projet'!$C$25)*(100%-'Données projet'!$C$26)*(100%-'Données projet'!$C$27)</f>
        <v>117.18348524772871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117.18348524772871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>Charme</v>
      </c>
      <c r="B10" s="154">
        <f>'Données projet'!D13</f>
        <v>4.4478</v>
      </c>
      <c r="C10" s="147">
        <f ca="1">IF(OR('Données projet'!B13="",'Données projet'!C13="",'Données projet'!C13=0%),0,Calculateur!CY3)</f>
        <v>449.28947235329758</v>
      </c>
      <c r="D10" s="147">
        <f>IF(OR('Données projet'!B13="",'Données projet'!C13="",'Données projet'!C13=0%),0,Calculateur!CZ3)</f>
        <v>289.36994109443964</v>
      </c>
      <c r="E10" s="147">
        <f t="shared" ca="1" si="0"/>
        <v>289.36994109443964</v>
      </c>
      <c r="F10" s="147">
        <f t="shared" ca="1" si="1"/>
        <v>1287.0596239998486</v>
      </c>
      <c r="G10" s="147">
        <f ca="1">F10*(100%-'Données projet'!$C$24)*(100%-'Données projet'!$C$25)*(100%-'Données projet'!$C$26)*(100%-'Données projet'!$C$27)</f>
        <v>1158.3536615998637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1158.3536615998637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>Merisier</v>
      </c>
      <c r="B11" s="154">
        <f>'Données projet'!D14</f>
        <v>0.31769999999999998</v>
      </c>
      <c r="C11" s="147">
        <f ca="1">IF(OR('Données projet'!B14="",'Données projet'!C14="",'Données projet'!C14=0%),0,Calculateur!DT3)</f>
        <v>288.82868507674738</v>
      </c>
      <c r="D11" s="147">
        <f>IF(OR('Données projet'!B14="",'Données projet'!C14="",'Données projet'!C14=0%),0,Calculateur!DU3)</f>
        <v>283.48738729114024</v>
      </c>
      <c r="E11" s="147">
        <f t="shared" ca="1" si="0"/>
        <v>283.48738729114024</v>
      </c>
      <c r="F11" s="147">
        <f t="shared" ca="1" si="1"/>
        <v>90.063942942395244</v>
      </c>
      <c r="G11" s="147">
        <f ca="1">F11*(100%-'Données projet'!$C$24)*(100%-'Données projet'!$C$25)*(100%-'Données projet'!$C$26)*(100%-'Données projet'!$C$27)</f>
        <v>81.057548648155716</v>
      </c>
      <c r="H11" s="155">
        <f>IF(OR('Données projet'!B14="",'Données projet'!C14="",'Données projet'!C14=0%),0,AVERAGE(Calculateur!$ED$3:$ED$33)*B11)</f>
        <v>0.73649224809211877</v>
      </c>
      <c r="I11" s="149">
        <f>H11*(100%-'Données projet'!$C$24)*(100%-'Données projet'!$C$25)*(100%-'Données projet'!$C$26)*(100%-'Données projet'!$C$27)</f>
        <v>0.6628430232829069</v>
      </c>
      <c r="J11" s="150">
        <f>IF(OR('Données projet'!B14="",'Données projet'!C14="",'Données projet'!C14=0%),0,SUM(Calculateur!$DW$3:$DW$33)*VLOOKUP('Données projet'!$B$14,Paramètres!$A$1:$I$89,9,0)*B11)</f>
        <v>4.3683749999999995</v>
      </c>
      <c r="K11" s="151">
        <f>J11*(100%-'Données projet'!$C$24)*(100%-'Données projet'!$C$25)*(100%-'Données projet'!$C$26)*(100%-'Données projet'!$C$27)</f>
        <v>3.9315374999999997</v>
      </c>
      <c r="L11" s="152">
        <f t="shared" ca="1" si="2"/>
        <v>85.651929171438624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>Alisier torminal</v>
      </c>
      <c r="B12" s="154">
        <f>'Données projet'!D15</f>
        <v>0.31769999999999998</v>
      </c>
      <c r="C12" s="147">
        <f ca="1">IF(OR('Données projet'!B15="",'Données projet'!C15="",'Données projet'!C15=0%),0,Calculateur!EO3)</f>
        <v>510.71380643466227</v>
      </c>
      <c r="D12" s="147">
        <f>IF(OR('Données projet'!B15="",'Données projet'!C15="",'Données projet'!C15=0%),0,Calculateur!EP3)</f>
        <v>252.40654099948841</v>
      </c>
      <c r="E12" s="147">
        <f t="shared" ca="1" si="0"/>
        <v>252.40654099948841</v>
      </c>
      <c r="F12" s="147">
        <f t="shared" ca="1" si="1"/>
        <v>80.189558075537462</v>
      </c>
      <c r="G12" s="147">
        <f ca="1">F12*(100%-'Données projet'!$C$24)*(100%-'Données projet'!$C$25)*(100%-'Données projet'!$C$26)*(100%-'Données projet'!$C$27)</f>
        <v>72.170602267983725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72.170602267983725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2866.3499415920937</v>
      </c>
      <c r="G16" s="166">
        <f t="shared" ca="1" si="3"/>
        <v>2579.7149474328835</v>
      </c>
      <c r="H16" s="167">
        <f t="shared" si="3"/>
        <v>1.6541853852101891</v>
      </c>
      <c r="I16" s="167">
        <f t="shared" si="3"/>
        <v>1.4887668466891701</v>
      </c>
      <c r="J16" s="168">
        <f t="shared" si="3"/>
        <v>10.138567307692306</v>
      </c>
      <c r="K16" s="168">
        <f t="shared" si="3"/>
        <v>9.1247105769230767</v>
      </c>
      <c r="L16" s="169">
        <f t="shared" ca="1" si="3"/>
        <v>2590.328424856496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Chêne pubescent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Chêne rouge d'Amérique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>Chêne tauzin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>Charme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>Merisier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>Alisier torminal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J8" zoomScale="80" zoomScaleNormal="80" workbookViewId="0">
      <selection activeCell="R24" sqref="R24"/>
    </sheetView>
  </sheetViews>
  <sheetFormatPr baseColWidth="10" defaultColWidth="11.46484375" defaultRowHeight="14.25" x14ac:dyDescent="0.45"/>
  <cols>
    <col min="1" max="1" width="11.46484375" style="1"/>
    <col min="2" max="2" width="30.86328125" style="1" bestFit="1" customWidth="1"/>
    <col min="3" max="3" width="18.1328125" style="1" bestFit="1" customWidth="1"/>
    <col min="4" max="5" width="11.46484375" style="1"/>
    <col min="6" max="6" width="14" style="1" customWidth="1"/>
    <col min="7" max="7" width="17.53125" style="1" customWidth="1"/>
    <col min="8" max="8" width="21.53125" style="1" customWidth="1"/>
    <col min="9" max="9" width="37" style="1" customWidth="1"/>
    <col min="10" max="10" width="11.46484375" style="1"/>
    <col min="11" max="11" width="8.8632812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1328125" style="1" customWidth="1"/>
    <col min="21" max="21" width="16.46484375" style="1" customWidth="1"/>
    <col min="22" max="22" width="17.8632812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59" t="s">
        <v>315</v>
      </c>
      <c r="I4" s="259"/>
      <c r="K4" s="301" t="s">
        <v>253</v>
      </c>
      <c r="L4" s="30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3" t="s">
        <v>310</v>
      </c>
      <c r="S7" s="294"/>
      <c r="T7" s="294"/>
      <c r="U7" s="294"/>
      <c r="V7" s="29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pubescent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317.14671533246707</v>
      </c>
      <c r="U10" s="178">
        <f>'Données projet'!D9</f>
        <v>2.2239</v>
      </c>
      <c r="V10" s="177">
        <f>U10*T10</f>
        <v>705.30258022787348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657.97702887289779</v>
      </c>
      <c r="U11" s="178">
        <f>'Données projet'!D10</f>
        <v>2.2239</v>
      </c>
      <c r="V11" s="177">
        <f t="shared" ref="V11" si="0">U11*T11</f>
        <v>1463.2751145104373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rouge d'Amérique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319.85477693695907</v>
      </c>
      <c r="U12" s="178">
        <f>'Données projet'!D11</f>
        <v>0.52949999999999997</v>
      </c>
      <c r="V12" s="177">
        <f t="shared" ref="V12:V19" si="1">U12*T12</f>
        <v>169.36310438811981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tauzin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221.54753885448383</v>
      </c>
      <c r="U13" s="178">
        <f>'Données projet'!D12</f>
        <v>0.52949999999999997</v>
      </c>
      <c r="V13" s="177">
        <f t="shared" si="1"/>
        <v>117.30942182344918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Chêne pubescent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Charme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587.02998228720696</v>
      </c>
      <c r="U14" s="178">
        <f>'Données projet'!D13</f>
        <v>4.4478</v>
      </c>
      <c r="V14" s="177">
        <f t="shared" si="1"/>
        <v>2610.991955217039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304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Merisier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1035.7293063785191</v>
      </c>
      <c r="U15" s="178">
        <f>'Données projet'!D14</f>
        <v>0.31769999999999998</v>
      </c>
      <c r="V15" s="177">
        <f t="shared" si="1"/>
        <v>329.05120063645552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4"/>
      <c r="H16" s="190"/>
      <c r="I16" s="191"/>
      <c r="J16" s="202"/>
      <c r="K16" s="208"/>
      <c r="L16" s="301" t="s">
        <v>254</v>
      </c>
      <c r="M16" s="302"/>
      <c r="N16" s="2"/>
      <c r="O16" s="23"/>
      <c r="P16" s="23"/>
      <c r="Q16" s="234"/>
      <c r="R16" s="23"/>
      <c r="S16" s="36" t="str">
        <f>B200</f>
        <v>Alisier torminal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150.21663798519361</v>
      </c>
      <c r="U16" s="178">
        <f>'Données projet'!D15</f>
        <v>0.31769999999999998</v>
      </c>
      <c r="V16" s="177">
        <f t="shared" si="1"/>
        <v>47.723825887896005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4"/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4"/>
      <c r="J18" s="202"/>
      <c r="K18" s="208"/>
      <c r="L18" s="261" t="s">
        <v>255</v>
      </c>
      <c r="M18" s="263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4"/>
      <c r="H19" s="212" t="s">
        <v>178</v>
      </c>
      <c r="I19" s="212" t="s">
        <v>287</v>
      </c>
      <c r="J19" s="93"/>
      <c r="K19" s="173"/>
      <c r="L19" s="301" t="s">
        <v>288</v>
      </c>
      <c r="M19" s="302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4"/>
      <c r="H20" s="190">
        <v>1</v>
      </c>
      <c r="I20" s="191">
        <f>56237.5/'Données projet'!C5+500</f>
        <v>5810.4343720491033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49500/4/'Données projet'!C$5</f>
        <v>1168.5552407932012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49500/4/'Données projet'!C$5</f>
        <v>1168.5552407932012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47</v>
      </c>
      <c r="B23" s="181">
        <f>'Données projet'!D36</f>
        <v>54.050000000000011</v>
      </c>
      <c r="C23" s="193">
        <v>14.625000000000002</v>
      </c>
      <c r="D23" s="182">
        <f>B23*C23</f>
        <v>790.48125000000027</v>
      </c>
      <c r="E23" s="193">
        <v>60</v>
      </c>
      <c r="F23" s="230"/>
      <c r="H23" s="190">
        <v>4</v>
      </c>
      <c r="I23" s="191">
        <f>49500/4/'Données projet'!C$5</f>
        <v>1168.5552407932012</v>
      </c>
      <c r="K23" s="208"/>
      <c r="L23" s="303" t="s">
        <v>260</v>
      </c>
      <c r="M23" s="303"/>
      <c r="N23" s="303"/>
      <c r="O23" s="23"/>
      <c r="P23" s="23"/>
      <c r="Q23" s="234"/>
      <c r="R23" s="23"/>
      <c r="S23" s="36" t="s">
        <v>264</v>
      </c>
      <c r="T23" s="29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-95923.614866080054</v>
      </c>
      <c r="U23" s="298"/>
      <c r="V23" s="29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55</v>
      </c>
      <c r="B24" s="181">
        <f>'Données projet'!D37</f>
        <v>37.430000000000007</v>
      </c>
      <c r="C24" s="193">
        <v>14.625000000000002</v>
      </c>
      <c r="D24" s="182">
        <f t="shared" ref="D24:D42" si="2">B24*C24</f>
        <v>547.41375000000016</v>
      </c>
      <c r="E24" s="193">
        <v>60</v>
      </c>
      <c r="F24" s="233"/>
      <c r="H24" s="190">
        <v>5</v>
      </c>
      <c r="I24" s="191">
        <f>49500/4/'Données projet'!C$5</f>
        <v>1168.5552407932012</v>
      </c>
      <c r="J24" s="257"/>
      <c r="K24" s="208"/>
      <c r="O24" s="23"/>
      <c r="P24" s="23"/>
      <c r="Q24" s="234"/>
      <c r="R24" s="23"/>
      <c r="S24" s="36" t="s">
        <v>261</v>
      </c>
      <c r="T24" s="299">
        <f ca="1">'Scénario référence'!$B$8*$M$30*'Données projet'!$C$5+('Scénario référence'!B9+'Scénario référence'!B10+'Scénario référence'!F8+'Scénario référence'!F9)*$N$19/(1+M4)^N16*'Données projet'!$C$5</f>
        <v>28156.107733603934</v>
      </c>
      <c r="U24" s="299"/>
      <c r="V24" s="29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63</v>
      </c>
      <c r="B25" s="181">
        <f>'Données projet'!D38</f>
        <v>35.169999999999987</v>
      </c>
      <c r="C25" s="193">
        <v>14.625000000000002</v>
      </c>
      <c r="D25" s="182">
        <f t="shared" si="2"/>
        <v>514.36124999999993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120</v>
      </c>
      <c r="Q25" s="234"/>
      <c r="R25" s="23"/>
      <c r="S25" s="186" t="s">
        <v>266</v>
      </c>
      <c r="T25" s="300">
        <f ca="1">T23-T24</f>
        <v>-124079.72259968398</v>
      </c>
      <c r="U25" s="300"/>
      <c r="V25" s="30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73</v>
      </c>
      <c r="B26" s="181">
        <f>'Données projet'!D39</f>
        <v>36.890000000000015</v>
      </c>
      <c r="C26" s="193">
        <v>14.625000000000002</v>
      </c>
      <c r="D26" s="182">
        <f t="shared" si="2"/>
        <v>539.51625000000024</v>
      </c>
      <c r="E26" s="193">
        <v>60</v>
      </c>
      <c r="F26" s="233"/>
      <c r="G26" s="229"/>
      <c r="H26" s="190"/>
      <c r="I26" s="191"/>
      <c r="K26" s="208"/>
      <c r="L26" s="287" t="s">
        <v>258</v>
      </c>
      <c r="M26" s="288"/>
      <c r="N26" s="288"/>
      <c r="O26" s="288"/>
      <c r="P26" s="289"/>
      <c r="Q26" s="234"/>
      <c r="R26" s="23"/>
      <c r="S26" s="186" t="s">
        <v>265</v>
      </c>
      <c r="T26" s="297" t="str">
        <f ca="1">IF(T25&lt;0,"Votre projet est additionnel","Votre projet n'est pas additionnel")</f>
        <v>Votre projet est additionnel</v>
      </c>
      <c r="U26" s="297"/>
      <c r="V26" s="29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83</v>
      </c>
      <c r="B27" s="181">
        <f>'Données projet'!D40</f>
        <v>40.069999999999993</v>
      </c>
      <c r="C27" s="193">
        <v>14.625000000000002</v>
      </c>
      <c r="D27" s="182">
        <f t="shared" si="2"/>
        <v>586.02374999999995</v>
      </c>
      <c r="E27" s="193">
        <v>60</v>
      </c>
      <c r="F27" s="233"/>
      <c r="G27" s="229"/>
      <c r="H27" s="190"/>
      <c r="I27" s="191"/>
      <c r="K27" s="208"/>
      <c r="L27" s="290"/>
      <c r="M27" s="291"/>
      <c r="N27" s="291"/>
      <c r="O27" s="291"/>
      <c r="P27" s="292"/>
      <c r="Q27" s="234"/>
      <c r="R27" s="23"/>
      <c r="S27" s="296" t="s">
        <v>267</v>
      </c>
      <c r="T27" s="296"/>
      <c r="U27" s="296"/>
      <c r="V27" s="29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93</v>
      </c>
      <c r="B28" s="181">
        <f>'Données projet'!D41</f>
        <v>43.449999999999989</v>
      </c>
      <c r="C28" s="193">
        <v>47.069099999999999</v>
      </c>
      <c r="D28" s="182">
        <f t="shared" si="2"/>
        <v>2045.1523949999994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103</v>
      </c>
      <c r="B29" s="181">
        <f>'Données projet'!D42</f>
        <v>48.569999999999993</v>
      </c>
      <c r="C29" s="193">
        <v>47.069099999999999</v>
      </c>
      <c r="D29" s="182">
        <f t="shared" si="2"/>
        <v>2286.1461869999998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113</v>
      </c>
      <c r="B30" s="181">
        <f>'Données projet'!D43</f>
        <v>47.019999999999982</v>
      </c>
      <c r="C30" s="193">
        <v>47.069099999999999</v>
      </c>
      <c r="D30" s="182">
        <f t="shared" si="2"/>
        <v>2213.189081999999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2658.7448284800694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125</v>
      </c>
      <c r="B31" s="181">
        <f>'Données projet'!D44</f>
        <v>60.19</v>
      </c>
      <c r="C31" s="193">
        <v>47.069099999999999</v>
      </c>
      <c r="D31" s="182">
        <f t="shared" si="2"/>
        <v>2833.089129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137</v>
      </c>
      <c r="B32" s="181">
        <f>'Données projet'!D45</f>
        <v>57.71999999999997</v>
      </c>
      <c r="C32" s="193">
        <v>47.069099999999999</v>
      </c>
      <c r="D32" s="182">
        <f t="shared" si="2"/>
        <v>2716.8284519999984</v>
      </c>
      <c r="E32" s="193">
        <v>60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149</v>
      </c>
      <c r="B33" s="181">
        <f>'Données projet'!D46</f>
        <v>64.63</v>
      </c>
      <c r="C33" s="193">
        <v>47.069099999999999</v>
      </c>
      <c r="D33" s="182">
        <f t="shared" si="2"/>
        <v>3042.0759329999996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120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164</v>
      </c>
      <c r="B34" s="181">
        <f>'Données projet'!D47</f>
        <v>82.93</v>
      </c>
      <c r="C34" s="193">
        <v>47.069099999999999</v>
      </c>
      <c r="D34" s="182">
        <f t="shared" si="2"/>
        <v>3903.4404630000004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114.83253588516747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179</v>
      </c>
      <c r="B35" s="181">
        <f>'Données projet'!D48</f>
        <v>227.02999999999997</v>
      </c>
      <c r="C35" s="193">
        <v>135.13499999999999</v>
      </c>
      <c r="D35" s="182">
        <f t="shared" si="2"/>
        <v>30679.699049999996</v>
      </c>
      <c r="E35" s="193">
        <v>60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109.88759414848563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182</v>
      </c>
      <c r="B36" s="181">
        <f>'Données projet'!D49</f>
        <v>101.59</v>
      </c>
      <c r="C36" s="193">
        <v>135.13499999999999</v>
      </c>
      <c r="D36" s="182">
        <f t="shared" si="2"/>
        <v>13728.36465</v>
      </c>
      <c r="E36" s="193">
        <v>60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105.15559248658911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185</v>
      </c>
      <c r="B37" s="181">
        <f>'Données projet'!D50</f>
        <v>71.04000000000002</v>
      </c>
      <c r="C37" s="193">
        <v>135.13499999999999</v>
      </c>
      <c r="D37" s="182">
        <f t="shared" si="2"/>
        <v>9599.9904000000024</v>
      </c>
      <c r="E37" s="193">
        <v>60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100.62736123118579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188</v>
      </c>
      <c r="B38" s="181">
        <f>'Données projet'!D51</f>
        <v>137.03</v>
      </c>
      <c r="C38" s="193">
        <v>135.13499999999999</v>
      </c>
      <c r="D38" s="182">
        <f t="shared" si="2"/>
        <v>18517.549049999998</v>
      </c>
      <c r="E38" s="193">
        <v>60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96.294125580082095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92.147488593380018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88.179414921894747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84.382215236262937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80.748531326567416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77.271321843605193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73.943848654167653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70.759663783892506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67.71259692238516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64.796743466397302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62.006453077892154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59.336318734825049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56.781166253421098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54.336044261646997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51.996214604446891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49.757143162150143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42</v>
      </c>
      <c r="B54" s="181">
        <f>'Données projet'!D62</f>
        <v>44.510000000000005</v>
      </c>
      <c r="C54" s="191">
        <v>14.625000000000002</v>
      </c>
      <c r="D54" s="179">
        <f>B54*C54</f>
        <v>650.95875000000012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47.614491064258509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50</v>
      </c>
      <c r="B55" s="181">
        <f>'Données projet'!D63</f>
        <v>37.54000000000002</v>
      </c>
      <c r="C55" s="191">
        <v>14.625000000000002</v>
      </c>
      <c r="D55" s="179">
        <f t="shared" ref="D55:D73" si="4">B55*C55</f>
        <v>549.02250000000038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45.564106281587101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58</v>
      </c>
      <c r="B56" s="181">
        <f>'Données projet'!D64</f>
        <v>47.789999999999992</v>
      </c>
      <c r="C56" s="191">
        <v>14.625000000000002</v>
      </c>
      <c r="D56" s="179">
        <f t="shared" si="4"/>
        <v>698.92874999999992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43.602015580466123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66</v>
      </c>
      <c r="B57" s="181">
        <f>'Données projet'!D65</f>
        <v>53.679999999999978</v>
      </c>
      <c r="C57" s="191">
        <v>47.069099999999999</v>
      </c>
      <c r="D57" s="179">
        <f t="shared" si="4"/>
        <v>2526.6692879999991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41.724416823412568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74</v>
      </c>
      <c r="B58" s="181">
        <f>'Données projet'!D66</f>
        <v>51.339999999999975</v>
      </c>
      <c r="C58" s="191">
        <v>47.069099999999999</v>
      </c>
      <c r="D58" s="179">
        <f t="shared" si="4"/>
        <v>2416.5275939999988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39.92767160135174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84</v>
      </c>
      <c r="B59" s="181">
        <f>'Données projet'!D67</f>
        <v>66.69</v>
      </c>
      <c r="C59" s="191">
        <v>47.069099999999999</v>
      </c>
      <c r="D59" s="179">
        <f t="shared" si="4"/>
        <v>3139.0382789999999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38.208298183111729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94</v>
      </c>
      <c r="B60" s="181">
        <f>'Données projet'!D68</f>
        <v>67.350000000000023</v>
      </c>
      <c r="C60" s="191">
        <v>47.069099999999999</v>
      </c>
      <c r="D60" s="179">
        <f t="shared" si="4"/>
        <v>3170.1038850000009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36.562964768527969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104</v>
      </c>
      <c r="B61" s="181">
        <f>'Données projet'!D69</f>
        <v>66.089999999999975</v>
      </c>
      <c r="C61" s="191">
        <v>47.069099999999999</v>
      </c>
      <c r="D61" s="179">
        <f t="shared" si="4"/>
        <v>3110.7968189999988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34.98848303208419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114</v>
      </c>
      <c r="B62" s="181">
        <f>'Données projet'!D70</f>
        <v>61.860000000000014</v>
      </c>
      <c r="C62" s="191">
        <v>47.069099999999999</v>
      </c>
      <c r="D62" s="179">
        <f t="shared" si="4"/>
        <v>2911.6945260000007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33.481801944578166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124</v>
      </c>
      <c r="B63" s="181">
        <f>'Données projet'!D71</f>
        <v>57.81</v>
      </c>
      <c r="C63" s="191">
        <v>47.069099999999999</v>
      </c>
      <c r="D63" s="179">
        <f t="shared" si="4"/>
        <v>2721.0646710000001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32.040001860840363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134</v>
      </c>
      <c r="B64" s="181">
        <f>'Données projet'!D72</f>
        <v>60.779999999999973</v>
      </c>
      <c r="C64" s="191">
        <v>135.13499999999999</v>
      </c>
      <c r="D64" s="179">
        <f t="shared" si="4"/>
        <v>8213.5052999999953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30.660288862048187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144</v>
      </c>
      <c r="B65" s="181">
        <f>'Données projet'!D73</f>
        <v>61.800000000000068</v>
      </c>
      <c r="C65" s="191">
        <v>135.13499999999999</v>
      </c>
      <c r="D65" s="179">
        <f t="shared" si="4"/>
        <v>8351.343000000008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29.339989341672922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154</v>
      </c>
      <c r="B66" s="181">
        <f>'Données projet'!D74</f>
        <v>61.050000000000011</v>
      </c>
      <c r="C66" s="191">
        <v>135.13499999999999</v>
      </c>
      <c r="D66" s="179">
        <f t="shared" si="4"/>
        <v>8249.991750000001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28.076544824567392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164</v>
      </c>
      <c r="B67" s="181">
        <f>'Données projet'!D75</f>
        <v>66.020000000000095</v>
      </c>
      <c r="C67" s="191">
        <v>135.13499999999999</v>
      </c>
      <c r="D67" s="179">
        <f t="shared" si="4"/>
        <v>8921.6127000000124</v>
      </c>
      <c r="E67" s="193">
        <v>60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26.867507009155403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174</v>
      </c>
      <c r="B68" s="181">
        <f>'Données projet'!D76</f>
        <v>240</v>
      </c>
      <c r="C68" s="191">
        <v>190.06649999999999</v>
      </c>
      <c r="D68" s="179">
        <f t="shared" si="4"/>
        <v>45615.96</v>
      </c>
      <c r="E68" s="193">
        <v>60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25.710533023115218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177</v>
      </c>
      <c r="B69" s="181">
        <f>'Données projet'!D77</f>
        <v>128.66000000000003</v>
      </c>
      <c r="C69" s="191">
        <v>190.06649999999999</v>
      </c>
      <c r="D69" s="179">
        <f t="shared" si="4"/>
        <v>24453.955890000005</v>
      </c>
      <c r="E69" s="193">
        <v>60</v>
      </c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24.603380883363851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180</v>
      </c>
      <c r="B70" s="181">
        <f>'Données projet'!D78</f>
        <v>86.97</v>
      </c>
      <c r="C70" s="191">
        <v>190.06649999999999</v>
      </c>
      <c r="D70" s="179">
        <f t="shared" si="4"/>
        <v>16530.083504999999</v>
      </c>
      <c r="E70" s="193">
        <v>60</v>
      </c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23.543905151544354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183</v>
      </c>
      <c r="B71" s="181">
        <f>'Données projet'!D79</f>
        <v>191.47</v>
      </c>
      <c r="C71" s="191">
        <v>190.06649999999999</v>
      </c>
      <c r="D71" s="179">
        <f t="shared" si="4"/>
        <v>36392.032755</v>
      </c>
      <c r="E71" s="193">
        <v>60</v>
      </c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22.530052776597472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21.559859116361217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20.631444130489207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19.743008737310252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18.89283132756962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Chêne rouge d'Amérique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18.079264428296288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17.300731510331378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16.555723933331461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15.842798022326761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15.160572270169148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14.507724660448952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13.882990105692777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13.285157995878258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12.71306985251508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20</v>
      </c>
      <c r="B85" s="181">
        <f>'Données projet'!D88</f>
        <v>18.589743589743588</v>
      </c>
      <c r="C85" s="191">
        <v>13.1625</v>
      </c>
      <c r="D85" s="179">
        <f>B85*C85</f>
        <v>244.68749999999997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12.16561708374649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25</v>
      </c>
      <c r="B86" s="181">
        <f>'Données projet'!D89</f>
        <v>12.179487179487179</v>
      </c>
      <c r="C86" s="191">
        <v>13.1625</v>
      </c>
      <c r="D86" s="179">
        <f t="shared" ref="D86:D104" si="6">B86*C86</f>
        <v>160.3125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11.641738836121043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30</v>
      </c>
      <c r="B87" s="181">
        <f>'Données projet'!D90</f>
        <v>12.820512820512819</v>
      </c>
      <c r="C87" s="191">
        <v>13.1625</v>
      </c>
      <c r="D87" s="179">
        <f t="shared" si="6"/>
        <v>168.74999999999997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11.140419938871815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35</v>
      </c>
      <c r="B88" s="181">
        <f>'Données projet'!D91</f>
        <v>12.820512820512819</v>
      </c>
      <c r="C88" s="191">
        <v>13.1625</v>
      </c>
      <c r="D88" s="179">
        <f t="shared" si="6"/>
        <v>168.74999999999997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10.660688936719438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40</v>
      </c>
      <c r="B89" s="181">
        <f>'Données projet'!D92</f>
        <v>12.820512820512819</v>
      </c>
      <c r="C89" s="191">
        <v>13.1625</v>
      </c>
      <c r="D89" s="179">
        <f t="shared" si="6"/>
        <v>168.74999999999997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10.201616207387026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45</v>
      </c>
      <c r="B90" s="181">
        <f>'Données projet'!D93</f>
        <v>12.179487179487179</v>
      </c>
      <c r="C90" s="191">
        <v>13.1625</v>
      </c>
      <c r="D90" s="179">
        <f t="shared" si="6"/>
        <v>160.3125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9.7623121601789737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50</v>
      </c>
      <c r="B91" s="181">
        <f>'Données projet'!D94</f>
        <v>11.538461538461538</v>
      </c>
      <c r="C91" s="191">
        <v>13.1625</v>
      </c>
      <c r="D91" s="179">
        <f t="shared" si="6"/>
        <v>151.875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9.3419255121329901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55</v>
      </c>
      <c r="B92" s="181">
        <f>'Données projet'!D95</f>
        <v>10.897435897435898</v>
      </c>
      <c r="C92" s="191">
        <v>13.1625</v>
      </c>
      <c r="D92" s="179">
        <f t="shared" si="6"/>
        <v>143.4375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8.9396416384047761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60</v>
      </c>
      <c r="B93" s="181">
        <f>'Données projet'!D96</f>
        <v>10.256410256410255</v>
      </c>
      <c r="C93" s="191">
        <v>13.1625</v>
      </c>
      <c r="D93" s="179">
        <f t="shared" si="6"/>
        <v>134.99999999999997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8.5546809936887822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65</v>
      </c>
      <c r="B94" s="181">
        <f>'Données projet'!D97</f>
        <v>9.615384615384615</v>
      </c>
      <c r="C94" s="191">
        <v>32.467500000000001</v>
      </c>
      <c r="D94" s="179">
        <f t="shared" si="6"/>
        <v>312.1875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8.186297601616058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70</v>
      </c>
      <c r="B95" s="181">
        <f>'Données projet'!D98</f>
        <v>8.9743589743589745</v>
      </c>
      <c r="C95" s="191">
        <v>32.467500000000001</v>
      </c>
      <c r="D95" s="179">
        <f t="shared" si="6"/>
        <v>291.375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7.8337776092019729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75</v>
      </c>
      <c r="B96" s="181">
        <f>'Données projet'!D99</f>
        <v>7.6923076923076916</v>
      </c>
      <c r="C96" s="191">
        <v>32.467500000000001</v>
      </c>
      <c r="D96" s="179">
        <f t="shared" si="6"/>
        <v>249.75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7.4964379035425566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80</v>
      </c>
      <c r="B97" s="181">
        <f>'Données projet'!D100</f>
        <v>7.0512820512820511</v>
      </c>
      <c r="C97" s="191">
        <v>32.467500000000001</v>
      </c>
      <c r="D97" s="179">
        <f t="shared" si="6"/>
        <v>228.9375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7.1736247880790058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85</v>
      </c>
      <c r="B98" s="181">
        <f>'Données projet'!D101</f>
        <v>6.4102564102564097</v>
      </c>
      <c r="C98" s="191">
        <v>32.467500000000001</v>
      </c>
      <c r="D98" s="179">
        <f t="shared" si="6"/>
        <v>208.125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6.8647127158650765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90</v>
      </c>
      <c r="B99" s="181">
        <f>'Données projet'!D102</f>
        <v>6.4102564102564097</v>
      </c>
      <c r="C99" s="191">
        <v>32.467500000000001</v>
      </c>
      <c r="D99" s="179">
        <f t="shared" si="6"/>
        <v>208.125</v>
      </c>
      <c r="E99" s="193">
        <v>60</v>
      </c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6.5691030773828505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95</v>
      </c>
      <c r="B100" s="181">
        <f>'Données projet'!D103</f>
        <v>7.0512820512820511</v>
      </c>
      <c r="C100" s="191">
        <v>32.467500000000001</v>
      </c>
      <c r="D100" s="179">
        <f t="shared" si="6"/>
        <v>228.9375</v>
      </c>
      <c r="E100" s="193">
        <v>60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6.2862230405577515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100</v>
      </c>
      <c r="B101" s="181">
        <f>'Données projet'!D104</f>
        <v>142.94871794871796</v>
      </c>
      <c r="C101" s="191">
        <v>32.467500000000001</v>
      </c>
      <c r="D101" s="179">
        <f t="shared" si="6"/>
        <v>4641.1875</v>
      </c>
      <c r="E101" s="193">
        <v>60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6.0155244407251214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5.7564827183972458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str">
        <f>IF(O102+1&lt;=MIN('Données projet'!$E$9:$E$18),O102+1,"STOP")</f>
        <v>STOP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>Chêne tauzin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47</v>
      </c>
      <c r="B116" s="181">
        <f>'Données projet'!D114</f>
        <v>54.050000000000011</v>
      </c>
      <c r="C116" s="191">
        <v>13.1625</v>
      </c>
      <c r="D116" s="179">
        <f>B116*C116</f>
        <v>711.43312500000013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55</v>
      </c>
      <c r="B117" s="181">
        <f>'Données projet'!D115</f>
        <v>37.430000000000007</v>
      </c>
      <c r="C117" s="191">
        <v>13.1625</v>
      </c>
      <c r="D117" s="179">
        <f t="shared" ref="D117:D135" si="8">B117*C117</f>
        <v>492.6723750000001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63</v>
      </c>
      <c r="B118" s="181">
        <f>'Données projet'!D116</f>
        <v>35.169999999999987</v>
      </c>
      <c r="C118" s="191">
        <v>13.1625</v>
      </c>
      <c r="D118" s="179">
        <f t="shared" si="8"/>
        <v>462.92512499999981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73</v>
      </c>
      <c r="B119" s="181">
        <f>'Données projet'!D117</f>
        <v>36.890000000000015</v>
      </c>
      <c r="C119" s="191">
        <v>13.1625</v>
      </c>
      <c r="D119" s="179">
        <f t="shared" si="8"/>
        <v>485.56462500000021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83</v>
      </c>
      <c r="B120" s="181">
        <f>'Données projet'!D118</f>
        <v>40.069999999999993</v>
      </c>
      <c r="C120" s="191">
        <v>13.1625</v>
      </c>
      <c r="D120" s="179">
        <f t="shared" si="8"/>
        <v>527.4213749999999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93</v>
      </c>
      <c r="B121" s="181">
        <f>'Données projet'!D119</f>
        <v>43.449999999999989</v>
      </c>
      <c r="C121" s="191">
        <v>21.206250000000001</v>
      </c>
      <c r="D121" s="179">
        <f t="shared" si="8"/>
        <v>921.41156249999983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103</v>
      </c>
      <c r="B122" s="181">
        <f>'Données projet'!D120</f>
        <v>48.569999999999993</v>
      </c>
      <c r="C122" s="191">
        <v>21.206250000000001</v>
      </c>
      <c r="D122" s="179">
        <f t="shared" si="8"/>
        <v>1029.9875625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113</v>
      </c>
      <c r="B123" s="181">
        <f>'Données projet'!D121</f>
        <v>47.019999999999982</v>
      </c>
      <c r="C123" s="191">
        <v>21.206250000000001</v>
      </c>
      <c r="D123" s="179">
        <f t="shared" si="8"/>
        <v>997.11787499999969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125</v>
      </c>
      <c r="B124" s="181">
        <f>'Données projet'!D122</f>
        <v>60.19</v>
      </c>
      <c r="C124" s="191">
        <v>21.206250000000001</v>
      </c>
      <c r="D124" s="179">
        <f t="shared" si="8"/>
        <v>1276.4041875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137</v>
      </c>
      <c r="B125" s="181">
        <f>'Données projet'!D123</f>
        <v>57.71999999999997</v>
      </c>
      <c r="C125" s="191">
        <v>21.206250000000001</v>
      </c>
      <c r="D125" s="179">
        <f t="shared" si="8"/>
        <v>1224.0247499999994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149</v>
      </c>
      <c r="B126" s="181">
        <f>'Données projet'!D124</f>
        <v>64.63</v>
      </c>
      <c r="C126" s="191">
        <v>21.206250000000001</v>
      </c>
      <c r="D126" s="179">
        <f t="shared" si="8"/>
        <v>1370.5599374999999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164</v>
      </c>
      <c r="B127" s="181">
        <f>'Données projet'!D125</f>
        <v>82.93</v>
      </c>
      <c r="C127" s="191">
        <v>21.206250000000001</v>
      </c>
      <c r="D127" s="179">
        <f t="shared" si="8"/>
        <v>1758.6343125000003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179</v>
      </c>
      <c r="B128" s="181">
        <f>'Données projet'!D126</f>
        <v>227.02999999999997</v>
      </c>
      <c r="C128" s="191">
        <v>24.862500000000001</v>
      </c>
      <c r="D128" s="179">
        <f t="shared" si="8"/>
        <v>5644.5333749999991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182</v>
      </c>
      <c r="B129" s="181">
        <f>'Données projet'!D127</f>
        <v>101.59</v>
      </c>
      <c r="C129" s="191">
        <v>24.862500000000001</v>
      </c>
      <c r="D129" s="179">
        <f t="shared" si="8"/>
        <v>2525.781375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185</v>
      </c>
      <c r="B130" s="181">
        <f>'Données projet'!D128</f>
        <v>71.04000000000002</v>
      </c>
      <c r="C130" s="191">
        <v>24.862500000000001</v>
      </c>
      <c r="D130" s="179">
        <f t="shared" si="8"/>
        <v>1766.2320000000007</v>
      </c>
      <c r="E130" s="193">
        <v>60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188</v>
      </c>
      <c r="B131" s="181">
        <f>'Données projet'!D129</f>
        <v>137.03</v>
      </c>
      <c r="C131" s="191">
        <v>24.862500000000001</v>
      </c>
      <c r="D131" s="179">
        <f t="shared" si="8"/>
        <v>3406.908375</v>
      </c>
      <c r="E131" s="193">
        <v>60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>Charme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38</v>
      </c>
      <c r="B147" s="175">
        <f>'Données projet'!D140</f>
        <v>71.569999999999993</v>
      </c>
      <c r="C147" s="191">
        <v>13.1625</v>
      </c>
      <c r="D147" s="182">
        <f>B147*C147</f>
        <v>942.04012499999988</v>
      </c>
      <c r="E147" s="193">
        <v>60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45</v>
      </c>
      <c r="B148" s="175">
        <f>'Données projet'!D141</f>
        <v>41.69</v>
      </c>
      <c r="C148" s="191">
        <v>13.1625</v>
      </c>
      <c r="D148" s="182">
        <f t="shared" ref="D148:D166" si="10">B148*C148</f>
        <v>548.74462499999993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52</v>
      </c>
      <c r="B149" s="175">
        <f>'Données projet'!D142</f>
        <v>44.400000000000006</v>
      </c>
      <c r="C149" s="191">
        <v>21.206250000000001</v>
      </c>
      <c r="D149" s="182">
        <f t="shared" si="10"/>
        <v>941.55750000000012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59</v>
      </c>
      <c r="B150" s="175">
        <f>'Données projet'!D143</f>
        <v>41.81</v>
      </c>
      <c r="C150" s="191">
        <v>21.206250000000001</v>
      </c>
      <c r="D150" s="182">
        <f t="shared" si="10"/>
        <v>886.6333125000001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67</v>
      </c>
      <c r="B151" s="175">
        <f>'Données projet'!D144</f>
        <v>42.550000000000011</v>
      </c>
      <c r="C151" s="191">
        <v>21.206250000000001</v>
      </c>
      <c r="D151" s="182">
        <f t="shared" si="10"/>
        <v>902.32593750000024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75</v>
      </c>
      <c r="B152" s="175">
        <f>'Données projet'!D145</f>
        <v>43.519999999999982</v>
      </c>
      <c r="C152" s="191">
        <v>21.206250000000001</v>
      </c>
      <c r="D152" s="182">
        <f t="shared" si="10"/>
        <v>922.89599999999962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83</v>
      </c>
      <c r="B153" s="175">
        <f>'Données projet'!D146</f>
        <v>49.980000000000018</v>
      </c>
      <c r="C153" s="191">
        <v>21.206250000000001</v>
      </c>
      <c r="D153" s="182">
        <f t="shared" si="10"/>
        <v>1059.8883750000005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93</v>
      </c>
      <c r="B154" s="175">
        <f>'Données projet'!D147</f>
        <v>67.45999999999998</v>
      </c>
      <c r="C154" s="191">
        <v>24.862500000000001</v>
      </c>
      <c r="D154" s="182">
        <f t="shared" si="10"/>
        <v>1677.2242499999995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103</v>
      </c>
      <c r="B155" s="175">
        <f>'Données projet'!D148</f>
        <v>67.759999999999991</v>
      </c>
      <c r="C155" s="191">
        <v>24.862500000000001</v>
      </c>
      <c r="D155" s="182">
        <f t="shared" si="10"/>
        <v>1684.6829999999998</v>
      </c>
      <c r="E155" s="193">
        <v>60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113</v>
      </c>
      <c r="B156" s="175">
        <f>'Données projet'!D149</f>
        <v>68.670000000000016</v>
      </c>
      <c r="C156" s="191">
        <v>24.862500000000001</v>
      </c>
      <c r="D156" s="182">
        <f t="shared" si="10"/>
        <v>1707.3078750000004</v>
      </c>
      <c r="E156" s="193">
        <v>60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123</v>
      </c>
      <c r="B157" s="175">
        <f>'Données projet'!D150</f>
        <v>203.78999999999996</v>
      </c>
      <c r="C157" s="191">
        <v>26.690625000000001</v>
      </c>
      <c r="D157" s="182">
        <f t="shared" si="10"/>
        <v>5439.2824687499988</v>
      </c>
      <c r="E157" s="193">
        <v>60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125</v>
      </c>
      <c r="B158" s="175">
        <f>'Données projet'!D151</f>
        <v>70.609999999999985</v>
      </c>
      <c r="C158" s="191">
        <v>26.690625000000001</v>
      </c>
      <c r="D158" s="182">
        <f t="shared" si="10"/>
        <v>1884.6250312499997</v>
      </c>
      <c r="E158" s="193">
        <v>60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127</v>
      </c>
      <c r="B159" s="175">
        <f>'Données projet'!D152</f>
        <v>46.039999999999992</v>
      </c>
      <c r="C159" s="191">
        <v>26.690625000000001</v>
      </c>
      <c r="D159" s="182">
        <f t="shared" si="10"/>
        <v>1228.8363749999999</v>
      </c>
      <c r="E159" s="193">
        <v>60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130</v>
      </c>
      <c r="B160" s="175">
        <f>'Données projet'!D153</f>
        <v>112.75</v>
      </c>
      <c r="C160" s="191">
        <v>26.690625000000001</v>
      </c>
      <c r="D160" s="182">
        <f t="shared" si="10"/>
        <v>3009.3679687500003</v>
      </c>
      <c r="E160" s="193">
        <v>60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>Merisier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15</v>
      </c>
      <c r="B178" s="181">
        <f>'Données projet'!D166</f>
        <v>3</v>
      </c>
      <c r="C178" s="193">
        <v>11.25</v>
      </c>
      <c r="D178" s="179">
        <f>B178*C178</f>
        <v>33.75</v>
      </c>
      <c r="E178" s="193">
        <v>60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20</v>
      </c>
      <c r="B179" s="181">
        <f>'Données projet'!D167</f>
        <v>25</v>
      </c>
      <c r="C179" s="193">
        <v>11.25</v>
      </c>
      <c r="D179" s="179">
        <f t="shared" ref="D179:D197" si="11">B179*C179</f>
        <v>281.25</v>
      </c>
      <c r="E179" s="193">
        <v>60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25</v>
      </c>
      <c r="B180" s="181">
        <f>'Données projet'!D168</f>
        <v>27</v>
      </c>
      <c r="C180" s="193">
        <v>11.25</v>
      </c>
      <c r="D180" s="179">
        <f t="shared" si="11"/>
        <v>303.75</v>
      </c>
      <c r="E180" s="193">
        <v>60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31</v>
      </c>
      <c r="B181" s="181">
        <f>'Données projet'!D169</f>
        <v>36</v>
      </c>
      <c r="C181" s="193">
        <v>18.125</v>
      </c>
      <c r="D181" s="179">
        <f t="shared" si="11"/>
        <v>652.5</v>
      </c>
      <c r="E181" s="193">
        <v>60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37</v>
      </c>
      <c r="B182" s="181">
        <f>'Données projet'!D170</f>
        <v>36</v>
      </c>
      <c r="C182" s="193">
        <v>18.125</v>
      </c>
      <c r="D182" s="179">
        <f t="shared" si="11"/>
        <v>652.5</v>
      </c>
      <c r="E182" s="193">
        <v>60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44</v>
      </c>
      <c r="B183" s="181">
        <f>'Données projet'!D171</f>
        <v>43</v>
      </c>
      <c r="C183" s="193">
        <v>18.125</v>
      </c>
      <c r="D183" s="179">
        <f t="shared" si="11"/>
        <v>779.375</v>
      </c>
      <c r="E183" s="193">
        <v>60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52</v>
      </c>
      <c r="B184" s="181">
        <f>'Données projet'!D172</f>
        <v>48</v>
      </c>
      <c r="C184" s="193">
        <v>18.125</v>
      </c>
      <c r="D184" s="179">
        <f t="shared" si="11"/>
        <v>870</v>
      </c>
      <c r="E184" s="193">
        <v>60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60</v>
      </c>
      <c r="B185" s="181">
        <f>'Données projet'!D173</f>
        <v>47</v>
      </c>
      <c r="C185" s="193">
        <v>21.25</v>
      </c>
      <c r="D185" s="179">
        <f t="shared" si="11"/>
        <v>998.75</v>
      </c>
      <c r="E185" s="193">
        <v>60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69</v>
      </c>
      <c r="B186" s="181">
        <f>'Données projet'!D174</f>
        <v>328</v>
      </c>
      <c r="C186" s="193">
        <v>22.8125</v>
      </c>
      <c r="D186" s="179">
        <f t="shared" si="11"/>
        <v>7482.5</v>
      </c>
      <c r="E186" s="193">
        <v>60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>Alisier torminal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60</v>
      </c>
      <c r="B209" s="181">
        <f>'Données projet'!D192</f>
        <v>72.87</v>
      </c>
      <c r="C209" s="193">
        <v>13.1625</v>
      </c>
      <c r="D209" s="179">
        <f>B209*C209</f>
        <v>959.15137500000003</v>
      </c>
      <c r="E209" s="193">
        <v>60</v>
      </c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69</v>
      </c>
      <c r="B210" s="181">
        <f>'Données projet'!D193</f>
        <v>42.22</v>
      </c>
      <c r="C210" s="193">
        <v>13.1625</v>
      </c>
      <c r="D210" s="179">
        <f t="shared" ref="D210:D228" si="12">B210*C210</f>
        <v>555.72074999999995</v>
      </c>
      <c r="E210" s="193">
        <v>60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77</v>
      </c>
      <c r="B211" s="181">
        <f>'Données projet'!D194</f>
        <v>33.950000000000017</v>
      </c>
      <c r="C211" s="193">
        <v>13.1625</v>
      </c>
      <c r="D211" s="179">
        <f t="shared" si="12"/>
        <v>446.86687500000022</v>
      </c>
      <c r="E211" s="193">
        <v>60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86</v>
      </c>
      <c r="B212" s="181">
        <f>'Données projet'!D195</f>
        <v>37.54000000000002</v>
      </c>
      <c r="C212" s="193">
        <v>17.737500000000001</v>
      </c>
      <c r="D212" s="179">
        <f t="shared" si="12"/>
        <v>665.86575000000039</v>
      </c>
      <c r="E212" s="193">
        <v>60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95</v>
      </c>
      <c r="B213" s="181">
        <f>'Données projet'!D196</f>
        <v>42.199999999999989</v>
      </c>
      <c r="C213" s="193">
        <v>17.737500000000001</v>
      </c>
      <c r="D213" s="179">
        <f t="shared" si="12"/>
        <v>748.52249999999981</v>
      </c>
      <c r="E213" s="193">
        <v>60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104</v>
      </c>
      <c r="B214" s="181">
        <f>'Données projet'!D197</f>
        <v>39.400000000000006</v>
      </c>
      <c r="C214" s="193">
        <v>17.737500000000001</v>
      </c>
      <c r="D214" s="179">
        <f t="shared" si="12"/>
        <v>698.85750000000007</v>
      </c>
      <c r="E214" s="193">
        <v>60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113</v>
      </c>
      <c r="B215" s="181">
        <f>'Données projet'!D198</f>
        <v>41.639999999999986</v>
      </c>
      <c r="C215" s="193">
        <v>17.737500000000001</v>
      </c>
      <c r="D215" s="179">
        <f t="shared" si="12"/>
        <v>738.58949999999982</v>
      </c>
      <c r="E215" s="193">
        <v>60</v>
      </c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122</v>
      </c>
      <c r="B216" s="181">
        <f>'Données projet'!D199</f>
        <v>45.829999999999984</v>
      </c>
      <c r="C216" s="193">
        <v>17.737500000000001</v>
      </c>
      <c r="D216" s="179">
        <f t="shared" si="12"/>
        <v>812.90962499999978</v>
      </c>
      <c r="E216" s="193">
        <v>60</v>
      </c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132</v>
      </c>
      <c r="B217" s="181">
        <f>'Données projet'!D200</f>
        <v>48.699999999999989</v>
      </c>
      <c r="C217" s="193">
        <v>17.737500000000001</v>
      </c>
      <c r="D217" s="179">
        <f t="shared" si="12"/>
        <v>863.81624999999985</v>
      </c>
      <c r="E217" s="193">
        <v>60</v>
      </c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144</v>
      </c>
      <c r="B218" s="181">
        <f>'Données projet'!D201</f>
        <v>60.949999999999989</v>
      </c>
      <c r="C218" s="193">
        <v>17.737500000000001</v>
      </c>
      <c r="D218" s="179">
        <f t="shared" si="12"/>
        <v>1081.1006249999998</v>
      </c>
      <c r="E218" s="193">
        <v>60</v>
      </c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156</v>
      </c>
      <c r="B219" s="181">
        <f>'Données projet'!D202</f>
        <v>65.69</v>
      </c>
      <c r="C219" s="193">
        <v>22.331250000000001</v>
      </c>
      <c r="D219" s="179">
        <f t="shared" si="12"/>
        <v>1466.9398125</v>
      </c>
      <c r="E219" s="193">
        <v>60</v>
      </c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168</v>
      </c>
      <c r="B220" s="181">
        <f>'Données projet'!D203</f>
        <v>71.37</v>
      </c>
      <c r="C220" s="193">
        <v>22.331250000000001</v>
      </c>
      <c r="D220" s="179">
        <f t="shared" si="12"/>
        <v>1593.7813125000002</v>
      </c>
      <c r="E220" s="193">
        <v>60</v>
      </c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180</v>
      </c>
      <c r="B221" s="181">
        <f>'Données projet'!D204</f>
        <v>175.59000000000003</v>
      </c>
      <c r="C221" s="193">
        <v>22.331250000000001</v>
      </c>
      <c r="D221" s="179">
        <f t="shared" si="12"/>
        <v>3921.144187500001</v>
      </c>
      <c r="E221" s="193">
        <v>60</v>
      </c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184</v>
      </c>
      <c r="B222" s="181">
        <f>'Données projet'!D205</f>
        <v>101.19999999999999</v>
      </c>
      <c r="C222" s="193">
        <v>22.331250000000001</v>
      </c>
      <c r="D222" s="179">
        <f t="shared" si="12"/>
        <v>2259.9224999999997</v>
      </c>
      <c r="E222" s="193">
        <v>60</v>
      </c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188</v>
      </c>
      <c r="B223" s="181">
        <f>'Données projet'!D206</f>
        <v>72.180000000000007</v>
      </c>
      <c r="C223" s="193">
        <v>22.331250000000001</v>
      </c>
      <c r="D223" s="179">
        <f t="shared" si="12"/>
        <v>1611.8696250000003</v>
      </c>
      <c r="E223" s="193">
        <v>60</v>
      </c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191</v>
      </c>
      <c r="B224" s="181">
        <f>'Données projet'!D207</f>
        <v>145.01</v>
      </c>
      <c r="C224" s="193">
        <v>36.581249999999997</v>
      </c>
      <c r="D224" s="179">
        <f t="shared" si="12"/>
        <v>5304.6470624999993</v>
      </c>
      <c r="E224" s="193">
        <v>60</v>
      </c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6B9C56-E4B2-4CBD-BC6C-987C41236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3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2024-02-29T17:26:46Z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