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LEBOIS 14556819 - LE/"/>
    </mc:Choice>
  </mc:AlternateContent>
  <xr:revisionPtr revIDLastSave="83" documentId="14_{F6DBC0A9-B52E-4390-BAD2-6F5C1B7CFAC6}" xr6:coauthVersionLast="47" xr6:coauthVersionMax="47" xr10:uidLastSave="{77BD6864-D999-408C-81B3-BC9D7B0DF1AC}"/>
  <bookViews>
    <workbookView xWindow="38280" yWindow="-120" windowWidth="29040" windowHeight="15720" tabRatio="866" firstSheet="1" activeTab="3" xr2:uid="{00000000-000D-0000-FFFF-FFFF00000000}"/>
  </bookViews>
  <sheets>
    <sheet name="Accueil" sheetId="5" r:id="rId1"/>
    <sheet name="Données projet" sheetId="1" r:id="rId2"/>
    <sheet name="Scénario référence" sheetId="7" r:id="rId3"/>
    <sheet name="REE" sheetId="4" r:id="rId4"/>
    <sheet name="VAN" sheetId="6" r:id="rId5"/>
    <sheet name="Calculateur" sheetId="2" state="hidden" r:id="rId6"/>
    <sheet name="Paramètres" sheetId="3" state="hidden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H20" i="2"/>
  <c r="FS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A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Y154" i="2"/>
  <c r="EW155" i="2"/>
  <c r="ED154" i="2"/>
  <c r="EX155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Y155" i="2"/>
  <c r="ED155" i="2"/>
  <c r="FS156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D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X161" i="2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Y161" i="2"/>
  <c r="ED161" i="2"/>
  <c r="EW162" i="2"/>
  <c r="EB162" i="2"/>
  <c r="DI161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Y163" i="2"/>
  <c r="FR164" i="2"/>
  <c r="HH164" i="2"/>
  <c r="DI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FR167" i="2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I167" i="2"/>
  <c r="DG168" i="2"/>
  <c r="EC168" i="2"/>
  <c r="EV168" i="2"/>
  <c r="EW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I172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HH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EA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EW186" i="2"/>
  <c r="EA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J189" i="2"/>
  <c r="HH190" i="2"/>
  <c r="EV190" i="2"/>
  <c r="EW190" i="2"/>
  <c r="ED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A193" i="2"/>
  <c r="EB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HI194" i="2"/>
  <c r="EA194" i="2"/>
  <c r="EB194" i="2"/>
  <c r="ED193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X195" i="2"/>
  <c r="HI195" i="2"/>
  <c r="EA195" i="2"/>
  <c r="ED194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 l="1"/>
  <c r="HJ200" i="2"/>
  <c r="ED200" i="2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FS202" i="2"/>
  <c r="EW202" i="2"/>
  <c r="HI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56" i="2" a="1"/>
  <c r="DN56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77" i="2" a="1"/>
  <c r="DN177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D159" i="2" a="1"/>
  <c r="FD159" i="2" s="1"/>
  <c r="FD160" i="2" a="1"/>
  <c r="FD160" i="2" s="1"/>
  <c r="BC55" i="2" a="1"/>
  <c r="BC55" i="2" s="1"/>
  <c r="BC192" i="2" a="1"/>
  <c r="BC192" i="2" s="1"/>
  <c r="BC164" i="2" a="1"/>
  <c r="BC164" i="2" s="1"/>
  <c r="BC32" i="2" a="1"/>
  <c r="BC32" i="2" s="1"/>
  <c r="BC31" i="2" a="1"/>
  <c r="BC31" i="2" s="1"/>
  <c r="GT21" i="2" a="1"/>
  <c r="GT21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" i="2" a="1"/>
  <c r="DN16" i="2" s="1"/>
  <c r="DN31" i="2" a="1"/>
  <c r="DN31" i="2" s="1"/>
  <c r="DN110" i="2" a="1"/>
  <c r="DN110" i="2" s="1"/>
  <c r="DN55" i="2" a="1"/>
  <c r="DN5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AX200" i="2"/>
  <c r="DN184" i="2" l="1" a="1"/>
  <c r="DN184" i="2" s="1"/>
  <c r="DN65" i="2" a="1"/>
  <c r="DN65" i="2" s="1"/>
  <c r="DN66" i="2" a="1"/>
  <c r="DN66" i="2" s="1"/>
  <c r="DN70" i="2" a="1"/>
  <c r="DN70" i="2" s="1"/>
  <c r="DN188" i="2" a="1"/>
  <c r="DN188" i="2" s="1"/>
  <c r="DN124" i="2" a="1"/>
  <c r="DN124" i="2" s="1"/>
  <c r="DN167" i="2" a="1"/>
  <c r="DN167" i="2" s="1"/>
  <c r="DN63" i="2" a="1"/>
  <c r="DN63" i="2" s="1"/>
  <c r="DN86" i="2" a="1"/>
  <c r="DN86" i="2" s="1"/>
  <c r="DN155" i="2" a="1"/>
  <c r="DN155" i="2" s="1"/>
  <c r="DN187" i="2" a="1"/>
  <c r="DN187" i="2" s="1"/>
  <c r="DN162" i="2" a="1"/>
  <c r="DN162" i="2" s="1"/>
  <c r="DN115" i="2" a="1"/>
  <c r="DN115" i="2" s="1"/>
  <c r="EI109" i="2" a="1"/>
  <c r="EI109" i="2" s="1"/>
  <c r="EI37" i="2" a="1"/>
  <c r="EI37" i="2" s="1"/>
  <c r="EI38" i="2" a="1"/>
  <c r="EI38" i="2" s="1"/>
  <c r="EI87" i="2" a="1"/>
  <c r="EI87" i="2" s="1"/>
  <c r="EI67" i="2" a="1"/>
  <c r="EI67" i="2" s="1"/>
  <c r="EI16" i="2" a="1"/>
  <c r="EI16" i="2" s="1"/>
  <c r="EI166" i="2" a="1"/>
  <c r="EI166" i="2" s="1"/>
  <c r="EI139" i="2" a="1"/>
  <c r="EI139" i="2" s="1"/>
  <c r="EI106" i="2" a="1"/>
  <c r="EI106" i="2" s="1"/>
  <c r="EI113" i="2" a="1"/>
  <c r="EI113" i="2" s="1"/>
  <c r="EI35" i="2" a="1"/>
  <c r="EI35" i="2" s="1"/>
  <c r="EI142" i="2" a="1"/>
  <c r="EI142" i="2" s="1"/>
  <c r="EI170" i="2" a="1"/>
  <c r="EI170" i="2" s="1"/>
  <c r="EI128" i="2" a="1"/>
  <c r="EI128" i="2" s="1"/>
  <c r="GT12" i="2" a="1"/>
  <c r="GT12" i="2" s="1"/>
  <c r="GT138" i="2" a="1"/>
  <c r="GT138" i="2" s="1"/>
  <c r="GT107" i="2" a="1"/>
  <c r="GT107" i="2" s="1"/>
  <c r="GT174" i="2" a="1"/>
  <c r="GT174" i="2" s="1"/>
  <c r="GT190" i="2" a="1"/>
  <c r="GT190" i="2" s="1"/>
  <c r="GT51" i="2" a="1"/>
  <c r="GT51" i="2" s="1"/>
  <c r="GT38" i="2" a="1"/>
  <c r="GT38" i="2" s="1"/>
  <c r="HJ202" i="2"/>
  <c r="GT181" i="2" a="1"/>
  <c r="GT181" i="2" s="1"/>
  <c r="GT184" i="2" a="1"/>
  <c r="GT184" i="2" s="1"/>
  <c r="GT189" i="2" a="1"/>
  <c r="GT189" i="2" s="1"/>
  <c r="GT15" i="2" a="1"/>
  <c r="GT15" i="2" s="1"/>
  <c r="GT11" i="2" a="1"/>
  <c r="GT11" i="2" s="1"/>
  <c r="GT147" i="2" a="1"/>
  <c r="GT147" i="2" s="1"/>
  <c r="GT152" i="2" a="1"/>
  <c r="GT152" i="2" s="1"/>
  <c r="GT191" i="2" a="1"/>
  <c r="GT191" i="2" s="1"/>
  <c r="GT68" i="2" a="1"/>
  <c r="GT68" i="2" s="1"/>
  <c r="GT126" i="2" a="1"/>
  <c r="GT126" i="2" s="1"/>
  <c r="GT74" i="2" a="1"/>
  <c r="GT74" i="2" s="1"/>
  <c r="GT178" i="2" a="1"/>
  <c r="GT178" i="2" s="1"/>
  <c r="GT115" i="2" a="1"/>
  <c r="GT115" i="2" s="1"/>
  <c r="GT198" i="2" a="1"/>
  <c r="GT198" i="2" s="1"/>
  <c r="BC114" i="2" a="1"/>
  <c r="BC114" i="2" s="1"/>
  <c r="BC82" i="2" a="1"/>
  <c r="BC82" i="2" s="1"/>
  <c r="BC34" i="2" a="1"/>
  <c r="BC34" i="2" s="1"/>
  <c r="FD167" i="2" a="1"/>
  <c r="FD167" i="2" s="1"/>
  <c r="FD189" i="2" a="1"/>
  <c r="FD189" i="2" s="1"/>
  <c r="FY142" i="2" a="1"/>
  <c r="FY142" i="2" s="1"/>
  <c r="GT102" i="2" a="1"/>
  <c r="GT102" i="2" s="1"/>
  <c r="FY104" i="2" a="1"/>
  <c r="FY104" i="2" s="1"/>
  <c r="FY30" i="2" a="1"/>
  <c r="FY30" i="2" s="1"/>
  <c r="FY190" i="2" a="1"/>
  <c r="FY190" i="2" s="1"/>
  <c r="FD82" i="2" a="1"/>
  <c r="FD82" i="2" s="1"/>
  <c r="FY196" i="2" a="1"/>
  <c r="FY196" i="2" s="1"/>
  <c r="FY78" i="2" a="1"/>
  <c r="FY78" i="2" s="1"/>
  <c r="FD188" i="2" a="1"/>
  <c r="FD188" i="2" s="1"/>
  <c r="GT33" i="2" a="1"/>
  <c r="GT33" i="2" s="1"/>
  <c r="FY186" i="2" a="1"/>
  <c r="FY186" i="2" s="1"/>
  <c r="GT133" i="2" a="1"/>
  <c r="GT133" i="2" s="1"/>
  <c r="FY69" i="2" a="1"/>
  <c r="FY69" i="2" s="1"/>
  <c r="FD48" i="2" a="1"/>
  <c r="FD48" i="2" s="1"/>
  <c r="GT121" i="2" a="1"/>
  <c r="GT121" i="2" s="1"/>
  <c r="FY35" i="2" a="1"/>
  <c r="FY35" i="2" s="1"/>
  <c r="GT122" i="2" a="1"/>
  <c r="GT122" i="2" s="1"/>
  <c r="FY50" i="2" a="1"/>
  <c r="FY50" i="2" s="1"/>
  <c r="CS116" i="2" a="1"/>
  <c r="CS116" i="2" s="1"/>
  <c r="CS114" i="2" a="1"/>
  <c r="CS114" i="2" s="1"/>
  <c r="AH163" i="2" a="1"/>
  <c r="AH163" i="2" s="1"/>
  <c r="AH62" i="2" a="1"/>
  <c r="AH62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99" i="2" a="1"/>
  <c r="AH199" i="2" s="1"/>
  <c r="DN137" i="2" a="1"/>
  <c r="DN137" i="2" s="1"/>
  <c r="BX107" i="2" a="1"/>
  <c r="BX107" i="2" s="1"/>
  <c r="CS120" i="2" a="1"/>
  <c r="CS120" i="2" s="1"/>
  <c r="CS72" i="2" a="1"/>
  <c r="CS72" i="2" s="1"/>
  <c r="CS134" i="2" a="1"/>
  <c r="CS134" i="2" s="1"/>
  <c r="CS185" i="2" a="1"/>
  <c r="CS185" i="2" s="1"/>
  <c r="CS24" i="2" a="1"/>
  <c r="CS24" i="2" s="1"/>
  <c r="CS38" i="2" a="1"/>
  <c r="CS38" i="2" s="1"/>
  <c r="CS56" i="2" a="1"/>
  <c r="CS56" i="2" s="1"/>
  <c r="CS129" i="2" a="1"/>
  <c r="CS129" i="2" s="1"/>
  <c r="CS105" i="2" a="1"/>
  <c r="CS105" i="2" s="1"/>
  <c r="CS161" i="2" a="1"/>
  <c r="CS161" i="2" s="1"/>
  <c r="CS77" i="2" a="1"/>
  <c r="CS77" i="2" s="1"/>
  <c r="CS137" i="2" a="1"/>
  <c r="CS137" i="2" s="1"/>
  <c r="CS52" i="2" a="1"/>
  <c r="CS52" i="2" s="1"/>
  <c r="CS66" i="2" a="1"/>
  <c r="CS66" i="2" s="1"/>
  <c r="BC130" i="2" a="1"/>
  <c r="BC130" i="2" s="1"/>
  <c r="BC65" i="2" a="1"/>
  <c r="BC65" i="2" s="1"/>
  <c r="BC126" i="2" a="1"/>
  <c r="BC126" i="2" s="1"/>
  <c r="BC47" i="2" a="1"/>
  <c r="BC47" i="2" s="1"/>
  <c r="BC18" i="2" a="1"/>
  <c r="BC18" i="2" s="1"/>
  <c r="BC38" i="2" a="1"/>
  <c r="BC38" i="2" s="1"/>
  <c r="BC83" i="2" a="1"/>
  <c r="BC83" i="2" s="1"/>
  <c r="BC7" i="2" a="1"/>
  <c r="BC7" i="2" s="1"/>
  <c r="BD7" i="2" s="1"/>
  <c r="BC151" i="2" a="1"/>
  <c r="BC151" i="2" s="1"/>
  <c r="BC185" i="2" a="1"/>
  <c r="BC185" i="2" s="1"/>
  <c r="BC143" i="2" a="1"/>
  <c r="BC143" i="2" s="1"/>
  <c r="BC68" i="2" a="1"/>
  <c r="BC68" i="2" s="1"/>
  <c r="BC58" i="2" a="1"/>
  <c r="BC58" i="2" s="1"/>
  <c r="BC84" i="2" a="1"/>
  <c r="BC84" i="2" s="1"/>
  <c r="BC117" i="2" a="1"/>
  <c r="BC117" i="2" s="1"/>
  <c r="BC181" i="2" a="1"/>
  <c r="BC18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9" i="2"/>
  <c r="EY203" i="2"/>
  <c r="FZ10" i="2"/>
  <c r="FZ11" i="2" s="1"/>
  <c r="ED203" i="2"/>
  <c r="CN203" i="2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25" i="2" l="1"/>
  <c r="CD195" i="2"/>
  <c r="CD25" i="2"/>
  <c r="CD97" i="2"/>
  <c r="CD67" i="2"/>
  <c r="CD108" i="2"/>
  <c r="CD24" i="2"/>
  <c r="CD36" i="2"/>
  <c r="CD32" i="2"/>
  <c r="CD17" i="2"/>
  <c r="CD181" i="2"/>
  <c r="CD188" i="2"/>
  <c r="CD69" i="2"/>
  <c r="CD110" i="2"/>
  <c r="CD6" i="2"/>
  <c r="CD49" i="2"/>
  <c r="CD152" i="2"/>
  <c r="CD190" i="2"/>
  <c r="CD102" i="2"/>
  <c r="CD180" i="2"/>
  <c r="CD91" i="2"/>
  <c r="CD143" i="2"/>
  <c r="CD164" i="2"/>
  <c r="CD132" i="2"/>
  <c r="CD148" i="2"/>
  <c r="CD138" i="2"/>
  <c r="CD175" i="2"/>
  <c r="CD106" i="2"/>
  <c r="CD140" i="2"/>
  <c r="CD27" i="2"/>
  <c r="CD46" i="2"/>
  <c r="CD99" i="2"/>
  <c r="CD113" i="2"/>
  <c r="CD161" i="2"/>
  <c r="CD123" i="2"/>
  <c r="CD23" i="2"/>
  <c r="CD33" i="2"/>
  <c r="CD100" i="2"/>
  <c r="CD26" i="2"/>
  <c r="CD147" i="2"/>
  <c r="CD153" i="2"/>
  <c r="CD122" i="2"/>
  <c r="CD78" i="2"/>
  <c r="CD28" i="2"/>
  <c r="CD68" i="2"/>
  <c r="CD92" i="2"/>
  <c r="CD157" i="2"/>
  <c r="CD55" i="2"/>
  <c r="CD38" i="2"/>
  <c r="CD135" i="2"/>
  <c r="CD15" i="2"/>
  <c r="CD40" i="2"/>
  <c r="CD98" i="2"/>
  <c r="CD131" i="2"/>
  <c r="CD103" i="2"/>
  <c r="CD151" i="2"/>
  <c r="CD109" i="2"/>
  <c r="CD169" i="2"/>
  <c r="CD186" i="2"/>
  <c r="CD115" i="2"/>
  <c r="CD126" i="2"/>
  <c r="CD119" i="2"/>
  <c r="CD12" i="2"/>
  <c r="CD79" i="2"/>
  <c r="CD29" i="2"/>
  <c r="CD203" i="2"/>
  <c r="CD130" i="2"/>
  <c r="CD118" i="2"/>
  <c r="CD144" i="2"/>
  <c r="CD57" i="2"/>
  <c r="CD174" i="2"/>
  <c r="CD187" i="2"/>
  <c r="CD155" i="2"/>
  <c r="CD197" i="2"/>
  <c r="CD44" i="2"/>
  <c r="CD87" i="2"/>
  <c r="CD19" i="2"/>
  <c r="CD47" i="2"/>
  <c r="CD8" i="2"/>
  <c r="CD48" i="2"/>
  <c r="CD5" i="2"/>
  <c r="CD18" i="2"/>
  <c r="CD13" i="2"/>
  <c r="CD196" i="2"/>
  <c r="CD129" i="2"/>
  <c r="CD202" i="2"/>
  <c r="CD63" i="2"/>
  <c r="CD11" i="2"/>
  <c r="CD104" i="2"/>
  <c r="CD176" i="2"/>
  <c r="CD60" i="2"/>
  <c r="CD9" i="2"/>
  <c r="CD134" i="2"/>
  <c r="CD191" i="2"/>
  <c r="CD58" i="2"/>
  <c r="CD45" i="2"/>
  <c r="CD83" i="2"/>
  <c r="CD111" i="2"/>
  <c r="CD165" i="2"/>
  <c r="CD7" i="2"/>
  <c r="CD156" i="2"/>
  <c r="CD70" i="2"/>
  <c r="CD31" i="2"/>
  <c r="CD21" i="2"/>
  <c r="CD105" i="2"/>
  <c r="CD167" i="2"/>
  <c r="CD137" i="2"/>
  <c r="CD59" i="2"/>
  <c r="CD117" i="2"/>
  <c r="CD66" i="2"/>
  <c r="CD149" i="2"/>
  <c r="CD75" i="2"/>
  <c r="CD51" i="2"/>
  <c r="CD150" i="2"/>
  <c r="CD43" i="2"/>
  <c r="CD73" i="2"/>
  <c r="CD177" i="2"/>
  <c r="CD182" i="2"/>
  <c r="CD194" i="2"/>
  <c r="CD56" i="2"/>
  <c r="CD162" i="2"/>
  <c r="CD4" i="2"/>
  <c r="CD136" i="2"/>
  <c r="CD116" i="2"/>
  <c r="CD127" i="2"/>
  <c r="CD53" i="2"/>
  <c r="CD3" i="2"/>
  <c r="C9" i="4" s="1"/>
  <c r="E9" i="4" s="1"/>
  <c r="F9" i="4" s="1"/>
  <c r="G9" i="4" s="1"/>
  <c r="L9" i="4" s="1"/>
  <c r="CD128" i="2"/>
  <c r="CD50" i="2"/>
  <c r="CD184" i="2"/>
  <c r="CD163" i="2"/>
  <c r="CD112" i="2"/>
  <c r="CD77" i="2"/>
  <c r="CD146" i="2"/>
  <c r="CD170" i="2"/>
  <c r="CD90" i="2"/>
  <c r="CD34" i="2"/>
  <c r="CD74" i="2"/>
  <c r="CD192" i="2"/>
  <c r="CD14" i="2"/>
  <c r="CD160" i="2"/>
  <c r="CD42" i="2"/>
  <c r="CD154" i="2"/>
  <c r="CD185" i="2"/>
  <c r="CD179" i="2"/>
  <c r="CD189" i="2"/>
  <c r="CD62" i="2"/>
  <c r="CD54" i="2"/>
  <c r="CD173" i="2"/>
  <c r="CD114" i="2"/>
  <c r="CD139" i="2"/>
  <c r="CD88" i="2"/>
  <c r="CD22" i="2"/>
  <c r="CD183" i="2"/>
  <c r="CD121" i="2"/>
  <c r="CD93" i="2"/>
  <c r="CD141" i="2"/>
  <c r="CD20" i="2"/>
  <c r="CD101" i="2"/>
  <c r="CD89" i="2"/>
  <c r="CD120" i="2"/>
  <c r="CD39" i="2"/>
  <c r="CD142" i="2"/>
  <c r="CD178" i="2"/>
  <c r="CD76" i="2"/>
  <c r="CD124" i="2"/>
  <c r="CD158" i="2"/>
  <c r="CD172" i="2"/>
  <c r="CD84" i="2"/>
  <c r="CD133" i="2"/>
  <c r="CD171" i="2"/>
  <c r="CD65" i="2"/>
  <c r="CD37" i="2"/>
  <c r="CD80" i="2"/>
  <c r="CD10" i="2"/>
  <c r="CD71" i="2"/>
  <c r="CD72" i="2"/>
  <c r="CD85" i="2"/>
  <c r="CD95" i="2"/>
  <c r="CD35" i="2"/>
  <c r="CD82" i="2"/>
  <c r="CD107" i="2"/>
  <c r="CD198" i="2"/>
  <c r="CD96" i="2"/>
  <c r="CD159" i="2"/>
  <c r="CD200" i="2"/>
  <c r="CD52" i="2"/>
  <c r="CD16" i="2"/>
  <c r="CD61" i="2"/>
  <c r="CD193" i="2"/>
  <c r="CD64" i="2"/>
  <c r="CD168" i="2"/>
  <c r="CD30" i="2"/>
  <c r="CD94" i="2"/>
  <c r="CD81" i="2"/>
  <c r="CD145" i="2"/>
  <c r="CD41" i="2"/>
  <c r="CD166" i="2"/>
  <c r="CD201" i="2"/>
  <c r="CD199" i="2"/>
  <c r="CD8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AN138" i="2" s="1"/>
  <c r="BF107" i="2"/>
  <c r="BG107" i="2" s="1"/>
  <c r="BH107" i="2" s="1"/>
  <c r="BS106" i="2"/>
  <c r="BE108" i="2"/>
  <c r="AN83" i="2" l="1"/>
  <c r="AN131" i="2"/>
  <c r="AN34" i="2"/>
  <c r="AN32" i="2"/>
  <c r="AN175" i="2"/>
  <c r="AN108" i="2"/>
  <c r="AN200" i="2"/>
  <c r="AN139" i="2"/>
  <c r="AN119" i="2"/>
  <c r="AN26" i="2"/>
  <c r="AN110" i="2"/>
  <c r="AN159" i="2"/>
  <c r="AN67" i="2"/>
  <c r="AN88" i="2"/>
  <c r="AN51" i="2"/>
  <c r="AN57" i="2"/>
  <c r="AN62" i="2"/>
  <c r="AN76" i="2"/>
  <c r="AN18" i="2"/>
  <c r="AN91" i="2"/>
  <c r="AN164" i="2"/>
  <c r="AN147" i="2"/>
  <c r="AN174" i="2"/>
  <c r="AN44" i="2"/>
  <c r="AN141" i="2"/>
  <c r="AN29" i="2"/>
  <c r="AN4" i="2"/>
  <c r="AN132" i="2"/>
  <c r="AN53" i="2"/>
  <c r="AN190" i="2"/>
  <c r="AN109" i="2"/>
  <c r="AN58" i="2"/>
  <c r="AN41" i="2"/>
  <c r="AN185" i="2"/>
  <c r="AN191" i="2"/>
  <c r="AN55" i="2"/>
  <c r="AN90" i="2"/>
  <c r="AN202" i="2"/>
  <c r="AN176" i="2"/>
  <c r="AN24" i="2"/>
  <c r="AN195" i="2"/>
  <c r="AN48" i="2"/>
  <c r="AN136" i="2"/>
  <c r="AN85" i="2"/>
  <c r="AN130" i="2"/>
  <c r="AN135" i="2"/>
  <c r="AN21" i="2"/>
  <c r="AN122" i="2"/>
  <c r="AN169" i="2"/>
  <c r="AN137" i="2"/>
  <c r="AN156" i="2"/>
  <c r="AN66" i="2"/>
  <c r="AN37" i="2"/>
  <c r="AN163" i="2"/>
  <c r="AN188" i="2"/>
  <c r="AN100" i="2"/>
  <c r="AN194" i="2"/>
  <c r="AN123" i="2"/>
  <c r="AN142" i="2"/>
  <c r="AN65" i="2"/>
  <c r="AN157" i="2"/>
  <c r="AN166" i="2"/>
  <c r="AN75" i="2"/>
  <c r="AN182" i="2"/>
  <c r="AN143" i="2"/>
  <c r="AN198" i="2"/>
  <c r="AN6" i="2"/>
  <c r="AN23" i="2"/>
  <c r="AN50" i="2"/>
  <c r="AN52" i="2"/>
  <c r="AN146" i="2"/>
  <c r="AN39" i="2"/>
  <c r="AN71" i="2"/>
  <c r="AN10" i="2"/>
  <c r="AN184" i="2"/>
  <c r="AN86" i="2"/>
  <c r="AN114" i="2"/>
  <c r="AN172" i="2"/>
  <c r="AN7" i="2"/>
  <c r="AN87" i="2"/>
  <c r="AN197" i="2"/>
  <c r="AN193" i="2"/>
  <c r="AN77" i="2"/>
  <c r="AN95" i="2"/>
  <c r="AN82" i="2"/>
  <c r="AN46" i="2"/>
  <c r="AN158" i="2"/>
  <c r="AN134" i="2"/>
  <c r="AN112" i="2"/>
  <c r="AN43" i="2"/>
  <c r="AN104" i="2"/>
  <c r="AN148" i="2"/>
  <c r="AN127" i="2"/>
  <c r="AN162" i="2"/>
  <c r="AN183" i="2"/>
  <c r="AN54" i="2"/>
  <c r="AN28" i="2"/>
  <c r="AN36" i="2"/>
  <c r="AN68" i="2"/>
  <c r="AN181" i="2"/>
  <c r="AN165" i="2"/>
  <c r="AN106" i="2"/>
  <c r="AN170" i="2"/>
  <c r="AN49" i="2"/>
  <c r="AN160" i="2"/>
  <c r="AN8" i="2"/>
  <c r="AN33" i="2"/>
  <c r="AN38" i="2"/>
  <c r="AN19" i="2"/>
  <c r="AN93" i="2"/>
  <c r="AN126" i="2"/>
  <c r="AN30" i="2"/>
  <c r="AN89" i="2"/>
  <c r="AN92" i="2"/>
  <c r="AN125" i="2"/>
  <c r="AN177" i="2"/>
  <c r="AN42" i="2"/>
  <c r="AN45" i="2"/>
  <c r="AN9" i="2"/>
  <c r="AN97" i="2"/>
  <c r="AN3" i="2"/>
  <c r="C7" i="4" s="1"/>
  <c r="E7" i="4" s="1"/>
  <c r="F7" i="4" s="1"/>
  <c r="G7" i="4" s="1"/>
  <c r="L7" i="4" s="1"/>
  <c r="AN12" i="2"/>
  <c r="AN115" i="2"/>
  <c r="AN5" i="2"/>
  <c r="AN70" i="2"/>
  <c r="AN99" i="2"/>
  <c r="AN22" i="2"/>
  <c r="AN161" i="2"/>
  <c r="AN25" i="2"/>
  <c r="AN155" i="2"/>
  <c r="AN167" i="2"/>
  <c r="AN56" i="2"/>
  <c r="AN171" i="2"/>
  <c r="AN16" i="2"/>
  <c r="AN120" i="2"/>
  <c r="AN173" i="2"/>
  <c r="AN140" i="2"/>
  <c r="AN101" i="2"/>
  <c r="AN150" i="2"/>
  <c r="AN15" i="2"/>
  <c r="AN60" i="2"/>
  <c r="AN113" i="2"/>
  <c r="AN94" i="2"/>
  <c r="AN27" i="2"/>
  <c r="AN178" i="2"/>
  <c r="AN118" i="2"/>
  <c r="AN80" i="2"/>
  <c r="AN40" i="2"/>
  <c r="AN152" i="2"/>
  <c r="AN47" i="2"/>
  <c r="AN98" i="2"/>
  <c r="AN17" i="2"/>
  <c r="AN145" i="2"/>
  <c r="AN61" i="2"/>
  <c r="AN186" i="2"/>
  <c r="AN121" i="2"/>
  <c r="AN59" i="2"/>
  <c r="AN199" i="2"/>
  <c r="AN20" i="2"/>
  <c r="AN133" i="2"/>
  <c r="AN151" i="2"/>
  <c r="AN102" i="2"/>
  <c r="AN81" i="2"/>
  <c r="AN124" i="2"/>
  <c r="AN69" i="2"/>
  <c r="AN116" i="2"/>
  <c r="AN128" i="2"/>
  <c r="AN111" i="2"/>
  <c r="AN84" i="2"/>
  <c r="AN192" i="2"/>
  <c r="AN64" i="2"/>
  <c r="AN14" i="2"/>
  <c r="AN168" i="2"/>
  <c r="AN179" i="2"/>
  <c r="AN31" i="2"/>
  <c r="AN79" i="2"/>
  <c r="AN189" i="2"/>
  <c r="AN103" i="2"/>
  <c r="AN201" i="2"/>
  <c r="AN129" i="2"/>
  <c r="AN153" i="2"/>
  <c r="AN72" i="2"/>
  <c r="AN117" i="2"/>
  <c r="AN78" i="2"/>
  <c r="AN154" i="2"/>
  <c r="AN144" i="2"/>
  <c r="AN35" i="2"/>
  <c r="AN73" i="2"/>
  <c r="AN13" i="2"/>
  <c r="AN105" i="2"/>
  <c r="AN74" i="2"/>
  <c r="AN149" i="2"/>
  <c r="AN63" i="2"/>
  <c r="AN11" i="2"/>
  <c r="AN180" i="2"/>
  <c r="AN96" i="2"/>
  <c r="AN107" i="2"/>
  <c r="AN203" i="2"/>
  <c r="AN187" i="2"/>
  <c r="AN196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4" i="2" l="1"/>
  <c r="BI115" i="2"/>
  <c r="BI151" i="2"/>
  <c r="BI121" i="2"/>
  <c r="BI47" i="2"/>
  <c r="BI23" i="2"/>
  <c r="BI22" i="2"/>
  <c r="BI66" i="2"/>
  <c r="BI192" i="2"/>
  <c r="BI170" i="2"/>
  <c r="BI158" i="2"/>
  <c r="BI30" i="2"/>
  <c r="BI176" i="2"/>
  <c r="BI63" i="2"/>
  <c r="BI29" i="2"/>
  <c r="BI88" i="2"/>
  <c r="BI141" i="2"/>
  <c r="BI199" i="2"/>
  <c r="BI61" i="2"/>
  <c r="BI126" i="2"/>
  <c r="BI173" i="2"/>
  <c r="BI50" i="2"/>
  <c r="BI68" i="2"/>
  <c r="BI4" i="2"/>
  <c r="BI105" i="2"/>
  <c r="BI19" i="2"/>
  <c r="BI172" i="2"/>
  <c r="BI152" i="2"/>
  <c r="BI12" i="2"/>
  <c r="BI184" i="2"/>
  <c r="BI92" i="2"/>
  <c r="BI52" i="2"/>
  <c r="BI77" i="2"/>
  <c r="BI69" i="2"/>
  <c r="BI139" i="2"/>
  <c r="BI132" i="2"/>
  <c r="BI109" i="2"/>
  <c r="BI133" i="2"/>
  <c r="BI146" i="2"/>
  <c r="BI85" i="2"/>
  <c r="BI87" i="2"/>
  <c r="BI119" i="2"/>
  <c r="BI180" i="2"/>
  <c r="BI112" i="2"/>
  <c r="BI130" i="2"/>
  <c r="BI3" i="2"/>
  <c r="C8" i="4" s="1"/>
  <c r="E8" i="4" s="1"/>
  <c r="F8" i="4" s="1"/>
  <c r="G8" i="4" s="1"/>
  <c r="L8" i="4" s="1"/>
  <c r="BI67" i="2"/>
  <c r="BI104" i="2"/>
  <c r="BI25" i="2"/>
  <c r="BI28" i="2"/>
  <c r="BI198" i="2"/>
  <c r="BI16" i="2"/>
  <c r="BI59" i="2"/>
  <c r="BI164" i="2"/>
  <c r="BI201" i="2"/>
  <c r="BI42" i="2"/>
  <c r="BI203" i="2"/>
  <c r="BI202" i="2"/>
  <c r="BI20" i="2"/>
  <c r="BI24" i="2"/>
  <c r="BI125" i="2"/>
  <c r="BI96" i="2"/>
  <c r="BI53" i="2"/>
  <c r="BI143" i="2"/>
  <c r="BI127" i="2"/>
  <c r="BI153" i="2"/>
  <c r="BI166" i="2"/>
  <c r="BI76" i="2"/>
  <c r="BI97" i="2"/>
  <c r="BI91" i="2"/>
  <c r="BI32" i="2"/>
  <c r="BI145" i="2"/>
  <c r="BI71" i="2"/>
  <c r="BI148" i="2"/>
  <c r="BI129" i="2"/>
  <c r="BI156" i="2"/>
  <c r="BI188" i="2"/>
  <c r="BI93" i="2"/>
  <c r="BI11" i="2"/>
  <c r="BI39" i="2"/>
  <c r="BI190" i="2"/>
  <c r="BI51" i="2"/>
  <c r="BI79" i="2"/>
  <c r="BI89" i="2"/>
  <c r="BI98" i="2"/>
  <c r="BI35" i="2"/>
  <c r="BI113" i="2"/>
  <c r="BI31" i="2"/>
  <c r="BI114" i="2"/>
  <c r="BI135" i="2"/>
  <c r="BI90" i="2"/>
  <c r="BI40" i="2"/>
  <c r="BI56" i="2"/>
  <c r="BI15" i="2"/>
  <c r="BI163" i="2"/>
  <c r="BI33" i="2"/>
  <c r="BI86" i="2"/>
  <c r="BI106" i="2"/>
  <c r="BI197" i="2"/>
  <c r="BI75" i="2"/>
  <c r="BI169" i="2"/>
  <c r="BI154" i="2"/>
  <c r="BI99" i="2"/>
  <c r="BI74" i="2"/>
  <c r="BI65" i="2"/>
  <c r="BI26" i="2"/>
  <c r="BI81" i="2"/>
  <c r="BI13" i="2"/>
  <c r="BI9" i="2"/>
  <c r="BI131" i="2"/>
  <c r="BI116" i="2"/>
  <c r="BI49" i="2"/>
  <c r="BI122" i="2"/>
  <c r="BI193" i="2"/>
  <c r="BI174" i="2"/>
  <c r="BI160" i="2"/>
  <c r="BI181" i="2"/>
  <c r="BI48" i="2"/>
  <c r="BI195" i="2"/>
  <c r="BI150" i="2"/>
  <c r="BI186" i="2"/>
  <c r="BI73" i="2"/>
  <c r="BI100" i="2"/>
  <c r="BI83" i="2"/>
  <c r="BI46" i="2"/>
  <c r="BI189" i="2"/>
  <c r="BI36" i="2"/>
  <c r="BI165" i="2"/>
  <c r="BI161" i="2"/>
  <c r="BI84" i="2"/>
  <c r="BI171" i="2"/>
  <c r="BI136" i="2"/>
  <c r="BI175" i="2"/>
  <c r="BI45" i="2"/>
  <c r="BI124" i="2"/>
  <c r="BI157" i="2"/>
  <c r="BI58" i="2"/>
  <c r="BI137" i="2"/>
  <c r="BI183" i="2"/>
  <c r="BI200" i="2"/>
  <c r="BI101" i="2"/>
  <c r="BI147" i="2"/>
  <c r="BI54" i="2"/>
  <c r="BI6" i="2"/>
  <c r="BI185" i="2"/>
  <c r="BI7" i="2"/>
  <c r="BI144" i="2"/>
  <c r="BI168" i="2"/>
  <c r="BI178" i="2"/>
  <c r="BI80" i="2"/>
  <c r="BI149" i="2"/>
  <c r="BI38" i="2"/>
  <c r="BI37" i="2"/>
  <c r="BI57" i="2"/>
  <c r="BI8" i="2"/>
  <c r="BI120" i="2"/>
  <c r="BI44" i="2"/>
  <c r="BI179" i="2"/>
  <c r="BI64" i="2"/>
  <c r="BI111" i="2"/>
  <c r="BI78" i="2"/>
  <c r="BI155" i="2"/>
  <c r="BI140" i="2"/>
  <c r="BI10" i="2"/>
  <c r="BI55" i="2"/>
  <c r="BI108" i="2"/>
  <c r="BI60" i="2"/>
  <c r="BI191" i="2"/>
  <c r="BI142" i="2"/>
  <c r="BI123" i="2"/>
  <c r="BI167" i="2"/>
  <c r="BI182" i="2"/>
  <c r="BI138" i="2"/>
  <c r="BI159" i="2"/>
  <c r="BI103" i="2"/>
  <c r="BI134" i="2"/>
  <c r="BI14" i="2"/>
  <c r="BI117" i="2"/>
  <c r="BI43" i="2"/>
  <c r="BI107" i="2"/>
  <c r="BI18" i="2"/>
  <c r="BI17" i="2"/>
  <c r="BI82" i="2"/>
  <c r="BI94" i="2"/>
  <c r="BI118" i="2"/>
  <c r="BI177" i="2"/>
  <c r="BI162" i="2"/>
  <c r="BI72" i="2"/>
  <c r="BI95" i="2"/>
  <c r="BI34" i="2"/>
  <c r="BI21" i="2"/>
  <c r="BI70" i="2"/>
  <c r="BI110" i="2"/>
  <c r="BI187" i="2"/>
  <c r="BI196" i="2"/>
  <c r="BI5" i="2"/>
  <c r="BI41" i="2"/>
  <c r="BI102" i="2"/>
  <c r="BI62" i="2"/>
  <c r="BI27" i="2"/>
  <c r="BI12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<sst xmlns="http://schemas.openxmlformats.org/spreadsheetml/2006/main" count="1189" uniqueCount="334">
  <si>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</si>
  <si>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</si>
  <si>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</si>
  <si>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</si>
  <si>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</si>
  <si>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</si>
  <si>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</si>
  <si>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</si>
  <si>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</si>
  <si>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</si>
  <si>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</si>
  <si>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</si>
  <si>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</si>
  <si>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</si>
  <si>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</si>
  <si>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</si>
  <si>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</si>
  <si>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</si>
  <si>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</si>
  <si>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</si>
  <si>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</si>
  <si>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</si>
  <si>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</si>
  <si>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</si>
  <si>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</si>
  <si>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</si>
  <si>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</si>
  <si>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</si>
  <si>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</si>
  <si>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</si>
  <si>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</si>
  <si>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</si>
  <si>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</si>
  <si>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</si>
  <si>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</si>
  <si>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</si>
  <si>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</si>
  <si>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</si>
  <si>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</si>
  <si>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</si>
  <si>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</si>
  <si>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</si>
  <si>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</si>
  <si>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</si>
  <si>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</si>
  <si>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</si>
  <si>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</si>
  <si>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</si>
  <si>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</si>
  <si>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</si>
  <si>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</si>
  <si>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</si>
  <si>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</si>
  <si>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</si>
  <si>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</si>
  <si>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</si>
  <si>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</si>
  <si>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</si>
  <si>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</si>
  <si>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</si>
  <si>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</si>
  <si>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</si>
  <si>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</si>
  <si>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</si>
  <si>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</si>
  <si>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</si>
  <si>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</si>
  <si>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</si>
  <si>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</si>
  <si>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</si>
  <si>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</si>
  <si>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</si>
  <si>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</si>
  <si>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</si>
  <si>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</si>
  <si>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</si>
  <si>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</si>
  <si>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</si>
  <si>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</si>
  <si>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</si>
  <si>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</si>
  <si>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</si>
  <si>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</si>
  <si>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</si>
  <si>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</si>
  <si>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</si>
  <si>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</si>
  <si>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</si>
  <si>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</si>
  <si>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</si>
  <si>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</si>
  <si>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</si>
  <si>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</si>
  <si>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</si>
  <si>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</si>
  <si>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</si>
  <si>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</si>
  <si>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</si>
  <si>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</si>
  <si>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</si>
  <si>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</si>
  <si>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</si>
  <si>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</si>
  <si>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</si>
  <si>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</si>
  <si>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</si>
  <si>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</si>
  <si>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</si>
  <si>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</si>
  <si>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</si>
  <si>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</si>
  <si>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</si>
  <si>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</si>
  <si>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</si>
  <si>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</si>
  <si>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</si>
  <si>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</si>
  <si>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</si>
  <si>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</si>
  <si>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</si>
  <si>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</si>
  <si>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</si>
  <si>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</si>
  <si>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</si>
  <si>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</si>
  <si>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</si>
  <si>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</si>
  <si>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</si>
  <si>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</si>
  <si>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</si>
  <si>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</si>
  <si>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</si>
  <si>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</si>
  <si>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</si>
  <si>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</si>
  <si>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</si>
  <si>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</si>
  <si>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</si>
  <si>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</si>
  <si>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</si>
  <si>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</si>
  <si>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</si>
  <si>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</si>
  <si>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</si>
  <si>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</si>
  <si>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</si>
  <si>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</si>
  <si>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</si>
  <si>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</si>
  <si>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</si>
  <si>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</si>
  <si>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</si>
  <si>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</si>
  <si>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</si>
  <si>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</si>
  <si>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</si>
  <si>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</si>
  <si>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</si>
  <si>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</si>
  <si>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</si>
  <si>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</si>
  <si>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</si>
  <si>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</si>
  <si>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</si>
  <si>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</si>
  <si>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</si>
  <si>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</si>
  <si>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</si>
  <si>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</si>
  <si>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</si>
  <si>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</si>
  <si>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</si>
  <si>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</si>
  <si>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</si>
  <si>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</si>
  <si>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</si>
  <si>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</si>
  <si>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</si>
  <si>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</si>
  <si>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</si>
  <si>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</si>
  <si>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</si>
  <si>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</si>
  <si>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</si>
  <si>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</si>
  <si>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</si>
  <si>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</si>
  <si>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</si>
  <si>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</si>
  <si>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</si>
  <si>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</si>
  <si>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</si>
  <si>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</si>
  <si>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</si>
  <si>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</si>
  <si>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</si>
  <si>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</si>
  <si>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</si>
  <si>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</si>
  <si>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</si>
  <si>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</si>
  <si>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</si>
  <si>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</si>
  <si>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</si>
  <si>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</si>
  <si>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</si>
  <si>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</si>
  <si>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</si>
  <si>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</si>
  <si>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</si>
  <si>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</si>
  <si>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</si>
  <si>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</si>
  <si>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</si>
  <si>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</si>
  <si>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</si>
  <si>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</si>
  <si>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</si>
  <si>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</si>
  <si>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</si>
  <si>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</si>
  <si>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</si>
  <si>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</si>
  <si>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</si>
  <si>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</si>
  <si>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</si>
  <si>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</si>
  <si>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</si>
  <si>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</si>
  <si>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</si>
  <si>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</si>
  <si>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</si>
  <si>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</si>
  <si>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</si>
  <si>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</si>
  <si>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</si>
  <si>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</si>
  <si>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</si>
  <si>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</si>
  <si>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</si>
  <si>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</si>
  <si>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</si>
  <si>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</si>
  <si>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</si>
  <si>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</si>
  <si>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</si>
  <si>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</si>
  <si>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</si>
  <si>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</si>
  <si>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</si>
  <si>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</si>
  <si>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</si>
  <si>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</si>
  <si>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</si>
  <si>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</si>
  <si>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</si>
  <si>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</si>
  <si>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</si>
  <si>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</si>
  <si>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</si>
  <si>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</si>
  <si>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</si>
  <si>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</si>
  <si>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</si>
  <si>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</si>
  <si>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</si>
  <si>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</si>
  <si>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</si>
  <si>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</si>
  <si>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</si>
  <si>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</si>
  <si>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</si>
  <si>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</si>
  <si>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</si>
  <si>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</si>
  <si>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</si>
  <si>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</si>
  <si>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</si>
  <si>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</si>
  <si>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</si>
  <si>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</si>
  <si>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</si>
  <si>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</si>
  <si>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</si>
  <si>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</si>
  <si>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</si>
  <si>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</si>
  <si>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</si>
  <si>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</si>
  <si>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</si>
  <si>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</si>
  <si>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</si>
  <si>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</si>
  <si>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</si>
  <si>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</si>
  <si>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</si>
  <si>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</si>
  <si>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</si>
  <si>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</si>
  <si>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</si>
  <si>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</si>
  <si>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</si>
  <si>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</si>
  <si>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</si>
  <si>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</si>
  <si>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</si>
  <si>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</si>
  <si>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</si>
  <si>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</si>
  <si>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</si>
  <si>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</si>
  <si>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</si>
  <si>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</si>
  <si>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</si>
  <si>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</si>
  <si>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</si>
  <si>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</si>
  <si>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</si>
  <si>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</si>
  <si>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</si>
  <si>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</si>
  <si>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</si>
  <si>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</si>
  <si>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</si>
  <si>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F2</t>
  </si>
  <si>
    <t>UK For Com. F8</t>
  </si>
  <si>
    <t>ONF-CHP_F2</t>
  </si>
  <si>
    <t>ONF_CHS_ Loire bassin_F2</t>
  </si>
  <si>
    <t>Chêne vert et pubescent_ONF_CHS_F3</t>
  </si>
  <si>
    <t>P.J Faber_F3/6</t>
  </si>
  <si>
    <t>K. Rédei_F3</t>
  </si>
  <si>
    <t>Duyck</t>
  </si>
  <si>
    <t>Braastad_F1</t>
  </si>
  <si>
    <t>J.J. Janssen_F2/5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</si>
</sst>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168" fontId="0" fillId="0" borderId="0" xfId="0" applyNumberFormat="1" applyProtection="1">
      <protection locked="0"/>
    </xf>
    <xf numFmtId="1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9.2921937322638239</c:v>
                </c:pt>
                <c:pt idx="2">
                  <c:v>18.177089899913412</c:v>
                </c:pt>
                <c:pt idx="3">
                  <c:v>26.930449399251376</c:v>
                </c:pt>
                <c:pt idx="4">
                  <c:v>35.602726635721403</c:v>
                </c:pt>
                <c:pt idx="5">
                  <c:v>44.216789199875343</c:v>
                </c:pt>
                <c:pt idx="6">
                  <c:v>52.785681720112542</c:v>
                </c:pt>
                <c:pt idx="7">
                  <c:v>61.317813563984139</c:v>
                </c:pt>
                <c:pt idx="8">
                  <c:v>69.819042187991144</c:v>
                </c:pt>
                <c:pt idx="9">
                  <c:v>78.293672897174659</c:v>
                </c:pt>
                <c:pt idx="10">
                  <c:v>86.744998135170761</c:v>
                </c:pt>
                <c:pt idx="11">
                  <c:v>95.175613751905487</c:v>
                </c:pt>
                <c:pt idx="12">
                  <c:v>103.58761655378898</c:v>
                </c:pt>
                <c:pt idx="13">
                  <c:v>111.98273395137143</c:v>
                </c:pt>
                <c:pt idx="14">
                  <c:v>120.36241250311315</c:v>
                </c:pt>
                <c:pt idx="15">
                  <c:v>128.7278804064338</c:v>
                </c:pt>
                <c:pt idx="16">
                  <c:v>137.08019283445722</c:v>
                </c:pt>
                <c:pt idx="17">
                  <c:v>145.42026560884469</c:v>
                </c:pt>
                <c:pt idx="18">
                  <c:v>153.74890072101104</c:v>
                </c:pt>
                <c:pt idx="19">
                  <c:v>162.06680601936617</c:v>
                </c:pt>
                <c:pt idx="20">
                  <c:v>170.37461063363551</c:v>
                </c:pt>
                <c:pt idx="21">
                  <c:v>178.67287722665</c:v>
                </c:pt>
                <c:pt idx="22">
                  <c:v>186.96211184634055</c:v>
                </c:pt>
                <c:pt idx="23">
                  <c:v>195.24277193582597</c:v>
                </c:pt>
                <c:pt idx="24">
                  <c:v>203.51527291113393</c:v>
                </c:pt>
                <c:pt idx="25">
                  <c:v>211.77999361174412</c:v>
                </c:pt>
                <c:pt idx="26">
                  <c:v>220.03728085449575</c:v>
                </c:pt>
                <c:pt idx="27">
                  <c:v>228.28745326718865</c:v>
                </c:pt>
                <c:pt idx="28">
                  <c:v>236.53080453827673</c:v>
                </c:pt>
                <c:pt idx="29">
                  <c:v>244.76760618927483</c:v>
                </c:pt>
                <c:pt idx="30">
                  <c:v>252.99810995402035</c:v>
                </c:pt>
                <c:pt idx="31">
                  <c:v>261.22254983178902</c:v>
                </c:pt>
                <c:pt idx="32">
                  <c:v>269.44114386805046</c:v>
                </c:pt>
                <c:pt idx="33">
                  <c:v>277.65409570637627</c:v>
                </c:pt>
                <c:pt idx="34">
                  <c:v>285.86159594695238</c:v>
                </c:pt>
                <c:pt idx="35">
                  <c:v>294.06382334077597</c:v>
                </c:pt>
                <c:pt idx="36">
                  <c:v>302.26094584353649</c:v>
                </c:pt>
                <c:pt idx="37">
                  <c:v>310.45312154910624</c:v>
                </c:pt>
                <c:pt idx="38">
                  <c:v>318.64049951927569</c:v>
                </c:pt>
                <c:pt idx="39">
                  <c:v>326.82322052369108</c:v>
                </c:pt>
                <c:pt idx="40">
                  <c:v>335.00141770176555</c:v>
                </c:pt>
                <c:pt idx="41">
                  <c:v>343.17521715653567</c:v>
                </c:pt>
                <c:pt idx="42">
                  <c:v>351.34473848895027</c:v>
                </c:pt>
                <c:pt idx="43">
                  <c:v>359.5100952798403</c:v>
                </c:pt>
                <c:pt idx="44">
                  <c:v>367.6713955257913</c:v>
                </c:pt>
                <c:pt idx="45">
                  <c:v>375.82874203427474</c:v>
                </c:pt>
                <c:pt idx="46">
                  <c:v>383.98223278266511</c:v>
                </c:pt>
                <c:pt idx="47">
                  <c:v>392.13196124515889</c:v>
                </c:pt>
                <c:pt idx="48">
                  <c:v>400.27801669108413</c:v>
                </c:pt>
                <c:pt idx="49">
                  <c:v>408.42048445765022</c:v>
                </c:pt>
                <c:pt idx="50">
                  <c:v>416.55944619980323</c:v>
                </c:pt>
                <c:pt idx="51">
                  <c:v>424.69498011952811</c:v>
                </c:pt>
                <c:pt idx="52">
                  <c:v>432.82716117665836</c:v>
                </c:pt>
                <c:pt idx="53">
                  <c:v>440.95606128301159</c:v>
                </c:pt>
                <c:pt idx="54">
                  <c:v>449.08174948145785</c:v>
                </c:pt>
                <c:pt idx="55">
                  <c:v>457.20429211135001</c:v>
                </c:pt>
                <c:pt idx="56">
                  <c:v>465.32375296158119</c:v>
                </c:pt>
                <c:pt idx="57">
                  <c:v>473.44019341240033</c:v>
                </c:pt>
                <c:pt idx="58">
                  <c:v>481.55367256699475</c:v>
                </c:pt>
                <c:pt idx="59">
                  <c:v>489.66424737373995</c:v>
                </c:pt>
                <c:pt idx="60">
                  <c:v>497.77197273992761</c:v>
                </c:pt>
                <c:pt idx="61">
                  <c:v>337.99381912917073</c:v>
                </c:pt>
                <c:pt idx="62">
                  <c:v>354.75361283544322</c:v>
                </c:pt>
                <c:pt idx="63">
                  <c:v>371.4960677901409</c:v>
                </c:pt>
                <c:pt idx="64">
                  <c:v>388.22207520036437</c:v>
                </c:pt>
                <c:pt idx="65">
                  <c:v>404.93244323061884</c:v>
                </c:pt>
                <c:pt idx="66">
                  <c:v>421.6279079194253</c:v>
                </c:pt>
                <c:pt idx="67">
                  <c:v>438.30914227662203</c:v>
                </c:pt>
                <c:pt idx="68">
                  <c:v>454.97676392363013</c:v>
                </c:pt>
                <c:pt idx="69">
                  <c:v>471.63134155593411</c:v>
                </c:pt>
                <c:pt idx="70">
                  <c:v>385.77341475380621</c:v>
                </c:pt>
                <c:pt idx="71">
                  <c:v>402.12352873367144</c:v>
                </c:pt>
                <c:pt idx="72">
                  <c:v>418.45926535082413</c:v>
                </c:pt>
                <c:pt idx="73">
                  <c:v>434.78126470985643</c:v>
                </c:pt>
                <c:pt idx="74">
                  <c:v>451.09011494954387</c:v>
                </c:pt>
                <c:pt idx="75">
                  <c:v>467.38635822676127</c:v>
                </c:pt>
                <c:pt idx="76">
                  <c:v>483.67049582249541</c:v>
                </c:pt>
                <c:pt idx="77">
                  <c:v>499.94299252456011</c:v>
                </c:pt>
                <c:pt idx="78">
                  <c:v>434.22346793695078</c:v>
                </c:pt>
                <c:pt idx="79">
                  <c:v>450.53443732842976</c:v>
                </c:pt>
                <c:pt idx="80">
                  <c:v>466.83277937674598</c:v>
                </c:pt>
                <c:pt idx="81">
                  <c:v>483.11899683366778</c:v>
                </c:pt>
                <c:pt idx="82">
                  <c:v>499.39355580421892</c:v>
                </c:pt>
                <c:pt idx="83">
                  <c:v>515.65688954981795</c:v>
                </c:pt>
                <c:pt idx="84">
                  <c:v>531.90940178680432</c:v>
                </c:pt>
                <c:pt idx="85">
                  <c:v>548.15146956098692</c:v>
                </c:pt>
                <c:pt idx="86">
                  <c:v>564.38344576390512</c:v>
                </c:pt>
                <c:pt idx="87">
                  <c:v>490.22008003438185</c:v>
                </c:pt>
                <c:pt idx="88">
                  <c:v>506.52720231700965</c:v>
                </c:pt>
                <c:pt idx="89">
                  <c:v>522.82322886599707</c:v>
                </c:pt>
                <c:pt idx="90">
                  <c:v>539.10855405682867</c:v>
                </c:pt>
                <c:pt idx="91">
                  <c:v>555.38354650797817</c:v>
                </c:pt>
                <c:pt idx="92">
                  <c:v>571.64855148415324</c:v>
                </c:pt>
                <c:pt idx="93">
                  <c:v>587.90389301192556</c:v>
                </c:pt>
                <c:pt idx="94">
                  <c:v>604.14987574932786</c:v>
                </c:pt>
                <c:pt idx="95">
                  <c:v>620.38678664400345</c:v>
                </c:pt>
                <c:pt idx="96">
                  <c:v>535.20146005564482</c:v>
                </c:pt>
                <c:pt idx="97">
                  <c:v>551.5216935459855</c:v>
                </c:pt>
                <c:pt idx="98">
                  <c:v>567.83180658091271</c:v>
                </c:pt>
                <c:pt idx="99">
                  <c:v>584.13213062540228</c:v>
                </c:pt>
                <c:pt idx="100">
                  <c:v>600.42297714807262</c:v>
                </c:pt>
                <c:pt idx="101">
                  <c:v>616.70463934847601</c:v>
                </c:pt>
                <c:pt idx="102">
                  <c:v>632.97739369260296</c:v>
                </c:pt>
                <c:pt idx="103">
                  <c:v>649.24150128237454</c:v>
                </c:pt>
                <c:pt idx="104">
                  <c:v>665.49720908086226</c:v>
                </c:pt>
                <c:pt idx="105">
                  <c:v>587.42577263819874</c:v>
                </c:pt>
                <c:pt idx="106">
                  <c:v>603.96300828048697</c:v>
                </c:pt>
                <c:pt idx="107">
                  <c:v>620.49084073562256</c:v>
                </c:pt>
                <c:pt idx="108">
                  <c:v>637.00955557694726</c:v>
                </c:pt>
                <c:pt idx="109">
                  <c:v>653.51942237008052</c:v>
                </c:pt>
                <c:pt idx="110">
                  <c:v>670.02069596024683</c:v>
                </c:pt>
                <c:pt idx="111">
                  <c:v>686.51361762628574</c:v>
                </c:pt>
                <c:pt idx="112">
                  <c:v>702.99841611808426</c:v>
                </c:pt>
                <c:pt idx="113">
                  <c:v>719.47530859171786</c:v>
                </c:pt>
                <c:pt idx="114">
                  <c:v>636.44956471430385</c:v>
                </c:pt>
                <c:pt idx="115">
                  <c:v>653.24757170569728</c:v>
                </c:pt>
                <c:pt idx="116">
                  <c:v>670.0366788968978</c:v>
                </c:pt>
                <c:pt idx="117">
                  <c:v>686.81714052237476</c:v>
                </c:pt>
                <c:pt idx="118">
                  <c:v>703.58919739092244</c:v>
                </c:pt>
                <c:pt idx="119">
                  <c:v>720.35307790432523</c:v>
                </c:pt>
                <c:pt idx="120">
                  <c:v>737.10899897634272</c:v>
                </c:pt>
                <c:pt idx="121">
                  <c:v>753.85716686386866</c:v>
                </c:pt>
                <c:pt idx="122">
                  <c:v>770.5977779204519</c:v>
                </c:pt>
                <c:pt idx="123">
                  <c:v>677.92250701858995</c:v>
                </c:pt>
                <c:pt idx="124">
                  <c:v>694.96703714366186</c:v>
                </c:pt>
                <c:pt idx="125">
                  <c:v>712.00300777439281</c:v>
                </c:pt>
                <c:pt idx="126">
                  <c:v>729.03065237867622</c:v>
                </c:pt>
                <c:pt idx="127">
                  <c:v>746.05019263912936</c:v>
                </c:pt>
                <c:pt idx="128">
                  <c:v>763.06183930876557</c:v>
                </c:pt>
                <c:pt idx="129">
                  <c:v>780.06579298646784</c:v>
                </c:pt>
                <c:pt idx="130">
                  <c:v>797.06224482139839</c:v>
                </c:pt>
                <c:pt idx="131">
                  <c:v>814.05137715426144</c:v>
                </c:pt>
                <c:pt idx="132">
                  <c:v>831.03336410230793</c:v>
                </c:pt>
                <c:pt idx="133">
                  <c:v>732.17890267223913</c:v>
                </c:pt>
                <c:pt idx="134">
                  <c:v>749.73396149321979</c:v>
                </c:pt>
                <c:pt idx="135">
                  <c:v>767.28066763444167</c:v>
                </c:pt>
                <c:pt idx="136">
                  <c:v>784.81923882471767</c:v>
                </c:pt>
                <c:pt idx="137">
                  <c:v>802.34988227819213</c:v>
                </c:pt>
                <c:pt idx="138">
                  <c:v>819.87279542542262</c:v>
                </c:pt>
                <c:pt idx="139">
                  <c:v>837.38816657878067</c:v>
                </c:pt>
                <c:pt idx="140">
                  <c:v>854.89617553934602</c:v>
                </c:pt>
                <c:pt idx="141">
                  <c:v>872.39699415155883</c:v>
                </c:pt>
                <c:pt idx="142">
                  <c:v>889.89078681110277</c:v>
                </c:pt>
                <c:pt idx="143">
                  <c:v>907.37771093082313</c:v>
                </c:pt>
                <c:pt idx="144">
                  <c:v>924.85791736890758</c:v>
                </c:pt>
                <c:pt idx="145">
                  <c:v>797.409042492558</c:v>
                </c:pt>
                <c:pt idx="146">
                  <c:v>815.36791546575341</c:v>
                </c:pt>
                <c:pt idx="147">
                  <c:v>833.31881835529202</c:v>
                </c:pt>
                <c:pt idx="148">
                  <c:v>851.26194683884012</c:v>
                </c:pt>
                <c:pt idx="149">
                  <c:v>869.19748768192801</c:v>
                </c:pt>
                <c:pt idx="150">
                  <c:v>887.12561932309336</c:v>
                </c:pt>
                <c:pt idx="151">
                  <c:v>905.04651240931889</c:v>
                </c:pt>
                <c:pt idx="152">
                  <c:v>922.96033028691181</c:v>
                </c:pt>
                <c:pt idx="153">
                  <c:v>940.86722945233839</c:v>
                </c:pt>
                <c:pt idx="154">
                  <c:v>958.76735996699881</c:v>
                </c:pt>
                <c:pt idx="155">
                  <c:v>976.66086583945616</c:v>
                </c:pt>
                <c:pt idx="156">
                  <c:v>994.54788537823799</c:v>
                </c:pt>
                <c:pt idx="157">
                  <c:v>856.37124988532958</c:v>
                </c:pt>
                <c:pt idx="158">
                  <c:v>874.68419914242725</c:v>
                </c:pt>
                <c:pt idx="159">
                  <c:v>892.98947746092699</c:v>
                </c:pt>
                <c:pt idx="160">
                  <c:v>911.28726404279223</c:v>
                </c:pt>
                <c:pt idx="161">
                  <c:v>929.57773031589704</c:v>
                </c:pt>
                <c:pt idx="162">
                  <c:v>947.86104042068712</c:v>
                </c:pt>
                <c:pt idx="163">
                  <c:v>966.13735165739001</c:v>
                </c:pt>
                <c:pt idx="164">
                  <c:v>984.40681489767428</c:v>
                </c:pt>
                <c:pt idx="165">
                  <c:v>1002.6695749642014</c:v>
                </c:pt>
                <c:pt idx="166">
                  <c:v>1020.9257709811267</c:v>
                </c:pt>
                <c:pt idx="167">
                  <c:v>1039.1755366982613</c:v>
                </c:pt>
                <c:pt idx="168">
                  <c:v>1057.4190007913146</c:v>
                </c:pt>
                <c:pt idx="169">
                  <c:v>905.91427234119362</c:v>
                </c:pt>
                <c:pt idx="170">
                  <c:v>924.23069005295258</c:v>
                </c:pt>
                <c:pt idx="171">
                  <c:v>942.53988555489889</c:v>
                </c:pt>
                <c:pt idx="172">
                  <c:v>960.84201872187566</c:v>
                </c:pt>
                <c:pt idx="173">
                  <c:v>979.13724284962302</c:v>
                </c:pt>
                <c:pt idx="174">
                  <c:v>997.42570504586217</c:v>
                </c:pt>
                <c:pt idx="175">
                  <c:v>1015.7075465912441</c:v>
                </c:pt>
                <c:pt idx="176">
                  <c:v>1033.9829032730006</c:v>
                </c:pt>
                <c:pt idx="177">
                  <c:v>1052.2519056938124</c:v>
                </c:pt>
                <c:pt idx="178">
                  <c:v>1070.5146795581438</c:v>
                </c:pt>
                <c:pt idx="179">
                  <c:v>1088.7713459380532</c:v>
                </c:pt>
                <c:pt idx="180">
                  <c:v>1107.0220215202758</c:v>
                </c:pt>
                <c:pt idx="181">
                  <c:v>699.95320311844034</c:v>
                </c:pt>
                <c:pt idx="182">
                  <c:v>711.44270042631854</c:v>
                </c:pt>
                <c:pt idx="183">
                  <c:v>722.92840698891132</c:v>
                </c:pt>
                <c:pt idx="184">
                  <c:v>734.41039149114465</c:v>
                </c:pt>
                <c:pt idx="185">
                  <c:v>498.74292576727026</c:v>
                </c:pt>
                <c:pt idx="186">
                  <c:v>506.17753727481869</c:v>
                </c:pt>
                <c:pt idx="187">
                  <c:v>513.60984023935839</c:v>
                </c:pt>
                <c:pt idx="188">
                  <c:v>521.03987279064233</c:v>
                </c:pt>
                <c:pt idx="189">
                  <c:v>351.17297949147724</c:v>
                </c:pt>
                <c:pt idx="190">
                  <c:v>355.96857950935151</c:v>
                </c:pt>
                <c:pt idx="191">
                  <c:v>360.76276478117251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3.288071008378068</c:v>
                </c:pt>
                <c:pt idx="2">
                  <c:v>4.0726800193789243</c:v>
                </c:pt>
                <c:pt idx="3">
                  <c:v>5.0452259584717147</c:v>
                </c:pt>
                <c:pt idx="4">
                  <c:v>6.2508856654705491</c:v>
                </c:pt>
                <c:pt idx="5">
                  <c:v>7.7457317685076932</c:v>
                </c:pt>
                <c:pt idx="6">
                  <c:v>9.5993686095762936</c:v>
                </c:pt>
                <c:pt idx="7">
                  <c:v>11.898207658018023</c:v>
                </c:pt>
                <c:pt idx="8">
                  <c:v>14.749537955376324</c:v>
                </c:pt>
                <c:pt idx="9">
                  <c:v>18.28658505692643</c:v>
                </c:pt>
                <c:pt idx="10">
                  <c:v>22.674799122205659</c:v>
                </c:pt>
                <c:pt idx="11">
                  <c:v>28.119671527007728</c:v>
                </c:pt>
                <c:pt idx="12">
                  <c:v>34.876452446722233</c:v>
                </c:pt>
                <c:pt idx="13">
                  <c:v>43.262232812465243</c:v>
                </c:pt>
                <c:pt idx="14">
                  <c:v>53.670967246927241</c:v>
                </c:pt>
                <c:pt idx="15">
                  <c:v>66.592155500954007</c:v>
                </c:pt>
                <c:pt idx="16">
                  <c:v>82.634075328396747</c:v>
                </c:pt>
                <c:pt idx="17">
                  <c:v>102.55267811789257</c:v>
                </c:pt>
                <c:pt idx="18">
                  <c:v>127.28753048674848</c:v>
                </c:pt>
                <c:pt idx="19">
                  <c:v>158.00652356466921</c:v>
                </c:pt>
                <c:pt idx="20">
                  <c:v>196.16149321143004</c:v>
                </c:pt>
                <c:pt idx="21">
                  <c:v>141.1921313846365</c:v>
                </c:pt>
                <c:pt idx="22">
                  <c:v>158.98102825684782</c:v>
                </c:pt>
                <c:pt idx="23">
                  <c:v>176.72271701521129</c:v>
                </c:pt>
                <c:pt idx="24">
                  <c:v>194.42260685849041</c:v>
                </c:pt>
                <c:pt idx="25">
                  <c:v>212.08503993201165</c:v>
                </c:pt>
                <c:pt idx="26">
                  <c:v>174.97956482246332</c:v>
                </c:pt>
                <c:pt idx="27">
                  <c:v>191.52365715560316</c:v>
                </c:pt>
                <c:pt idx="28">
                  <c:v>208.03448225128901</c:v>
                </c:pt>
                <c:pt idx="29">
                  <c:v>224.51505268430819</c:v>
                </c:pt>
                <c:pt idx="30">
                  <c:v>240.96790223530218</c:v>
                </c:pt>
                <c:pt idx="31">
                  <c:v>202.82393804194172</c:v>
                </c:pt>
                <c:pt idx="32">
                  <c:v>218.15754512447299</c:v>
                </c:pt>
                <c:pt idx="33">
                  <c:v>233.46638659184808</c:v>
                </c:pt>
                <c:pt idx="34">
                  <c:v>248.75231532120759</c:v>
                </c:pt>
                <c:pt idx="35">
                  <c:v>264.01693774461665</c:v>
                </c:pt>
                <c:pt idx="36">
                  <c:v>225.95936060820137</c:v>
                </c:pt>
                <c:pt idx="37">
                  <c:v>239.81417356350812</c:v>
                </c:pt>
                <c:pt idx="38">
                  <c:v>253.65076489501874</c:v>
                </c:pt>
                <c:pt idx="39">
                  <c:v>267.47026885048189</c:v>
                </c:pt>
                <c:pt idx="40">
                  <c:v>281.27369284448542</c:v>
                </c:pt>
                <c:pt idx="41">
                  <c:v>246.15813481665398</c:v>
                </c:pt>
                <c:pt idx="42">
                  <c:v>258.54707228388611</c:v>
                </c:pt>
                <c:pt idx="43">
                  <c:v>270.92259547869679</c:v>
                </c:pt>
                <c:pt idx="44">
                  <c:v>283.28540373071542</c:v>
                </c:pt>
                <c:pt idx="45">
                  <c:v>295.63613031709275</c:v>
                </c:pt>
                <c:pt idx="46">
                  <c:v>262.28989082672678</c:v>
                </c:pt>
                <c:pt idx="47">
                  <c:v>273.51119007895551</c:v>
                </c:pt>
                <c:pt idx="48">
                  <c:v>284.72214397708257</c:v>
                </c:pt>
                <c:pt idx="49">
                  <c:v>295.92321749048631</c:v>
                </c:pt>
                <c:pt idx="50">
                  <c:v>307.11483749581919</c:v>
                </c:pt>
                <c:pt idx="51">
                  <c:v>276.67428058156662</c:v>
                </c:pt>
                <c:pt idx="52">
                  <c:v>286.44601805515452</c:v>
                </c:pt>
                <c:pt idx="53">
                  <c:v>296.2102984503943</c:v>
                </c:pt>
                <c:pt idx="54">
                  <c:v>305.96740240919115</c:v>
                </c:pt>
                <c:pt idx="55">
                  <c:v>315.71759120085187</c:v>
                </c:pt>
                <c:pt idx="56">
                  <c:v>288.45691115019309</c:v>
                </c:pt>
                <c:pt idx="57">
                  <c:v>297.07150411801427</c:v>
                </c:pt>
                <c:pt idx="58">
                  <c:v>305.6805287017292</c:v>
                </c:pt>
                <c:pt idx="59">
                  <c:v>314.28416397433642</c:v>
                </c:pt>
                <c:pt idx="60">
                  <c:v>322.8825783960591</c:v>
                </c:pt>
                <c:pt idx="61">
                  <c:v>298.79374861450606</c:v>
                </c:pt>
                <c:pt idx="62">
                  <c:v>306.25427013593008</c:v>
                </c:pt>
                <c:pt idx="63">
                  <c:v>313.71075252562707</c:v>
                </c:pt>
                <c:pt idx="64">
                  <c:v>321.16330542675047</c:v>
                </c:pt>
                <c:pt idx="65">
                  <c:v>328.61203297364347</c:v>
                </c:pt>
                <c:pt idx="66">
                  <c:v>306.54113188835379</c:v>
                </c:pt>
                <c:pt idx="67">
                  <c:v>313.13731782820366</c:v>
                </c:pt>
                <c:pt idx="68">
                  <c:v>319.73042240455032</c:v>
                </c:pt>
                <c:pt idx="69">
                  <c:v>326.32051819358878</c:v>
                </c:pt>
                <c:pt idx="70">
                  <c:v>332.90767459767227</c:v>
                </c:pt>
                <c:pt idx="71">
                  <c:v>314.28416397433654</c:v>
                </c:pt>
                <c:pt idx="72">
                  <c:v>320.01701036010587</c:v>
                </c:pt>
                <c:pt idx="73">
                  <c:v>325.74758404942509</c:v>
                </c:pt>
                <c:pt idx="74">
                  <c:v>331.47593071537676</c:v>
                </c:pt>
                <c:pt idx="75">
                  <c:v>337.20209432169582</c:v>
                </c:pt>
                <c:pt idx="76">
                  <c:v>320.59016923293393</c:v>
                </c:pt>
                <c:pt idx="77">
                  <c:v>325.46110862933529</c:v>
                </c:pt>
                <c:pt idx="78">
                  <c:v>330.33043740994844</c:v>
                </c:pt>
                <c:pt idx="79">
                  <c:v>335.1981827000381</c:v>
                </c:pt>
                <c:pt idx="80">
                  <c:v>340.06437077167755</c:v>
                </c:pt>
                <c:pt idx="81">
                  <c:v>325.7475840494252</c:v>
                </c:pt>
                <c:pt idx="82">
                  <c:v>330.04405039974438</c:v>
                </c:pt>
                <c:pt idx="83">
                  <c:v>334.33928271745117</c:v>
                </c:pt>
                <c:pt idx="84">
                  <c:v>338.63329911701231</c:v>
                </c:pt>
                <c:pt idx="85">
                  <c:v>342.92611721533967</c:v>
                </c:pt>
                <c:pt idx="86">
                  <c:v>329.75765790514214</c:v>
                </c:pt>
                <c:pt idx="87">
                  <c:v>333.76665571836935</c:v>
                </c:pt>
                <c:pt idx="88">
                  <c:v>337.77459225793865</c:v>
                </c:pt>
                <c:pt idx="89">
                  <c:v>341.78148191306605</c:v>
                </c:pt>
                <c:pt idx="90">
                  <c:v>345.78733870754758</c:v>
                </c:pt>
                <c:pt idx="91">
                  <c:v>6.0359926417012276E-12</c:v>
                </c:pt>
                <c:pt idx="92">
                  <c:v>6.0359926417012276E-12</c:v>
                </c:pt>
                <c:pt idx="93">
                  <c:v>6.0359926417012276E-12</c:v>
                </c:pt>
                <c:pt idx="94">
                  <c:v>6.0359926417012276E-12</c:v>
                </c:pt>
                <c:pt idx="95">
                  <c:v>6.0359926417012276E-12</c:v>
                </c:pt>
                <c:pt idx="96">
                  <c:v>6.0359926417012276E-12</c:v>
                </c:pt>
                <c:pt idx="97">
                  <c:v>6.0359926417012276E-12</c:v>
                </c:pt>
                <c:pt idx="98">
                  <c:v>6.0359926417012276E-12</c:v>
                </c:pt>
                <c:pt idx="99">
                  <c:v>6.0359926417012276E-12</c:v>
                </c:pt>
                <c:pt idx="100">
                  <c:v>6.0359926417012276E-12</c:v>
                </c:pt>
                <c:pt idx="101">
                  <c:v>6.0359926417012276E-12</c:v>
                </c:pt>
                <c:pt idx="102">
                  <c:v>6.0359926417012276E-12</c:v>
                </c:pt>
                <c:pt idx="103">
                  <c:v>6.0359926417012276E-12</c:v>
                </c:pt>
                <c:pt idx="104">
                  <c:v>6.0359926417012276E-12</c:v>
                </c:pt>
                <c:pt idx="105">
                  <c:v>6.0359926417012276E-12</c:v>
                </c:pt>
                <c:pt idx="106">
                  <c:v>6.0359926417012276E-12</c:v>
                </c:pt>
                <c:pt idx="107">
                  <c:v>6.0359926417012276E-12</c:v>
                </c:pt>
                <c:pt idx="108">
                  <c:v>6.0359926417012276E-12</c:v>
                </c:pt>
                <c:pt idx="109">
                  <c:v>6.0359926417012276E-12</c:v>
                </c:pt>
                <c:pt idx="110">
                  <c:v>6.0359926417012276E-12</c:v>
                </c:pt>
                <c:pt idx="111">
                  <c:v>6.0359926417012276E-12</c:v>
                </c:pt>
                <c:pt idx="112">
                  <c:v>6.0359926417012276E-12</c:v>
                </c:pt>
                <c:pt idx="113">
                  <c:v>6.0359926417012276E-12</c:v>
                </c:pt>
                <c:pt idx="114">
                  <c:v>6.0359926417012276E-12</c:v>
                </c:pt>
                <c:pt idx="115">
                  <c:v>6.0359926417012276E-12</c:v>
                </c:pt>
                <c:pt idx="116">
                  <c:v>6.0359926417012276E-12</c:v>
                </c:pt>
                <c:pt idx="117">
                  <c:v>6.0359926417012276E-12</c:v>
                </c:pt>
                <c:pt idx="118">
                  <c:v>6.0359926417012276E-12</c:v>
                </c:pt>
                <c:pt idx="119">
                  <c:v>6.0359926417012276E-12</c:v>
                </c:pt>
                <c:pt idx="120">
                  <c:v>6.0359926417012276E-12</c:v>
                </c:pt>
                <c:pt idx="121">
                  <c:v>6.0359926417012276E-12</c:v>
                </c:pt>
                <c:pt idx="122">
                  <c:v>6.0359926417012276E-12</c:v>
                </c:pt>
                <c:pt idx="123">
                  <c:v>6.0359926417012276E-12</c:v>
                </c:pt>
                <c:pt idx="124">
                  <c:v>6.0359926417012276E-12</c:v>
                </c:pt>
                <c:pt idx="125">
                  <c:v>6.0359926417012276E-12</c:v>
                </c:pt>
                <c:pt idx="126">
                  <c:v>6.0359926417012276E-12</c:v>
                </c:pt>
                <c:pt idx="127">
                  <c:v>6.0359926417012276E-12</c:v>
                </c:pt>
                <c:pt idx="128">
                  <c:v>6.0359926417012276E-12</c:v>
                </c:pt>
                <c:pt idx="129">
                  <c:v>6.0359926417012276E-12</c:v>
                </c:pt>
                <c:pt idx="130">
                  <c:v>6.0359926417012276E-12</c:v>
                </c:pt>
                <c:pt idx="131">
                  <c:v>6.0359926417012276E-12</c:v>
                </c:pt>
                <c:pt idx="132">
                  <c:v>6.0359926417012276E-12</c:v>
                </c:pt>
                <c:pt idx="133">
                  <c:v>6.0359926417012276E-12</c:v>
                </c:pt>
                <c:pt idx="134">
                  <c:v>6.0359926417012276E-12</c:v>
                </c:pt>
                <c:pt idx="135">
                  <c:v>6.0359926417012276E-12</c:v>
                </c:pt>
                <c:pt idx="136">
                  <c:v>6.0359926417012276E-12</c:v>
                </c:pt>
                <c:pt idx="137">
                  <c:v>6.0359926417012276E-12</c:v>
                </c:pt>
                <c:pt idx="138">
                  <c:v>6.0359926417012276E-12</c:v>
                </c:pt>
                <c:pt idx="139">
                  <c:v>6.0359926417012276E-12</c:v>
                </c:pt>
                <c:pt idx="140">
                  <c:v>6.0359926417012276E-12</c:v>
                </c:pt>
                <c:pt idx="141">
                  <c:v>6.0359926417012276E-12</c:v>
                </c:pt>
                <c:pt idx="142">
                  <c:v>6.0359926417012276E-12</c:v>
                </c:pt>
                <c:pt idx="143">
                  <c:v>6.0359926417012276E-12</c:v>
                </c:pt>
                <c:pt idx="144">
                  <c:v>6.0359926417012276E-12</c:v>
                </c:pt>
                <c:pt idx="145">
                  <c:v>6.0359926417012276E-12</c:v>
                </c:pt>
                <c:pt idx="146">
                  <c:v>6.0359926417012276E-12</c:v>
                </c:pt>
                <c:pt idx="147">
                  <c:v>6.0359926417012276E-12</c:v>
                </c:pt>
                <c:pt idx="148">
                  <c:v>6.0359926417012276E-12</c:v>
                </c:pt>
                <c:pt idx="149">
                  <c:v>6.0359926417012276E-12</c:v>
                </c:pt>
                <c:pt idx="150">
                  <c:v>6.0359926417012276E-12</c:v>
                </c:pt>
                <c:pt idx="151">
                  <c:v>6.0359926417012276E-12</c:v>
                </c:pt>
                <c:pt idx="152">
                  <c:v>6.0359926417012276E-12</c:v>
                </c:pt>
                <c:pt idx="153">
                  <c:v>6.0359926417012276E-12</c:v>
                </c:pt>
                <c:pt idx="154">
                  <c:v>6.0359926417012276E-12</c:v>
                </c:pt>
                <c:pt idx="155">
                  <c:v>6.0359926417012276E-12</c:v>
                </c:pt>
                <c:pt idx="156">
                  <c:v>6.0359926417012276E-12</c:v>
                </c:pt>
                <c:pt idx="157">
                  <c:v>6.0359926417012276E-12</c:v>
                </c:pt>
                <c:pt idx="158">
                  <c:v>6.0359926417012276E-12</c:v>
                </c:pt>
                <c:pt idx="159">
                  <c:v>6.0359926417012276E-12</c:v>
                </c:pt>
                <c:pt idx="160">
                  <c:v>6.0359926417012276E-12</c:v>
                </c:pt>
                <c:pt idx="161">
                  <c:v>6.0359926417012276E-12</c:v>
                </c:pt>
                <c:pt idx="162">
                  <c:v>6.0359926417012276E-12</c:v>
                </c:pt>
                <c:pt idx="163">
                  <c:v>6.0359926417012276E-12</c:v>
                </c:pt>
                <c:pt idx="164">
                  <c:v>6.0359926417012276E-12</c:v>
                </c:pt>
                <c:pt idx="165">
                  <c:v>6.0359926417012276E-12</c:v>
                </c:pt>
                <c:pt idx="166">
                  <c:v>6.0359926417012276E-12</c:v>
                </c:pt>
                <c:pt idx="167">
                  <c:v>6.0359926417012276E-12</c:v>
                </c:pt>
                <c:pt idx="168">
                  <c:v>6.0359926417012276E-12</c:v>
                </c:pt>
                <c:pt idx="169">
                  <c:v>6.0359926417012276E-12</c:v>
                </c:pt>
                <c:pt idx="170">
                  <c:v>6.0359926417012276E-12</c:v>
                </c:pt>
                <c:pt idx="171">
                  <c:v>6.0359926417012276E-12</c:v>
                </c:pt>
                <c:pt idx="172">
                  <c:v>6.0359926417012276E-12</c:v>
                </c:pt>
                <c:pt idx="173">
                  <c:v>6.0359926417012276E-12</c:v>
                </c:pt>
                <c:pt idx="174">
                  <c:v>6.0359926417012276E-12</c:v>
                </c:pt>
                <c:pt idx="175">
                  <c:v>6.0359926417012276E-12</c:v>
                </c:pt>
                <c:pt idx="176">
                  <c:v>6.0359926417012276E-12</c:v>
                </c:pt>
                <c:pt idx="177">
                  <c:v>6.0359926417012276E-12</c:v>
                </c:pt>
                <c:pt idx="178">
                  <c:v>6.0359926417012276E-12</c:v>
                </c:pt>
                <c:pt idx="179">
                  <c:v>6.0359926417012276E-12</c:v>
                </c:pt>
                <c:pt idx="180">
                  <c:v>6.0359926417012276E-12</c:v>
                </c:pt>
                <c:pt idx="181">
                  <c:v>6.0359926417012276E-12</c:v>
                </c:pt>
                <c:pt idx="182">
                  <c:v>6.0359926417012276E-12</c:v>
                </c:pt>
                <c:pt idx="183">
                  <c:v>6.0359926417012276E-12</c:v>
                </c:pt>
                <c:pt idx="184">
                  <c:v>6.0359926417012276E-12</c:v>
                </c:pt>
                <c:pt idx="185">
                  <c:v>6.0359926417012276E-12</c:v>
                </c:pt>
                <c:pt idx="186">
                  <c:v>6.0359926417012276E-12</c:v>
                </c:pt>
                <c:pt idx="187">
                  <c:v>6.0359926417012276E-12</c:v>
                </c:pt>
                <c:pt idx="188">
                  <c:v>6.0359926417012276E-12</c:v>
                </c:pt>
                <c:pt idx="189">
                  <c:v>6.0359926417012276E-12</c:v>
                </c:pt>
                <c:pt idx="190">
                  <c:v>6.0359926417012276E-12</c:v>
                </c:pt>
                <c:pt idx="191">
                  <c:v>6.0359926417012276E-12</c:v>
                </c:pt>
                <c:pt idx="192">
                  <c:v>6.0359926417012276E-12</c:v>
                </c:pt>
                <c:pt idx="193">
                  <c:v>6.0359926417012276E-12</c:v>
                </c:pt>
                <c:pt idx="194">
                  <c:v>6.0359926417012276E-12</c:v>
                </c:pt>
                <c:pt idx="195">
                  <c:v>6.0359926417012276E-12</c:v>
                </c:pt>
                <c:pt idx="196">
                  <c:v>6.0359926417012276E-12</c:v>
                </c:pt>
                <c:pt idx="197">
                  <c:v>6.0359926417012276E-12</c:v>
                </c:pt>
                <c:pt idx="198">
                  <c:v>6.0359926417012276E-12</c:v>
                </c:pt>
                <c:pt idx="199">
                  <c:v>6.0359926417012276E-12</c:v>
                </c:pt>
                <c:pt idx="200">
                  <c:v>6.0359926417012276E-12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2.0437599223688792</c:v>
                </c:pt>
                <c:pt idx="2">
                  <c:v>2.4666613188774984</c:v>
                </c:pt>
                <c:pt idx="3">
                  <c:v>2.9774036157245614</c:v>
                </c:pt>
                <c:pt idx="4">
                  <c:v>3.5942976029611455</c:v>
                </c:pt>
                <c:pt idx="5">
                  <c:v>4.3394838117170345</c:v>
                </c:pt>
                <c:pt idx="6">
                  <c:v>5.2397360044734418</c:v>
                </c:pt>
                <c:pt idx="7">
                  <c:v>6.3274337238845542</c:v>
                </c:pt>
                <c:pt idx="8">
                  <c:v>7.6417395646982156</c:v>
                </c:pt>
                <c:pt idx="9">
                  <c:v>9.230024375215228</c:v>
                </c:pt>
                <c:pt idx="10">
                  <c:v>11.149592734966637</c:v>
                </c:pt>
                <c:pt idx="11">
                  <c:v>16.800518186323085</c:v>
                </c:pt>
                <c:pt idx="12">
                  <c:v>23.354913678464214</c:v>
                </c:pt>
                <c:pt idx="13">
                  <c:v>29.856412337663127</c:v>
                </c:pt>
                <c:pt idx="14">
                  <c:v>36.318308967799886</c:v>
                </c:pt>
                <c:pt idx="15">
                  <c:v>42.748700429624904</c:v>
                </c:pt>
                <c:pt idx="16">
                  <c:v>50.280799365877662</c:v>
                </c:pt>
                <c:pt idx="17">
                  <c:v>61.524243221977478</c:v>
                </c:pt>
                <c:pt idx="18">
                  <c:v>72.714130391933963</c:v>
                </c:pt>
                <c:pt idx="19">
                  <c:v>83.859901104581681</c:v>
                </c:pt>
                <c:pt idx="20">
                  <c:v>94.968263273337399</c:v>
                </c:pt>
                <c:pt idx="21">
                  <c:v>94.598530824596324</c:v>
                </c:pt>
                <c:pt idx="22">
                  <c:v>103.46250949744713</c:v>
                </c:pt>
                <c:pt idx="23">
                  <c:v>112.3077139400978</c:v>
                </c:pt>
                <c:pt idx="24">
                  <c:v>121.1358337423589</c:v>
                </c:pt>
                <c:pt idx="25">
                  <c:v>129.94829150829943</c:v>
                </c:pt>
                <c:pt idx="26">
                  <c:v>118.74648643572345</c:v>
                </c:pt>
                <c:pt idx="27">
                  <c:v>126.8289238784414</c:v>
                </c:pt>
                <c:pt idx="28">
                  <c:v>134.89887902946009</c:v>
                </c:pt>
                <c:pt idx="29">
                  <c:v>142.95720510576567</c:v>
                </c:pt>
                <c:pt idx="30">
                  <c:v>151.00465108753244</c:v>
                </c:pt>
                <c:pt idx="31">
                  <c:v>137.83048350055182</c:v>
                </c:pt>
                <c:pt idx="32">
                  <c:v>145.70184000644187</c:v>
                </c:pt>
                <c:pt idx="33">
                  <c:v>153.56302988078727</c:v>
                </c:pt>
                <c:pt idx="34">
                  <c:v>161.41464777775786</c:v>
                </c:pt>
                <c:pt idx="35">
                  <c:v>169.25722567266303</c:v>
                </c:pt>
                <c:pt idx="36">
                  <c:v>153.56302988078727</c:v>
                </c:pt>
                <c:pt idx="37">
                  <c:v>160.68465382913149</c:v>
                </c:pt>
                <c:pt idx="38">
                  <c:v>167.79880331835713</c:v>
                </c:pt>
                <c:pt idx="39">
                  <c:v>174.90584046860872</c:v>
                </c:pt>
                <c:pt idx="40">
                  <c:v>182.0060955160782</c:v>
                </c:pt>
                <c:pt idx="41">
                  <c:v>165.97535432599307</c:v>
                </c:pt>
                <c:pt idx="42">
                  <c:v>172.71979691152288</c:v>
                </c:pt>
                <c:pt idx="43">
                  <c:v>179.45804674894927</c:v>
                </c:pt>
                <c:pt idx="44">
                  <c:v>186.19036956015921</c:v>
                </c:pt>
                <c:pt idx="45">
                  <c:v>192.91701024787278</c:v>
                </c:pt>
                <c:pt idx="46">
                  <c:v>176.18073552650404</c:v>
                </c:pt>
                <c:pt idx="47">
                  <c:v>182.18806689822347</c:v>
                </c:pt>
                <c:pt idx="48">
                  <c:v>188.19076462377916</c:v>
                </c:pt>
                <c:pt idx="49">
                  <c:v>194.18899762909643</c:v>
                </c:pt>
                <c:pt idx="50">
                  <c:v>200.1829235327601</c:v>
                </c:pt>
                <c:pt idx="51">
                  <c:v>184.18947240212205</c:v>
                </c:pt>
                <c:pt idx="52">
                  <c:v>190.00887503074011</c:v>
                </c:pt>
                <c:pt idx="53">
                  <c:v>195.82412546549048</c:v>
                </c:pt>
                <c:pt idx="54">
                  <c:v>201.63536463897887</c:v>
                </c:pt>
                <c:pt idx="55">
                  <c:v>207.44272468192821</c:v>
                </c:pt>
                <c:pt idx="56">
                  <c:v>191.82658002108337</c:v>
                </c:pt>
                <c:pt idx="57">
                  <c:v>197.09567207672126</c:v>
                </c:pt>
                <c:pt idx="58">
                  <c:v>202.36149416492299</c:v>
                </c:pt>
                <c:pt idx="59">
                  <c:v>207.62414355187082</c:v>
                </c:pt>
                <c:pt idx="60">
                  <c:v>212.88371216075754</c:v>
                </c:pt>
                <c:pt idx="61">
                  <c:v>197.64056222775218</c:v>
                </c:pt>
                <c:pt idx="62">
                  <c:v>202.36149416492307</c:v>
                </c:pt>
                <c:pt idx="63">
                  <c:v>207.07987593912989</c:v>
                </c:pt>
                <c:pt idx="64">
                  <c:v>211.79577397903077</c:v>
                </c:pt>
                <c:pt idx="65">
                  <c:v>216.50925150746119</c:v>
                </c:pt>
                <c:pt idx="66">
                  <c:v>202.72453628032122</c:v>
                </c:pt>
                <c:pt idx="67">
                  <c:v>207.07987593912989</c:v>
                </c:pt>
                <c:pt idx="68">
                  <c:v>211.43309931359877</c:v>
                </c:pt>
                <c:pt idx="69">
                  <c:v>215.78425622058555</c:v>
                </c:pt>
                <c:pt idx="70">
                  <c:v>220.13339429962164</c:v>
                </c:pt>
                <c:pt idx="71">
                  <c:v>207.07987593912989</c:v>
                </c:pt>
                <c:pt idx="72">
                  <c:v>211.25175660168779</c:v>
                </c:pt>
                <c:pt idx="73">
                  <c:v>215.42173756290265</c:v>
                </c:pt>
                <c:pt idx="74">
                  <c:v>219.5898608669257</c:v>
                </c:pt>
                <c:pt idx="75">
                  <c:v>223.75616682807549</c:v>
                </c:pt>
                <c:pt idx="76">
                  <c:v>211.25175660168782</c:v>
                </c:pt>
                <c:pt idx="77">
                  <c:v>215.05920485974357</c:v>
                </c:pt>
                <c:pt idx="78">
                  <c:v>218.86510151565696</c:v>
                </c:pt>
                <c:pt idx="79">
                  <c:v>222.66947742048669</c:v>
                </c:pt>
                <c:pt idx="80">
                  <c:v>226.47236228269796</c:v>
                </c:pt>
                <c:pt idx="81">
                  <c:v>215.42173756290273</c:v>
                </c:pt>
                <c:pt idx="82">
                  <c:v>218.86510151565699</c:v>
                </c:pt>
                <c:pt idx="83">
                  <c:v>222.30722060467335</c:v>
                </c:pt>
                <c:pt idx="84">
                  <c:v>225.74811687122551</c:v>
                </c:pt>
                <c:pt idx="85">
                  <c:v>229.18781162828375</c:v>
                </c:pt>
                <c:pt idx="86">
                  <c:v>218.86510151565699</c:v>
                </c:pt>
                <c:pt idx="87">
                  <c:v>222.12608711761644</c:v>
                </c:pt>
                <c:pt idx="88">
                  <c:v>225.38597420895266</c:v>
                </c:pt>
                <c:pt idx="89">
                  <c:v>228.64478095884184</c:v>
                </c:pt>
                <c:pt idx="90">
                  <c:v>231.90252497506103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2.8558794800592384</c:v>
                </c:pt>
                <c:pt idx="2">
                  <c:v>3.9224349478668521</c:v>
                </c:pt>
                <c:pt idx="3">
                  <c:v>5.3889800028087649</c:v>
                </c:pt>
                <c:pt idx="4">
                  <c:v>7.4061123083185683</c:v>
                </c:pt>
                <c:pt idx="5">
                  <c:v>10.181337070866244</c:v>
                </c:pt>
                <c:pt idx="6">
                  <c:v>14.000643457992881</c:v>
                </c:pt>
                <c:pt idx="7">
                  <c:v>19.258286862639981</c:v>
                </c:pt>
                <c:pt idx="8">
                  <c:v>26.497906560842722</c:v>
                </c:pt>
                <c:pt idx="9">
                  <c:v>36.469304879402451</c:v>
                </c:pt>
                <c:pt idx="10">
                  <c:v>50.206869105826428</c:v>
                </c:pt>
                <c:pt idx="11">
                  <c:v>69.137907116205596</c:v>
                </c:pt>
                <c:pt idx="12">
                  <c:v>95.232335887831667</c:v>
                </c:pt>
                <c:pt idx="13">
                  <c:v>82.049202450368611</c:v>
                </c:pt>
                <c:pt idx="14">
                  <c:v>95.232335887831653</c:v>
                </c:pt>
                <c:pt idx="15">
                  <c:v>108.36994069902487</c:v>
                </c:pt>
                <c:pt idx="16">
                  <c:v>121.4683253038064</c:v>
                </c:pt>
                <c:pt idx="17">
                  <c:v>134.53232120499612</c:v>
                </c:pt>
                <c:pt idx="18">
                  <c:v>147.56574213893069</c:v>
                </c:pt>
                <c:pt idx="19">
                  <c:v>160.57167156248869</c:v>
                </c:pt>
                <c:pt idx="20">
                  <c:v>173.55265168473866</c:v>
                </c:pt>
                <c:pt idx="21">
                  <c:v>142.35583160682575</c:v>
                </c:pt>
                <c:pt idx="22">
                  <c:v>154.12852027158979</c:v>
                </c:pt>
                <c:pt idx="23">
                  <c:v>165.87982733683177</c:v>
                </c:pt>
                <c:pt idx="24">
                  <c:v>177.61148225294497</c:v>
                </c:pt>
                <c:pt idx="25">
                  <c:v>189.32496702032731</c:v>
                </c:pt>
                <c:pt idx="26">
                  <c:v>201.02156505287576</c:v>
                </c:pt>
                <c:pt idx="27">
                  <c:v>212.70239804910202</c:v>
                </c:pt>
                <c:pt idx="28">
                  <c:v>224.36845432498731</c:v>
                </c:pt>
                <c:pt idx="29">
                  <c:v>236.02061093625477</c:v>
                </c:pt>
                <c:pt idx="30">
                  <c:v>247.65965119723444</c:v>
                </c:pt>
                <c:pt idx="31">
                  <c:v>189.32496702032742</c:v>
                </c:pt>
                <c:pt idx="32">
                  <c:v>198.32378790230189</c:v>
                </c:pt>
                <c:pt idx="33">
                  <c:v>207.31313753029804</c:v>
                </c:pt>
                <c:pt idx="34">
                  <c:v>216.29348494878261</c:v>
                </c:pt>
                <c:pt idx="35">
                  <c:v>225.26525702563356</c:v>
                </c:pt>
                <c:pt idx="36">
                  <c:v>234.22884381043562</c:v>
                </c:pt>
                <c:pt idx="37">
                  <c:v>243.18460302861033</c:v>
                </c:pt>
                <c:pt idx="38">
                  <c:v>252.13286387811135</c:v>
                </c:pt>
                <c:pt idx="39">
                  <c:v>261.07393025835273</c:v>
                </c:pt>
                <c:pt idx="40">
                  <c:v>270.00808353321997</c:v>
                </c:pt>
                <c:pt idx="41">
                  <c:v>2.5964574826517121E-12</c:v>
                </c:pt>
                <c:pt idx="42">
                  <c:v>2.5964574826517121E-12</c:v>
                </c:pt>
                <c:pt idx="43">
                  <c:v>2.5964574826517121E-12</c:v>
                </c:pt>
                <c:pt idx="44">
                  <c:v>2.5964574826517121E-12</c:v>
                </c:pt>
                <c:pt idx="45">
                  <c:v>2.5964574826517121E-12</c:v>
                </c:pt>
                <c:pt idx="46">
                  <c:v>2.5964574826517121E-12</c:v>
                </c:pt>
                <c:pt idx="47">
                  <c:v>2.5964574826517121E-12</c:v>
                </c:pt>
                <c:pt idx="48">
                  <c:v>2.5964574826517121E-12</c:v>
                </c:pt>
                <c:pt idx="49">
                  <c:v>2.5964574826517121E-12</c:v>
                </c:pt>
                <c:pt idx="50">
                  <c:v>2.5964574826517121E-12</c:v>
                </c:pt>
                <c:pt idx="51">
                  <c:v>2.5964574826517121E-12</c:v>
                </c:pt>
                <c:pt idx="52">
                  <c:v>2.5964574826517121E-12</c:v>
                </c:pt>
                <c:pt idx="53">
                  <c:v>2.5964574826517121E-12</c:v>
                </c:pt>
                <c:pt idx="54">
                  <c:v>2.5964574826517121E-12</c:v>
                </c:pt>
                <c:pt idx="55">
                  <c:v>2.5964574826517121E-12</c:v>
                </c:pt>
                <c:pt idx="56">
                  <c:v>2.5964574826517121E-12</c:v>
                </c:pt>
                <c:pt idx="57">
                  <c:v>2.5964574826517121E-12</c:v>
                </c:pt>
                <c:pt idx="58">
                  <c:v>2.5964574826517121E-12</c:v>
                </c:pt>
                <c:pt idx="59">
                  <c:v>2.5964574826517121E-12</c:v>
                </c:pt>
                <c:pt idx="60">
                  <c:v>2.5964574826517121E-12</c:v>
                </c:pt>
                <c:pt idx="61">
                  <c:v>2.5964574826517121E-12</c:v>
                </c:pt>
                <c:pt idx="62">
                  <c:v>2.5964574826517121E-12</c:v>
                </c:pt>
                <c:pt idx="63">
                  <c:v>2.5964574826517121E-12</c:v>
                </c:pt>
                <c:pt idx="64">
                  <c:v>2.5964574826517121E-12</c:v>
                </c:pt>
                <c:pt idx="65">
                  <c:v>2.5964574826517121E-12</c:v>
                </c:pt>
                <c:pt idx="66">
                  <c:v>2.5964574826517121E-12</c:v>
                </c:pt>
                <c:pt idx="67">
                  <c:v>2.5964574826517121E-12</c:v>
                </c:pt>
                <c:pt idx="68">
                  <c:v>2.5964574826517121E-12</c:v>
                </c:pt>
                <c:pt idx="69">
                  <c:v>2.5964574826517121E-12</c:v>
                </c:pt>
                <c:pt idx="70">
                  <c:v>2.5964574826517121E-12</c:v>
                </c:pt>
                <c:pt idx="71">
                  <c:v>2.5964574826517121E-12</c:v>
                </c:pt>
                <c:pt idx="72">
                  <c:v>2.5964574826517121E-12</c:v>
                </c:pt>
                <c:pt idx="73">
                  <c:v>2.5964574826517121E-12</c:v>
                </c:pt>
                <c:pt idx="74">
                  <c:v>2.5964574826517121E-12</c:v>
                </c:pt>
                <c:pt idx="75">
                  <c:v>2.5964574826517121E-12</c:v>
                </c:pt>
                <c:pt idx="76">
                  <c:v>2.5964574826517121E-12</c:v>
                </c:pt>
                <c:pt idx="77">
                  <c:v>2.5964574826517121E-12</c:v>
                </c:pt>
                <c:pt idx="78">
                  <c:v>2.5964574826517121E-12</c:v>
                </c:pt>
                <c:pt idx="79">
                  <c:v>2.5964574826517121E-12</c:v>
                </c:pt>
                <c:pt idx="80">
                  <c:v>2.5964574826517121E-12</c:v>
                </c:pt>
                <c:pt idx="81">
                  <c:v>2.5964574826517121E-12</c:v>
                </c:pt>
                <c:pt idx="82">
                  <c:v>2.5964574826517121E-12</c:v>
                </c:pt>
                <c:pt idx="83">
                  <c:v>2.5964574826517121E-12</c:v>
                </c:pt>
                <c:pt idx="84">
                  <c:v>2.5964574826517121E-12</c:v>
                </c:pt>
                <c:pt idx="85">
                  <c:v>2.5964574826517121E-12</c:v>
                </c:pt>
                <c:pt idx="86">
                  <c:v>2.5964574826517121E-12</c:v>
                </c:pt>
                <c:pt idx="87">
                  <c:v>2.5964574826517121E-12</c:v>
                </c:pt>
                <c:pt idx="88">
                  <c:v>2.5964574826517121E-12</c:v>
                </c:pt>
                <c:pt idx="89">
                  <c:v>2.5964574826517121E-12</c:v>
                </c:pt>
                <c:pt idx="90">
                  <c:v>2.5964574826517121E-12</c:v>
                </c:pt>
                <c:pt idx="91">
                  <c:v>2.5964574826517121E-12</c:v>
                </c:pt>
                <c:pt idx="92">
                  <c:v>2.5964574826517121E-12</c:v>
                </c:pt>
                <c:pt idx="93">
                  <c:v>2.5964574826517121E-12</c:v>
                </c:pt>
                <c:pt idx="94">
                  <c:v>2.5964574826517121E-12</c:v>
                </c:pt>
                <c:pt idx="95">
                  <c:v>2.5964574826517121E-12</c:v>
                </c:pt>
                <c:pt idx="96">
                  <c:v>2.5964574826517121E-12</c:v>
                </c:pt>
                <c:pt idx="97">
                  <c:v>2.5964574826517121E-12</c:v>
                </c:pt>
                <c:pt idx="98">
                  <c:v>2.5964574826517121E-12</c:v>
                </c:pt>
                <c:pt idx="99">
                  <c:v>2.5964574826517121E-12</c:v>
                </c:pt>
                <c:pt idx="100">
                  <c:v>2.5964574826517121E-12</c:v>
                </c:pt>
                <c:pt idx="101">
                  <c:v>2.5964574826517121E-12</c:v>
                </c:pt>
                <c:pt idx="102">
                  <c:v>2.5964574826517121E-12</c:v>
                </c:pt>
                <c:pt idx="103">
                  <c:v>2.5964574826517121E-12</c:v>
                </c:pt>
                <c:pt idx="104">
                  <c:v>2.5964574826517121E-12</c:v>
                </c:pt>
                <c:pt idx="105">
                  <c:v>2.5964574826517121E-12</c:v>
                </c:pt>
                <c:pt idx="106">
                  <c:v>2.5964574826517121E-12</c:v>
                </c:pt>
                <c:pt idx="107">
                  <c:v>2.5964574826517121E-12</c:v>
                </c:pt>
                <c:pt idx="108">
                  <c:v>2.5964574826517121E-12</c:v>
                </c:pt>
                <c:pt idx="109">
                  <c:v>2.5964574826517121E-12</c:v>
                </c:pt>
                <c:pt idx="110">
                  <c:v>2.5964574826517121E-12</c:v>
                </c:pt>
                <c:pt idx="111">
                  <c:v>2.5964574826517121E-12</c:v>
                </c:pt>
                <c:pt idx="112">
                  <c:v>2.5964574826517121E-12</c:v>
                </c:pt>
                <c:pt idx="113">
                  <c:v>2.5964574826517121E-12</c:v>
                </c:pt>
                <c:pt idx="114">
                  <c:v>2.5964574826517121E-12</c:v>
                </c:pt>
                <c:pt idx="115">
                  <c:v>2.5964574826517121E-12</c:v>
                </c:pt>
                <c:pt idx="116">
                  <c:v>2.5964574826517121E-12</c:v>
                </c:pt>
                <c:pt idx="117">
                  <c:v>2.5964574826517121E-12</c:v>
                </c:pt>
                <c:pt idx="118">
                  <c:v>2.5964574826517121E-12</c:v>
                </c:pt>
                <c:pt idx="119">
                  <c:v>2.5964574826517121E-12</c:v>
                </c:pt>
                <c:pt idx="120">
                  <c:v>2.5964574826517121E-12</c:v>
                </c:pt>
                <c:pt idx="121">
                  <c:v>2.5964574826517121E-12</c:v>
                </c:pt>
                <c:pt idx="122">
                  <c:v>2.5964574826517121E-12</c:v>
                </c:pt>
                <c:pt idx="123">
                  <c:v>2.5964574826517121E-12</c:v>
                </c:pt>
                <c:pt idx="124">
                  <c:v>2.5964574826517121E-12</c:v>
                </c:pt>
                <c:pt idx="125">
                  <c:v>2.5964574826517121E-12</c:v>
                </c:pt>
                <c:pt idx="126">
                  <c:v>2.5964574826517121E-12</c:v>
                </c:pt>
                <c:pt idx="127">
                  <c:v>2.5964574826517121E-12</c:v>
                </c:pt>
                <c:pt idx="128">
                  <c:v>2.5964574826517121E-12</c:v>
                </c:pt>
                <c:pt idx="129">
                  <c:v>2.5964574826517121E-12</c:v>
                </c:pt>
                <c:pt idx="130">
                  <c:v>2.5964574826517121E-12</c:v>
                </c:pt>
                <c:pt idx="131">
                  <c:v>2.5964574826517121E-12</c:v>
                </c:pt>
                <c:pt idx="132">
                  <c:v>2.5964574826517121E-12</c:v>
                </c:pt>
                <c:pt idx="133">
                  <c:v>2.5964574826517121E-12</c:v>
                </c:pt>
                <c:pt idx="134">
                  <c:v>2.5964574826517121E-12</c:v>
                </c:pt>
                <c:pt idx="135">
                  <c:v>2.5964574826517121E-12</c:v>
                </c:pt>
                <c:pt idx="136">
                  <c:v>2.5964574826517121E-12</c:v>
                </c:pt>
                <c:pt idx="137">
                  <c:v>2.5964574826517121E-12</c:v>
                </c:pt>
                <c:pt idx="138">
                  <c:v>2.5964574826517121E-12</c:v>
                </c:pt>
                <c:pt idx="139">
                  <c:v>2.5964574826517121E-12</c:v>
                </c:pt>
                <c:pt idx="140">
                  <c:v>2.5964574826517121E-12</c:v>
                </c:pt>
                <c:pt idx="141">
                  <c:v>2.5964574826517121E-12</c:v>
                </c:pt>
                <c:pt idx="142">
                  <c:v>2.5964574826517121E-12</c:v>
                </c:pt>
                <c:pt idx="143">
                  <c:v>2.5964574826517121E-12</c:v>
                </c:pt>
                <c:pt idx="144">
                  <c:v>2.5964574826517121E-12</c:v>
                </c:pt>
                <c:pt idx="145">
                  <c:v>2.5964574826517121E-12</c:v>
                </c:pt>
                <c:pt idx="146">
                  <c:v>2.5964574826517121E-12</c:v>
                </c:pt>
                <c:pt idx="147">
                  <c:v>2.5964574826517121E-12</c:v>
                </c:pt>
                <c:pt idx="148">
                  <c:v>2.5964574826517121E-12</c:v>
                </c:pt>
                <c:pt idx="149">
                  <c:v>2.5964574826517121E-12</c:v>
                </c:pt>
                <c:pt idx="150">
                  <c:v>2.5964574826517121E-12</c:v>
                </c:pt>
                <c:pt idx="151">
                  <c:v>2.5964574826517121E-12</c:v>
                </c:pt>
                <c:pt idx="152">
                  <c:v>2.5964574826517121E-12</c:v>
                </c:pt>
                <c:pt idx="153">
                  <c:v>2.5964574826517121E-12</c:v>
                </c:pt>
                <c:pt idx="154">
                  <c:v>2.5964574826517121E-12</c:v>
                </c:pt>
                <c:pt idx="155">
                  <c:v>2.5964574826517121E-12</c:v>
                </c:pt>
                <c:pt idx="156">
                  <c:v>2.5964574826517121E-12</c:v>
                </c:pt>
                <c:pt idx="157">
                  <c:v>2.5964574826517121E-12</c:v>
                </c:pt>
                <c:pt idx="158">
                  <c:v>2.5964574826517121E-12</c:v>
                </c:pt>
                <c:pt idx="159">
                  <c:v>2.5964574826517121E-12</c:v>
                </c:pt>
                <c:pt idx="160">
                  <c:v>2.5964574826517121E-12</c:v>
                </c:pt>
                <c:pt idx="161">
                  <c:v>2.5964574826517121E-12</c:v>
                </c:pt>
                <c:pt idx="162">
                  <c:v>2.5964574826517121E-12</c:v>
                </c:pt>
                <c:pt idx="163">
                  <c:v>2.5964574826517121E-12</c:v>
                </c:pt>
                <c:pt idx="164">
                  <c:v>2.5964574826517121E-12</c:v>
                </c:pt>
                <c:pt idx="165">
                  <c:v>2.5964574826517121E-12</c:v>
                </c:pt>
                <c:pt idx="166">
                  <c:v>2.5964574826517121E-12</c:v>
                </c:pt>
                <c:pt idx="167">
                  <c:v>2.5964574826517121E-12</c:v>
                </c:pt>
                <c:pt idx="168">
                  <c:v>2.5964574826517121E-12</c:v>
                </c:pt>
                <c:pt idx="169">
                  <c:v>2.5964574826517121E-12</c:v>
                </c:pt>
                <c:pt idx="170">
                  <c:v>2.5964574826517121E-12</c:v>
                </c:pt>
                <c:pt idx="171">
                  <c:v>2.5964574826517121E-12</c:v>
                </c:pt>
                <c:pt idx="172">
                  <c:v>2.5964574826517121E-12</c:v>
                </c:pt>
                <c:pt idx="173">
                  <c:v>2.5964574826517121E-12</c:v>
                </c:pt>
                <c:pt idx="174">
                  <c:v>2.5964574826517121E-12</c:v>
                </c:pt>
                <c:pt idx="175">
                  <c:v>2.5964574826517121E-12</c:v>
                </c:pt>
                <c:pt idx="176">
                  <c:v>2.5964574826517121E-12</c:v>
                </c:pt>
                <c:pt idx="177">
                  <c:v>2.5964574826517121E-12</c:v>
                </c:pt>
                <c:pt idx="178">
                  <c:v>2.5964574826517121E-12</c:v>
                </c:pt>
                <c:pt idx="179">
                  <c:v>2.5964574826517121E-12</c:v>
                </c:pt>
                <c:pt idx="180">
                  <c:v>2.5964574826517121E-12</c:v>
                </c:pt>
                <c:pt idx="181">
                  <c:v>2.5964574826517121E-12</c:v>
                </c:pt>
                <c:pt idx="182">
                  <c:v>2.5964574826517121E-12</c:v>
                </c:pt>
                <c:pt idx="183">
                  <c:v>2.5964574826517121E-12</c:v>
                </c:pt>
                <c:pt idx="184">
                  <c:v>2.5964574826517121E-12</c:v>
                </c:pt>
                <c:pt idx="185">
                  <c:v>2.5964574826517121E-12</c:v>
                </c:pt>
                <c:pt idx="186">
                  <c:v>2.5964574826517121E-12</c:v>
                </c:pt>
                <c:pt idx="187">
                  <c:v>2.5964574826517121E-12</c:v>
                </c:pt>
                <c:pt idx="188">
                  <c:v>2.5964574826517121E-12</c:v>
                </c:pt>
                <c:pt idx="189">
                  <c:v>2.5964574826517121E-12</c:v>
                </c:pt>
                <c:pt idx="190">
                  <c:v>2.5964574826517121E-12</c:v>
                </c:pt>
                <c:pt idx="191">
                  <c:v>2.5964574826517121E-12</c:v>
                </c:pt>
                <c:pt idx="192">
                  <c:v>2.5964574826517121E-12</c:v>
                </c:pt>
                <c:pt idx="193">
                  <c:v>2.5964574826517121E-12</c:v>
                </c:pt>
                <c:pt idx="194">
                  <c:v>2.5964574826517121E-12</c:v>
                </c:pt>
                <c:pt idx="195">
                  <c:v>2.5964574826517121E-12</c:v>
                </c:pt>
                <c:pt idx="196">
                  <c:v>2.5964574826517121E-12</c:v>
                </c:pt>
                <c:pt idx="197">
                  <c:v>2.5964574826517121E-12</c:v>
                </c:pt>
                <c:pt idx="198">
                  <c:v>2.5964574826517121E-12</c:v>
                </c:pt>
                <c:pt idx="199">
                  <c:v>2.5964574826517121E-12</c:v>
                </c:pt>
                <c:pt idx="200">
                  <c:v>2.5964574826517121E-12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4.0314120456427114</c:v>
                </c:pt>
                <c:pt idx="2">
                  <c:v>7.0405503140081294</c:v>
                </c:pt>
                <c:pt idx="3">
                  <c:v>12.307212485213155</c:v>
                </c:pt>
                <c:pt idx="4">
                  <c:v>21.533015338685924</c:v>
                </c:pt>
                <c:pt idx="5">
                  <c:v>37.707704103648119</c:v>
                </c:pt>
                <c:pt idx="6">
                  <c:v>46.832627798125863</c:v>
                </c:pt>
                <c:pt idx="7">
                  <c:v>61.079169954302529</c:v>
                </c:pt>
                <c:pt idx="8">
                  <c:v>75.238784467416025</c:v>
                </c:pt>
                <c:pt idx="9">
                  <c:v>89.330252747047155</c:v>
                </c:pt>
                <c:pt idx="10">
                  <c:v>103.36588424837055</c:v>
                </c:pt>
                <c:pt idx="11">
                  <c:v>90.608375672715923</c:v>
                </c:pt>
                <c:pt idx="12">
                  <c:v>104.63940219017199</c:v>
                </c:pt>
                <c:pt idx="13">
                  <c:v>118.62392438500717</c:v>
                </c:pt>
                <c:pt idx="14">
                  <c:v>132.56820659164794</c:v>
                </c:pt>
                <c:pt idx="15">
                  <c:v>146.47708309397845</c:v>
                </c:pt>
                <c:pt idx="16">
                  <c:v>137.37688179441133</c:v>
                </c:pt>
                <c:pt idx="17">
                  <c:v>149.75989707906271</c:v>
                </c:pt>
                <c:pt idx="18">
                  <c:v>162.11849646009097</c:v>
                </c:pt>
                <c:pt idx="19">
                  <c:v>174.45480497972014</c:v>
                </c:pt>
                <c:pt idx="20">
                  <c:v>186.77062214790314</c:v>
                </c:pt>
                <c:pt idx="21">
                  <c:v>179.73542628722291</c:v>
                </c:pt>
                <c:pt idx="22">
                  <c:v>190.28588472022409</c:v>
                </c:pt>
                <c:pt idx="23">
                  <c:v>200.82271925784713</c:v>
                </c:pt>
                <c:pt idx="24">
                  <c:v>211.34674608887232</c:v>
                </c:pt>
                <c:pt idx="25">
                  <c:v>221.85869339182841</c:v>
                </c:pt>
                <c:pt idx="26">
                  <c:v>216.60418722547536</c:v>
                </c:pt>
                <c:pt idx="27">
                  <c:v>225.1100470395813</c:v>
                </c:pt>
                <c:pt idx="28">
                  <c:v>233.60854393979471</c:v>
                </c:pt>
                <c:pt idx="29">
                  <c:v>242.09998385215556</c:v>
                </c:pt>
                <c:pt idx="30">
                  <c:v>250.58464946575782</c:v>
                </c:pt>
                <c:pt idx="31">
                  <c:v>246.59269241215881</c:v>
                </c:pt>
                <c:pt idx="32">
                  <c:v>253.82705165012138</c:v>
                </c:pt>
                <c:pt idx="33">
                  <c:v>261.05674262117452</c:v>
                </c:pt>
                <c:pt idx="34">
                  <c:v>268.28191300600139</c:v>
                </c:pt>
                <c:pt idx="35">
                  <c:v>275.50270187165785</c:v>
                </c:pt>
                <c:pt idx="36">
                  <c:v>272.76428922914408</c:v>
                </c:pt>
                <c:pt idx="37">
                  <c:v>278.73821994624086</c:v>
                </c:pt>
                <c:pt idx="38">
                  <c:v>284.70927836833965</c:v>
                </c:pt>
                <c:pt idx="39">
                  <c:v>290.67753331810212</c:v>
                </c:pt>
                <c:pt idx="40">
                  <c:v>296.64305055749878</c:v>
                </c:pt>
                <c:pt idx="41">
                  <c:v>295.40045709321811</c:v>
                </c:pt>
                <c:pt idx="42">
                  <c:v>301.61226907653236</c:v>
                </c:pt>
                <c:pt idx="43">
                  <c:v>307.82123332343713</c:v>
                </c:pt>
                <c:pt idx="44">
                  <c:v>314.02741545065192</c:v>
                </c:pt>
                <c:pt idx="45">
                  <c:v>320.23087826647179</c:v>
                </c:pt>
                <c:pt idx="46">
                  <c:v>1.5435705246133045E-12</c:v>
                </c:pt>
                <c:pt idx="47">
                  <c:v>1.5435705246133045E-12</c:v>
                </c:pt>
                <c:pt idx="48">
                  <c:v>1.5435705246133045E-12</c:v>
                </c:pt>
                <c:pt idx="49">
                  <c:v>1.5435705246133045E-12</c:v>
                </c:pt>
                <c:pt idx="50">
                  <c:v>1.5435705246133045E-12</c:v>
                </c:pt>
                <c:pt idx="51">
                  <c:v>1.5435705246133045E-12</c:v>
                </c:pt>
                <c:pt idx="52">
                  <c:v>1.5435705246133045E-12</c:v>
                </c:pt>
                <c:pt idx="53">
                  <c:v>1.5435705246133045E-12</c:v>
                </c:pt>
                <c:pt idx="54">
                  <c:v>1.5435705246133045E-12</c:v>
                </c:pt>
                <c:pt idx="55">
                  <c:v>1.5435705246133045E-12</c:v>
                </c:pt>
                <c:pt idx="56">
                  <c:v>1.5435705246133045E-12</c:v>
                </c:pt>
                <c:pt idx="57">
                  <c:v>1.5435705246133045E-12</c:v>
                </c:pt>
                <c:pt idx="58">
                  <c:v>1.5435705246133045E-12</c:v>
                </c:pt>
                <c:pt idx="59">
                  <c:v>1.5435705246133045E-12</c:v>
                </c:pt>
                <c:pt idx="60">
                  <c:v>1.5435705246133045E-12</c:v>
                </c:pt>
                <c:pt idx="61">
                  <c:v>1.5435705246133045E-12</c:v>
                </c:pt>
                <c:pt idx="62">
                  <c:v>1.5435705246133045E-12</c:v>
                </c:pt>
                <c:pt idx="63">
                  <c:v>1.5435705246133045E-12</c:v>
                </c:pt>
                <c:pt idx="64">
                  <c:v>1.5435705246133045E-12</c:v>
                </c:pt>
                <c:pt idx="65">
                  <c:v>1.5435705246133045E-12</c:v>
                </c:pt>
                <c:pt idx="66">
                  <c:v>1.5435705246133045E-12</c:v>
                </c:pt>
                <c:pt idx="67">
                  <c:v>1.5435705246133045E-12</c:v>
                </c:pt>
                <c:pt idx="68">
                  <c:v>1.5435705246133045E-12</c:v>
                </c:pt>
                <c:pt idx="69">
                  <c:v>1.5435705246133045E-12</c:v>
                </c:pt>
                <c:pt idx="70">
                  <c:v>1.5435705246133045E-12</c:v>
                </c:pt>
                <c:pt idx="71">
                  <c:v>1.5435705246133045E-12</c:v>
                </c:pt>
                <c:pt idx="72">
                  <c:v>1.5435705246133045E-12</c:v>
                </c:pt>
                <c:pt idx="73">
                  <c:v>1.5435705246133045E-12</c:v>
                </c:pt>
                <c:pt idx="74">
                  <c:v>1.5435705246133045E-12</c:v>
                </c:pt>
                <c:pt idx="75">
                  <c:v>1.5435705246133045E-12</c:v>
                </c:pt>
                <c:pt idx="76">
                  <c:v>1.5435705246133045E-12</c:v>
                </c:pt>
                <c:pt idx="77">
                  <c:v>1.5435705246133045E-12</c:v>
                </c:pt>
                <c:pt idx="78">
                  <c:v>1.5435705246133045E-12</c:v>
                </c:pt>
                <c:pt idx="79">
                  <c:v>1.5435705246133045E-12</c:v>
                </c:pt>
                <c:pt idx="80">
                  <c:v>1.5435705246133045E-12</c:v>
                </c:pt>
                <c:pt idx="81">
                  <c:v>1.5435705246133045E-12</c:v>
                </c:pt>
                <c:pt idx="82">
                  <c:v>1.5435705246133045E-12</c:v>
                </c:pt>
                <c:pt idx="83">
                  <c:v>1.5435705246133045E-12</c:v>
                </c:pt>
                <c:pt idx="84">
                  <c:v>1.5435705246133045E-12</c:v>
                </c:pt>
                <c:pt idx="85">
                  <c:v>1.5435705246133045E-12</c:v>
                </c:pt>
                <c:pt idx="86">
                  <c:v>1.5435705246133045E-12</c:v>
                </c:pt>
                <c:pt idx="87">
                  <c:v>1.5435705246133045E-12</c:v>
                </c:pt>
                <c:pt idx="88">
                  <c:v>1.5435705246133045E-12</c:v>
                </c:pt>
                <c:pt idx="89">
                  <c:v>1.5435705246133045E-12</c:v>
                </c:pt>
                <c:pt idx="90">
                  <c:v>1.5435705246133045E-12</c:v>
                </c:pt>
                <c:pt idx="91">
                  <c:v>1.5435705246133045E-12</c:v>
                </c:pt>
                <c:pt idx="92">
                  <c:v>1.5435705246133045E-12</c:v>
                </c:pt>
                <c:pt idx="93">
                  <c:v>1.5435705246133045E-12</c:v>
                </c:pt>
                <c:pt idx="94">
                  <c:v>1.5435705246133045E-12</c:v>
                </c:pt>
                <c:pt idx="95">
                  <c:v>1.5435705246133045E-12</c:v>
                </c:pt>
                <c:pt idx="96">
                  <c:v>1.5435705246133045E-12</c:v>
                </c:pt>
                <c:pt idx="97">
                  <c:v>1.5435705246133045E-12</c:v>
                </c:pt>
                <c:pt idx="98">
                  <c:v>1.5435705246133045E-12</c:v>
                </c:pt>
                <c:pt idx="99">
                  <c:v>1.5435705246133045E-12</c:v>
                </c:pt>
                <c:pt idx="100">
                  <c:v>1.5435705246133045E-12</c:v>
                </c:pt>
                <c:pt idx="101">
                  <c:v>1.5435705246133045E-12</c:v>
                </c:pt>
                <c:pt idx="102">
                  <c:v>1.5435705246133045E-12</c:v>
                </c:pt>
                <c:pt idx="103">
                  <c:v>1.5435705246133045E-12</c:v>
                </c:pt>
                <c:pt idx="104">
                  <c:v>1.5435705246133045E-12</c:v>
                </c:pt>
                <c:pt idx="105">
                  <c:v>1.5435705246133045E-12</c:v>
                </c:pt>
                <c:pt idx="106">
                  <c:v>1.5435705246133045E-12</c:v>
                </c:pt>
                <c:pt idx="107">
                  <c:v>1.5435705246133045E-12</c:v>
                </c:pt>
                <c:pt idx="108">
                  <c:v>1.5435705246133045E-12</c:v>
                </c:pt>
                <c:pt idx="109">
                  <c:v>1.5435705246133045E-12</c:v>
                </c:pt>
                <c:pt idx="110">
                  <c:v>1.5435705246133045E-12</c:v>
                </c:pt>
                <c:pt idx="111">
                  <c:v>1.5435705246133045E-12</c:v>
                </c:pt>
                <c:pt idx="112">
                  <c:v>1.5435705246133045E-12</c:v>
                </c:pt>
                <c:pt idx="113">
                  <c:v>1.5435705246133045E-12</c:v>
                </c:pt>
                <c:pt idx="114">
                  <c:v>1.5435705246133045E-12</c:v>
                </c:pt>
                <c:pt idx="115">
                  <c:v>1.5435705246133045E-12</c:v>
                </c:pt>
                <c:pt idx="116">
                  <c:v>1.5435705246133045E-12</c:v>
                </c:pt>
                <c:pt idx="117">
                  <c:v>1.5435705246133045E-12</c:v>
                </c:pt>
                <c:pt idx="118">
                  <c:v>1.5435705246133045E-12</c:v>
                </c:pt>
                <c:pt idx="119">
                  <c:v>1.5435705246133045E-12</c:v>
                </c:pt>
                <c:pt idx="120">
                  <c:v>1.5435705246133045E-12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4" zoomScale="80" zoomScaleNormal="80" workbookViewId="0">
      <selection activeCell="B18" sqref="B18:M31"/>
    </sheetView>
  </sheetViews>
  <sheetFormatPr baseColWidth="10" defaultRowHeight="14.25" x14ac:dyDescent="0.45"/>
  <cols>
    <col min="1" max="1" width="6.53125" customWidth="1"/>
    <col min="2" max="13" width="15.86328125" customWidth="1"/>
  </cols>
  <sheetData>
    <row r="12" spans="2:13" ht="15" customHeight="1" x14ac:dyDescent="0.45">
      <c r="B12" s="260" t="s">
        <v>291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  <row r="13" spans="2:13" ht="15" customHeight="1" x14ac:dyDescent="0.45"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2:13" ht="15" customHeight="1" x14ac:dyDescent="0.45"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</row>
    <row r="15" spans="2:13" ht="18.75" customHeight="1" x14ac:dyDescent="0.45"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2:13" ht="18.75" customHeight="1" x14ac:dyDescent="0.45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8" spans="2:13" ht="12" customHeight="1" x14ac:dyDescent="0.45">
      <c r="B18" s="260" t="s">
        <v>292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</row>
    <row r="19" spans="2:13" ht="12" customHeight="1" x14ac:dyDescent="0.45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2:13" ht="12" customHeight="1" x14ac:dyDescent="0.45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2:13" ht="12" customHeight="1" x14ac:dyDescent="0.45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</row>
    <row r="22" spans="2:13" ht="12" customHeight="1" x14ac:dyDescent="0.45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</row>
    <row r="23" spans="2:13" ht="12" customHeight="1" x14ac:dyDescent="0.45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2" customHeight="1" x14ac:dyDescent="0.45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</row>
    <row r="25" spans="2:13" ht="12" customHeight="1" x14ac:dyDescent="0.45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ht="12" customHeight="1" x14ac:dyDescent="0.45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ht="12" customHeight="1" x14ac:dyDescent="0.45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ht="12" customHeight="1" x14ac:dyDescent="0.45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spans="2:13" ht="12" customHeight="1" x14ac:dyDescent="0.45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spans="2:13" ht="12" customHeight="1" x14ac:dyDescent="0.45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ht="12" customHeight="1" x14ac:dyDescent="0.45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85" zoomScaleNormal="85" workbookViewId="0">
      <selection activeCell="E30" sqref="E30"/>
    </sheetView>
  </sheetViews>
  <sheetFormatPr baseColWidth="10" defaultColWidth="11.46484375" defaultRowHeight="14.25" x14ac:dyDescent="0.45"/>
  <cols>
    <col min="1" max="1" width="13.5312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33203125" style="23" customWidth="1"/>
    <col min="6" max="6" width="28.86328125" style="23" bestFit="1" customWidth="1"/>
    <col min="7" max="8" width="14.5312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6" t="s">
        <v>192</v>
      </c>
      <c r="C3" s="267"/>
      <c r="D3" s="267"/>
      <c r="E3" s="267"/>
      <c r="F3" s="268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71" t="s">
        <v>231</v>
      </c>
      <c r="B5" s="271"/>
      <c r="C5" s="24">
        <v>11.22</v>
      </c>
      <c r="D5" s="272" t="s">
        <v>229</v>
      </c>
      <c r="E5" s="27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70" t="s">
        <v>226</v>
      </c>
      <c r="B7" s="270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35</v>
      </c>
      <c r="C9" s="32">
        <v>0.10416666666666667</v>
      </c>
      <c r="D9" s="33">
        <f t="shared" ref="D9:D18" si="0">C9*$C$5</f>
        <v>1.1687500000000002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6</v>
      </c>
      <c r="C10" s="32">
        <v>0.125</v>
      </c>
      <c r="D10" s="33">
        <f t="shared" si="0"/>
        <v>1.4025000000000001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14</v>
      </c>
      <c r="C11" s="32">
        <v>0.1125</v>
      </c>
      <c r="D11" s="33">
        <f t="shared" si="0"/>
        <v>1.2622500000000001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16</v>
      </c>
      <c r="C12" s="32">
        <v>0.17</v>
      </c>
      <c r="D12" s="33">
        <f t="shared" si="0"/>
        <v>1.9074000000000002</v>
      </c>
      <c r="E12" s="34">
        <v>191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9</v>
      </c>
      <c r="C13" s="32">
        <v>0.1125</v>
      </c>
      <c r="D13" s="33">
        <f t="shared" si="0"/>
        <v>1.2622500000000001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4</v>
      </c>
      <c r="C14" s="32">
        <v>2.0833333333333332E-2</v>
      </c>
      <c r="D14" s="33">
        <f t="shared" si="0"/>
        <v>0.23375000000000001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5</v>
      </c>
      <c r="C15" s="32">
        <v>8.3333333333333329E-2</v>
      </c>
      <c r="D15" s="33">
        <f t="shared" si="0"/>
        <v>0.93500000000000005</v>
      </c>
      <c r="E15" s="34">
        <v>40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 t="s">
        <v>23</v>
      </c>
      <c r="C16" s="32">
        <v>0.125</v>
      </c>
      <c r="D16" s="33">
        <f t="shared" si="0"/>
        <v>1.4025000000000001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 t="s">
        <v>44</v>
      </c>
      <c r="C17" s="32">
        <v>0.10416666666666667</v>
      </c>
      <c r="D17" s="33">
        <f t="shared" si="0"/>
        <v>1.1687500000000002</v>
      </c>
      <c r="E17" s="34">
        <v>45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 t="s">
        <v>29</v>
      </c>
      <c r="C18" s="32">
        <v>4.1666666666666664E-2</v>
      </c>
      <c r="D18" s="33">
        <f t="shared" si="0"/>
        <v>0.46750000000000003</v>
      </c>
      <c r="E18" s="34">
        <v>69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0.99916666666666676</v>
      </c>
      <c r="D19" s="38">
        <f>SUM(D9:D18)</f>
        <v>11.210649999999999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9" t="s">
        <v>232</v>
      </c>
      <c r="B22" s="26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70" t="s">
        <v>227</v>
      </c>
      <c r="B30" s="270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2" t="s">
        <v>186</v>
      </c>
      <c r="D34" s="262"/>
      <c r="E34" s="263" t="s">
        <v>187</v>
      </c>
      <c r="F34" s="264"/>
      <c r="G34" s="264"/>
      <c r="H34" s="26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22</v>
      </c>
      <c r="B36" s="60">
        <v>129.56</v>
      </c>
      <c r="C36" s="60">
        <v>1</v>
      </c>
      <c r="D36" s="60">
        <v>52.620000000000005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5.8890909090909096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27</v>
      </c>
      <c r="B37" s="60">
        <v>155.85</v>
      </c>
      <c r="C37" s="60">
        <v>2</v>
      </c>
      <c r="D37" s="60">
        <v>37.929999999999993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15.782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33</v>
      </c>
      <c r="B38" s="60">
        <v>217.65</v>
      </c>
      <c r="C38" s="60">
        <v>3</v>
      </c>
      <c r="D38" s="60">
        <v>50.460000000000008</v>
      </c>
      <c r="E38" s="51">
        <v>0.25</v>
      </c>
      <c r="F38" s="51">
        <v>0.37</v>
      </c>
      <c r="G38" s="51">
        <v>0.38</v>
      </c>
      <c r="H38" s="51">
        <v>0</v>
      </c>
      <c r="I38" s="53">
        <f t="shared" si="1"/>
        <v>16.621666666666666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41</v>
      </c>
      <c r="B39" s="60">
        <v>300.74</v>
      </c>
      <c r="C39" s="60">
        <v>4</v>
      </c>
      <c r="D39" s="60">
        <v>72.16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16.693750000000001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50</v>
      </c>
      <c r="B40" s="60">
        <v>370.01</v>
      </c>
      <c r="C40" s="60">
        <v>5</v>
      </c>
      <c r="D40" s="60">
        <v>70.20999999999998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15.714444444444442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60</v>
      </c>
      <c r="B41" s="60">
        <v>440.94</v>
      </c>
      <c r="C41" s="60">
        <v>6</v>
      </c>
      <c r="D41" s="60">
        <v>69.839999999999975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14.113999999999999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70</v>
      </c>
      <c r="B42" s="60">
        <v>490.07</v>
      </c>
      <c r="C42" s="60">
        <v>7</v>
      </c>
      <c r="D42" s="60">
        <v>67.88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11.896999999999997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80</v>
      </c>
      <c r="B43" s="60">
        <v>520.03</v>
      </c>
      <c r="C43" s="60">
        <v>8</v>
      </c>
      <c r="D43" s="60">
        <v>520.03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9.7839999999999971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326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2" t="s">
        <v>186</v>
      </c>
      <c r="D60" s="262"/>
      <c r="E60" s="263" t="s">
        <v>187</v>
      </c>
      <c r="F60" s="264"/>
      <c r="G60" s="264"/>
      <c r="H60" s="26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38</v>
      </c>
      <c r="B62" s="60">
        <v>152.63</v>
      </c>
      <c r="C62" s="60">
        <v>1</v>
      </c>
      <c r="D62" s="60">
        <v>71.569999999999993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4.016578947368421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45</v>
      </c>
      <c r="B63" s="60">
        <v>149.75</v>
      </c>
      <c r="C63" s="60">
        <v>2</v>
      </c>
      <c r="D63" s="60">
        <v>41.69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9.8128571428571423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52</v>
      </c>
      <c r="B64" s="60">
        <v>178.07</v>
      </c>
      <c r="C64" s="60">
        <v>3</v>
      </c>
      <c r="D64" s="60">
        <v>44.400000000000006</v>
      </c>
      <c r="E64" s="51">
        <v>0.35</v>
      </c>
      <c r="F64" s="51">
        <v>0.2</v>
      </c>
      <c r="G64" s="51">
        <v>0.1</v>
      </c>
      <c r="H64" s="51">
        <v>0.35</v>
      </c>
      <c r="I64" s="49">
        <f>IF(A64&lt;&gt;0,(B64-(B63-D63))/(A64-A63),"")</f>
        <v>10.001428571428571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59</v>
      </c>
      <c r="B65" s="60">
        <v>202.85</v>
      </c>
      <c r="C65" s="60">
        <v>4</v>
      </c>
      <c r="D65" s="60">
        <v>41.81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9.8828571428571443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67</v>
      </c>
      <c r="B66" s="60">
        <v>239.06</v>
      </c>
      <c r="C66" s="60">
        <v>5</v>
      </c>
      <c r="D66" s="60">
        <v>42.550000000000011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9.7525000000000013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75</v>
      </c>
      <c r="B67" s="60">
        <v>273.76</v>
      </c>
      <c r="C67" s="60">
        <v>6</v>
      </c>
      <c r="D67" s="60">
        <v>43.519999999999982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9.65625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83</v>
      </c>
      <c r="B68" s="60">
        <v>306.11</v>
      </c>
      <c r="C68" s="60">
        <v>7</v>
      </c>
      <c r="D68" s="60">
        <v>49.980000000000018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9.4837500000000006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93</v>
      </c>
      <c r="B69" s="50">
        <v>348.87</v>
      </c>
      <c r="C69" s="50">
        <v>8</v>
      </c>
      <c r="D69" s="50">
        <v>67.45999999999998</v>
      </c>
      <c r="E69" s="51">
        <v>0.5</v>
      </c>
      <c r="F69" s="51">
        <v>0.2</v>
      </c>
      <c r="G69" s="51">
        <v>0</v>
      </c>
      <c r="H69" s="51">
        <v>0.3</v>
      </c>
      <c r="I69" s="49">
        <f t="shared" si="2"/>
        <v>9.2740000000000009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103</v>
      </c>
      <c r="B70" s="50">
        <v>371.4</v>
      </c>
      <c r="C70" s="50">
        <v>9</v>
      </c>
      <c r="D70" s="50">
        <v>67.759999999999991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8.9989999999999952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113</v>
      </c>
      <c r="B71" s="50">
        <v>391.18</v>
      </c>
      <c r="C71" s="50">
        <v>10</v>
      </c>
      <c r="D71" s="50">
        <v>68.670000000000016</v>
      </c>
      <c r="E71" s="51">
        <v>0.5</v>
      </c>
      <c r="F71" s="51">
        <v>0.2</v>
      </c>
      <c r="G71" s="51">
        <v>0</v>
      </c>
      <c r="H71" s="51">
        <v>0.3</v>
      </c>
      <c r="I71" s="49">
        <f t="shared" si="2"/>
        <v>8.7540000000000013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123</v>
      </c>
      <c r="B72" s="50">
        <v>409.53</v>
      </c>
      <c r="C72" s="50">
        <v>11</v>
      </c>
      <c r="D72" s="50">
        <v>203.78999999999996</v>
      </c>
      <c r="E72" s="51">
        <v>0.45</v>
      </c>
      <c r="F72" s="51">
        <v>0.05</v>
      </c>
      <c r="G72" s="51">
        <v>0.05</v>
      </c>
      <c r="H72" s="51">
        <v>0.45</v>
      </c>
      <c r="I72" s="49">
        <f t="shared" si="2"/>
        <v>8.7019999999999982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125</v>
      </c>
      <c r="B73" s="50">
        <v>215.44</v>
      </c>
      <c r="C73" s="50">
        <v>12</v>
      </c>
      <c r="D73" s="50">
        <v>70.609999999999985</v>
      </c>
      <c r="E73" s="51">
        <v>0.45</v>
      </c>
      <c r="F73" s="51">
        <v>0.05</v>
      </c>
      <c r="G73" s="51">
        <v>0.05</v>
      </c>
      <c r="H73" s="51">
        <v>0.45</v>
      </c>
      <c r="I73" s="49">
        <f t="shared" si="2"/>
        <v>4.8499999999999943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127</v>
      </c>
      <c r="B74" s="50">
        <v>151.47999999999999</v>
      </c>
      <c r="C74" s="50">
        <v>13</v>
      </c>
      <c r="D74" s="50">
        <v>46.039999999999992</v>
      </c>
      <c r="E74" s="51">
        <v>0.45</v>
      </c>
      <c r="F74" s="51">
        <v>0.05</v>
      </c>
      <c r="G74" s="51">
        <v>0.05</v>
      </c>
      <c r="H74" s="51">
        <v>0.45</v>
      </c>
      <c r="I74" s="49">
        <f t="shared" si="2"/>
        <v>3.3249999999999886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130</v>
      </c>
      <c r="B75" s="50">
        <v>112.75</v>
      </c>
      <c r="C75" s="50">
        <v>14</v>
      </c>
      <c r="D75" s="50">
        <v>112.75</v>
      </c>
      <c r="E75" s="51">
        <v>0.45</v>
      </c>
      <c r="F75" s="51">
        <v>0.05</v>
      </c>
      <c r="G75" s="51">
        <v>0.05</v>
      </c>
      <c r="H75" s="51">
        <v>0.45</v>
      </c>
      <c r="I75" s="49">
        <f t="shared" si="2"/>
        <v>2.4366666666666674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327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2" t="s">
        <v>186</v>
      </c>
      <c r="D86" s="262"/>
      <c r="E86" s="263" t="s">
        <v>187</v>
      </c>
      <c r="F86" s="264"/>
      <c r="G86" s="264"/>
      <c r="H86" s="26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328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Chêne vert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2" t="s">
        <v>186</v>
      </c>
      <c r="D112" s="262"/>
      <c r="E112" s="263" t="s">
        <v>187</v>
      </c>
      <c r="F112" s="264"/>
      <c r="G112" s="264"/>
      <c r="H112" s="26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60</v>
      </c>
      <c r="B114" s="60">
        <v>201.62</v>
      </c>
      <c r="C114" s="50">
        <v>1</v>
      </c>
      <c r="D114" s="60">
        <v>72.87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3.3603333333333336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69</v>
      </c>
      <c r="B115" s="60">
        <v>190.79</v>
      </c>
      <c r="C115" s="50">
        <v>2</v>
      </c>
      <c r="D115" s="60">
        <v>42.22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6.8933333333333326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77</v>
      </c>
      <c r="B116" s="60">
        <v>202.52</v>
      </c>
      <c r="C116" s="50">
        <v>3</v>
      </c>
      <c r="D116" s="60">
        <v>33.950000000000017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6.7437500000000021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86</v>
      </c>
      <c r="B117" s="60">
        <v>229.27</v>
      </c>
      <c r="C117" s="257">
        <v>4</v>
      </c>
      <c r="D117" s="60">
        <v>37.54000000000002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6.7444444444444462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95</v>
      </c>
      <c r="B118" s="60">
        <v>252.57</v>
      </c>
      <c r="C118" s="50">
        <v>5</v>
      </c>
      <c r="D118" s="60">
        <v>42.199999999999989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6.7600000000000007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104</v>
      </c>
      <c r="B119" s="60">
        <v>271.37</v>
      </c>
      <c r="C119" s="50">
        <v>6</v>
      </c>
      <c r="D119" s="60">
        <v>39.400000000000006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6.7777777777777777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113</v>
      </c>
      <c r="B120" s="60">
        <v>293.89999999999998</v>
      </c>
      <c r="C120" s="60">
        <v>7</v>
      </c>
      <c r="D120" s="60">
        <v>41.639999999999986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6.8811111111111085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122</v>
      </c>
      <c r="B121" s="60">
        <v>315.27</v>
      </c>
      <c r="C121" s="60">
        <v>8</v>
      </c>
      <c r="D121" s="60">
        <v>45.829999999999984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7.0011111111111104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132</v>
      </c>
      <c r="B122" s="60">
        <v>340.57</v>
      </c>
      <c r="C122" s="60">
        <v>9</v>
      </c>
      <c r="D122" s="60">
        <v>48.699999999999989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7.1129999999999995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144</v>
      </c>
      <c r="B123" s="60">
        <v>379.92</v>
      </c>
      <c r="C123" s="60">
        <v>10</v>
      </c>
      <c r="D123" s="60">
        <v>60.949999999999989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7.3375000000000012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156</v>
      </c>
      <c r="B124" s="60">
        <v>409.2</v>
      </c>
      <c r="C124" s="60">
        <v>11</v>
      </c>
      <c r="D124" s="60">
        <v>65.69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7.5191666666666634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168</v>
      </c>
      <c r="B125" s="60">
        <v>435.65</v>
      </c>
      <c r="C125" s="60">
        <v>12</v>
      </c>
      <c r="D125" s="60">
        <v>71.37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7.6783333333333319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180</v>
      </c>
      <c r="B126" s="60">
        <v>456.54</v>
      </c>
      <c r="C126" s="60">
        <v>13</v>
      </c>
      <c r="D126" s="60">
        <v>175.59000000000003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7.688333333333337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184</v>
      </c>
      <c r="B127" s="60">
        <v>300.14</v>
      </c>
      <c r="C127" s="60">
        <v>14</v>
      </c>
      <c r="D127" s="60">
        <v>101.19999999999999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4.7974999999999994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188</v>
      </c>
      <c r="B128" s="50">
        <v>211.27</v>
      </c>
      <c r="C128" s="50">
        <v>15</v>
      </c>
      <c r="D128" s="50">
        <v>72.180000000000007</v>
      </c>
      <c r="E128" s="54">
        <v>0.5</v>
      </c>
      <c r="F128" s="54">
        <v>0.2</v>
      </c>
      <c r="G128" s="54">
        <v>0</v>
      </c>
      <c r="H128" s="54">
        <v>0.3</v>
      </c>
      <c r="I128" s="53">
        <f t="shared" si="4"/>
        <v>3.0825000000000031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191</v>
      </c>
      <c r="B129" s="50">
        <v>145.01</v>
      </c>
      <c r="C129" s="50">
        <v>16</v>
      </c>
      <c r="D129" s="50">
        <v>145.01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1.9733333333333292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329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Chêne chevelu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2" t="s">
        <v>186</v>
      </c>
      <c r="D138" s="262"/>
      <c r="E138" s="263" t="s">
        <v>187</v>
      </c>
      <c r="F138" s="264"/>
      <c r="G138" s="264"/>
      <c r="H138" s="26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20</v>
      </c>
      <c r="B140" s="60">
        <v>84.615384615384613</v>
      </c>
      <c r="C140" s="50">
        <v>1</v>
      </c>
      <c r="D140" s="60">
        <v>32.051282051282051</v>
      </c>
      <c r="E140" s="51">
        <v>0</v>
      </c>
      <c r="F140" s="51">
        <v>0.5</v>
      </c>
      <c r="G140" s="51">
        <v>0</v>
      </c>
      <c r="H140" s="51">
        <v>0.5</v>
      </c>
      <c r="I140" s="57">
        <f>IFERROR(B140/A140,"")</f>
        <v>4.2307692307692308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25</v>
      </c>
      <c r="B141" s="60">
        <v>91.666666666666657</v>
      </c>
      <c r="C141" s="50">
        <v>2</v>
      </c>
      <c r="D141" s="60">
        <v>23.717948717948715</v>
      </c>
      <c r="E141" s="51">
        <v>0</v>
      </c>
      <c r="F141" s="51">
        <v>0.5</v>
      </c>
      <c r="G141" s="51">
        <v>0</v>
      </c>
      <c r="H141" s="51">
        <v>0.5</v>
      </c>
      <c r="I141" s="57">
        <f t="shared" ref="I141:I159" si="5">IF(A141&lt;&gt;0,(B141-(B140-D140))/(A141-A140),"")</f>
        <v>7.8205128205128194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30</v>
      </c>
      <c r="B142" s="60">
        <v>104.48717948717949</v>
      </c>
      <c r="C142" s="50">
        <v>3</v>
      </c>
      <c r="D142" s="60">
        <v>23.717948717948715</v>
      </c>
      <c r="E142" s="51">
        <v>0</v>
      </c>
      <c r="F142" s="51">
        <v>0.5</v>
      </c>
      <c r="G142" s="51">
        <v>0</v>
      </c>
      <c r="H142" s="51">
        <v>0.5</v>
      </c>
      <c r="I142" s="57">
        <f t="shared" si="5"/>
        <v>7.3076923076923093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35</v>
      </c>
      <c r="B143" s="60">
        <v>114.74358974358974</v>
      </c>
      <c r="C143" s="50">
        <v>4</v>
      </c>
      <c r="D143" s="60">
        <v>23.076923076923077</v>
      </c>
      <c r="E143" s="51">
        <v>0</v>
      </c>
      <c r="F143" s="51">
        <v>0.5</v>
      </c>
      <c r="G143" s="51">
        <v>0</v>
      </c>
      <c r="H143" s="51">
        <v>0.5</v>
      </c>
      <c r="I143" s="57">
        <f t="shared" si="5"/>
        <v>6.7948717948717929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40</v>
      </c>
      <c r="B144" s="60">
        <v>122.43589743589743</v>
      </c>
      <c r="C144" s="50">
        <v>5</v>
      </c>
      <c r="D144" s="60">
        <v>21.153846153846153</v>
      </c>
      <c r="E144" s="51">
        <v>0</v>
      </c>
      <c r="F144" s="51">
        <v>0.5</v>
      </c>
      <c r="G144" s="51">
        <v>0</v>
      </c>
      <c r="H144" s="51">
        <v>0.5</v>
      </c>
      <c r="I144" s="57">
        <f t="shared" si="5"/>
        <v>6.1538461538461551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45</v>
      </c>
      <c r="B145" s="60">
        <v>128.84615384615384</v>
      </c>
      <c r="C145" s="50">
        <v>6</v>
      </c>
      <c r="D145" s="60">
        <v>19.871794871794872</v>
      </c>
      <c r="E145" s="51">
        <v>0</v>
      </c>
      <c r="F145" s="51">
        <v>0.5</v>
      </c>
      <c r="G145" s="51">
        <v>0</v>
      </c>
      <c r="H145" s="51">
        <v>0.5</v>
      </c>
      <c r="I145" s="57">
        <f t="shared" si="5"/>
        <v>5.5128205128205137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50</v>
      </c>
      <c r="B146" s="60">
        <v>133.97435897435898</v>
      </c>
      <c r="C146" s="50">
        <v>7</v>
      </c>
      <c r="D146" s="60">
        <v>17.948717948717949</v>
      </c>
      <c r="E146" s="51">
        <v>0.1</v>
      </c>
      <c r="F146" s="51">
        <v>0.5</v>
      </c>
      <c r="G146" s="51">
        <v>0</v>
      </c>
      <c r="H146" s="51">
        <v>0.4</v>
      </c>
      <c r="I146" s="57">
        <f t="shared" si="5"/>
        <v>5.0000000000000027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55</v>
      </c>
      <c r="B147" s="60">
        <v>137.82051282051282</v>
      </c>
      <c r="C147" s="50">
        <v>8</v>
      </c>
      <c r="D147" s="60">
        <v>16.025641025641026</v>
      </c>
      <c r="E147" s="51">
        <v>0.1</v>
      </c>
      <c r="F147" s="51">
        <v>0.5</v>
      </c>
      <c r="G147" s="51">
        <v>0</v>
      </c>
      <c r="H147" s="51">
        <v>0.4</v>
      </c>
      <c r="I147" s="57">
        <f>IF(A147&lt;&gt;0,(B147-(B146-D146))/(A147-A146),"")</f>
        <v>4.3589743589743595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60</v>
      </c>
      <c r="B148" s="60">
        <v>141.02564102564102</v>
      </c>
      <c r="C148" s="50">
        <v>9</v>
      </c>
      <c r="D148" s="60">
        <v>14.102564102564102</v>
      </c>
      <c r="E148" s="51">
        <v>0.1</v>
      </c>
      <c r="F148" s="51">
        <v>0.5</v>
      </c>
      <c r="G148" s="51">
        <v>0</v>
      </c>
      <c r="H148" s="51">
        <v>0.4</v>
      </c>
      <c r="I148" s="57">
        <f t="shared" si="5"/>
        <v>3.8461538461538454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65</v>
      </c>
      <c r="B149" s="60">
        <v>143.58974358974359</v>
      </c>
      <c r="C149" s="50">
        <v>10</v>
      </c>
      <c r="D149" s="60">
        <v>12.820512820512819</v>
      </c>
      <c r="E149" s="51">
        <v>0.1</v>
      </c>
      <c r="F149" s="51">
        <v>0.5</v>
      </c>
      <c r="G149" s="51">
        <v>0</v>
      </c>
      <c r="H149" s="51">
        <v>0.4</v>
      </c>
      <c r="I149" s="57">
        <f t="shared" si="5"/>
        <v>3.3333333333333344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70</v>
      </c>
      <c r="B150" s="60">
        <v>145.5128205128205</v>
      </c>
      <c r="C150" s="50">
        <v>11</v>
      </c>
      <c r="D150" s="60">
        <v>10.897435897435898</v>
      </c>
      <c r="E150" s="51">
        <v>0.1</v>
      </c>
      <c r="F150" s="51">
        <v>0.5</v>
      </c>
      <c r="G150" s="51">
        <v>0</v>
      </c>
      <c r="H150" s="51">
        <v>0.4</v>
      </c>
      <c r="I150" s="57">
        <f t="shared" si="5"/>
        <v>2.9487179487179445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75</v>
      </c>
      <c r="B151" s="60">
        <v>147.43589743589743</v>
      </c>
      <c r="C151" s="50">
        <v>12</v>
      </c>
      <c r="D151" s="60">
        <v>9.615384615384615</v>
      </c>
      <c r="E151" s="51">
        <v>0.1</v>
      </c>
      <c r="F151" s="51">
        <v>0.5</v>
      </c>
      <c r="G151" s="51">
        <v>0</v>
      </c>
      <c r="H151" s="51">
        <v>0.4</v>
      </c>
      <c r="I151" s="57">
        <f t="shared" si="5"/>
        <v>2.5641025641025692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80</v>
      </c>
      <c r="B152" s="60">
        <v>148.7179487179487</v>
      </c>
      <c r="C152" s="50">
        <v>13</v>
      </c>
      <c r="D152" s="60">
        <v>8.3333333333333339</v>
      </c>
      <c r="E152" s="54">
        <v>0.1</v>
      </c>
      <c r="F152" s="54">
        <v>0.5</v>
      </c>
      <c r="G152" s="54">
        <v>0</v>
      </c>
      <c r="H152" s="54">
        <v>0.4</v>
      </c>
      <c r="I152" s="57">
        <f t="shared" si="5"/>
        <v>2.1794871794871766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85</v>
      </c>
      <c r="B153" s="60">
        <v>150</v>
      </c>
      <c r="C153" s="50">
        <v>14</v>
      </c>
      <c r="D153" s="60">
        <v>7.6923076923076916</v>
      </c>
      <c r="E153" s="54">
        <v>0.1</v>
      </c>
      <c r="F153" s="54">
        <v>0.5</v>
      </c>
      <c r="G153" s="54">
        <v>0</v>
      </c>
      <c r="H153" s="54">
        <v>0.4</v>
      </c>
      <c r="I153" s="57">
        <f t="shared" si="5"/>
        <v>1.9230769230769282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>
        <v>90</v>
      </c>
      <c r="B154" s="56">
        <v>151.28205128205127</v>
      </c>
      <c r="C154" s="50">
        <v>15</v>
      </c>
      <c r="D154" s="50">
        <v>151.28205128205127</v>
      </c>
      <c r="E154" s="54">
        <v>0.2</v>
      </c>
      <c r="F154" s="54">
        <v>0.4</v>
      </c>
      <c r="G154" s="54">
        <v>0</v>
      </c>
      <c r="H154" s="54">
        <v>0.4</v>
      </c>
      <c r="I154" s="57">
        <f t="shared" si="5"/>
        <v>1.7948717948717898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Aulne glutineux</v>
      </c>
      <c r="C162" s="23" t="s">
        <v>333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2" t="s">
        <v>186</v>
      </c>
      <c r="D164" s="262"/>
      <c r="E164" s="263" t="s">
        <v>187</v>
      </c>
      <c r="F164" s="264"/>
      <c r="G164" s="264"/>
      <c r="H164" s="26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10</v>
      </c>
      <c r="B166" s="60">
        <v>7.0512820512820511</v>
      </c>
      <c r="C166" s="60">
        <v>1</v>
      </c>
      <c r="D166" s="60">
        <v>0.64102564102564097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0.70512820512820507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15</v>
      </c>
      <c r="B167" s="60">
        <v>28.205128205128204</v>
      </c>
      <c r="C167" s="60">
        <v>2</v>
      </c>
      <c r="D167" s="60">
        <v>2.5641025641025639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4.3589743589743595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20</v>
      </c>
      <c r="B168" s="60">
        <v>64.102564102564102</v>
      </c>
      <c r="C168" s="60">
        <v>3</v>
      </c>
      <c r="D168" s="60">
        <v>6.4102564102564097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7.6923076923076916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25</v>
      </c>
      <c r="B169" s="60">
        <v>88.461538461538453</v>
      </c>
      <c r="C169" s="60">
        <v>4</v>
      </c>
      <c r="D169" s="60">
        <v>13.461538461538462</v>
      </c>
      <c r="E169" s="51">
        <v>0</v>
      </c>
      <c r="F169" s="51">
        <v>0.25</v>
      </c>
      <c r="G169" s="51">
        <v>0.25</v>
      </c>
      <c r="H169" s="51">
        <v>0.5</v>
      </c>
      <c r="I169" s="49">
        <f t="shared" si="6"/>
        <v>6.1538461538461515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30</v>
      </c>
      <c r="B170" s="60">
        <v>103.2051282051282</v>
      </c>
      <c r="C170" s="60">
        <v>5</v>
      </c>
      <c r="D170" s="60">
        <v>14.743589743589743</v>
      </c>
      <c r="E170" s="51">
        <v>0</v>
      </c>
      <c r="F170" s="51">
        <v>0.25</v>
      </c>
      <c r="G170" s="51">
        <v>0.25</v>
      </c>
      <c r="H170" s="51">
        <v>0.5</v>
      </c>
      <c r="I170" s="49">
        <f t="shared" si="6"/>
        <v>5.6410256410256441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35</v>
      </c>
      <c r="B171" s="60">
        <v>116.02564102564102</v>
      </c>
      <c r="C171" s="60">
        <v>6</v>
      </c>
      <c r="D171" s="60">
        <v>16.025641025641026</v>
      </c>
      <c r="E171" s="51">
        <v>0</v>
      </c>
      <c r="F171" s="51">
        <v>0.25</v>
      </c>
      <c r="G171" s="51">
        <v>0.25</v>
      </c>
      <c r="H171" s="51">
        <v>0.5</v>
      </c>
      <c r="I171" s="49">
        <f t="shared" si="6"/>
        <v>5.512820512820511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40</v>
      </c>
      <c r="B172" s="60">
        <v>125</v>
      </c>
      <c r="C172" s="60">
        <v>7</v>
      </c>
      <c r="D172" s="60">
        <v>16.025641025641026</v>
      </c>
      <c r="E172" s="51">
        <v>0</v>
      </c>
      <c r="F172" s="51">
        <v>0.25</v>
      </c>
      <c r="G172" s="51">
        <v>0.25</v>
      </c>
      <c r="H172" s="51">
        <v>0.5</v>
      </c>
      <c r="I172" s="49">
        <f t="shared" si="6"/>
        <v>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45</v>
      </c>
      <c r="B173" s="50">
        <v>132.69230769230768</v>
      </c>
      <c r="C173" s="50">
        <v>8</v>
      </c>
      <c r="D173" s="50">
        <v>16.025641025641026</v>
      </c>
      <c r="E173" s="51">
        <v>0</v>
      </c>
      <c r="F173" s="51">
        <v>0.25</v>
      </c>
      <c r="G173" s="51">
        <v>0.25</v>
      </c>
      <c r="H173" s="51">
        <v>0.5</v>
      </c>
      <c r="I173" s="49">
        <f t="shared" si="6"/>
        <v>4.7435897435897401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50</v>
      </c>
      <c r="B174" s="50">
        <v>137.82051282051282</v>
      </c>
      <c r="C174" s="50">
        <v>9</v>
      </c>
      <c r="D174" s="50">
        <v>15.384615384615383</v>
      </c>
      <c r="E174" s="51">
        <v>0</v>
      </c>
      <c r="F174" s="51">
        <v>0.25</v>
      </c>
      <c r="G174" s="51">
        <v>0.25</v>
      </c>
      <c r="H174" s="51">
        <v>0.5</v>
      </c>
      <c r="I174" s="49">
        <f t="shared" si="6"/>
        <v>4.2307692307692317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55</v>
      </c>
      <c r="B175" s="50">
        <v>142.94871794871796</v>
      </c>
      <c r="C175" s="50">
        <v>10</v>
      </c>
      <c r="D175" s="50">
        <v>14.743589743589743</v>
      </c>
      <c r="E175" s="51">
        <v>0.25</v>
      </c>
      <c r="F175" s="51">
        <v>0.25</v>
      </c>
      <c r="G175" s="51">
        <v>0.25</v>
      </c>
      <c r="H175" s="51">
        <v>0.25</v>
      </c>
      <c r="I175" s="49">
        <f t="shared" si="6"/>
        <v>4.1025641025641049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60</v>
      </c>
      <c r="B176" s="50">
        <v>146.7948717948718</v>
      </c>
      <c r="C176" s="50">
        <v>11</v>
      </c>
      <c r="D176" s="50">
        <v>14.102564102564102</v>
      </c>
      <c r="E176" s="51">
        <v>0.25</v>
      </c>
      <c r="F176" s="51">
        <v>0.25</v>
      </c>
      <c r="G176" s="51">
        <v>0.25</v>
      </c>
      <c r="H176" s="51">
        <v>0.25</v>
      </c>
      <c r="I176" s="49">
        <f t="shared" si="6"/>
        <v>3.7179487179487181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65</v>
      </c>
      <c r="B177" s="50">
        <v>149.35897435897436</v>
      </c>
      <c r="C177" s="50">
        <v>12</v>
      </c>
      <c r="D177" s="50">
        <v>12.820512820512819</v>
      </c>
      <c r="E177" s="51">
        <v>0.25</v>
      </c>
      <c r="F177" s="51">
        <v>0.25</v>
      </c>
      <c r="G177" s="51">
        <v>0.25</v>
      </c>
      <c r="H177" s="51">
        <v>0.25</v>
      </c>
      <c r="I177" s="49">
        <f t="shared" si="6"/>
        <v>3.333333333333337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70</v>
      </c>
      <c r="B178" s="50">
        <v>151.92307692307691</v>
      </c>
      <c r="C178" s="50">
        <v>13</v>
      </c>
      <c r="D178" s="50">
        <v>12.179487179487179</v>
      </c>
      <c r="E178" s="51">
        <v>0.25</v>
      </c>
      <c r="F178" s="51">
        <v>0.25</v>
      </c>
      <c r="G178" s="51">
        <v>0.25</v>
      </c>
      <c r="H178" s="51">
        <v>0.25</v>
      </c>
      <c r="I178" s="49">
        <f t="shared" si="6"/>
        <v>3.0769230769230718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75</v>
      </c>
      <c r="B179" s="50">
        <v>154.48717948717947</v>
      </c>
      <c r="C179" s="50">
        <v>14</v>
      </c>
      <c r="D179" s="50">
        <v>11.538461538461538</v>
      </c>
      <c r="E179" s="51">
        <v>0.25</v>
      </c>
      <c r="F179" s="51">
        <v>0.25</v>
      </c>
      <c r="G179" s="51">
        <v>0.25</v>
      </c>
      <c r="H179" s="51">
        <v>0.25</v>
      </c>
      <c r="I179" s="49">
        <f t="shared" si="6"/>
        <v>2.9487179487179502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>
        <v>80</v>
      </c>
      <c r="B180" s="50">
        <v>156.41025641025641</v>
      </c>
      <c r="C180" s="50">
        <v>15</v>
      </c>
      <c r="D180" s="50">
        <v>10.256410256410255</v>
      </c>
      <c r="E180" s="51">
        <v>0.25</v>
      </c>
      <c r="F180" s="51">
        <v>0.25</v>
      </c>
      <c r="G180" s="51">
        <v>0.25</v>
      </c>
      <c r="H180" s="51">
        <v>0.25</v>
      </c>
      <c r="I180" s="49">
        <f t="shared" si="6"/>
        <v>2.6923076923076961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>
        <v>85</v>
      </c>
      <c r="B181" s="50">
        <v>158.33333333333331</v>
      </c>
      <c r="C181" s="50">
        <v>16</v>
      </c>
      <c r="D181" s="50">
        <v>9.615384615384615</v>
      </c>
      <c r="E181" s="51">
        <v>0.25</v>
      </c>
      <c r="F181" s="51">
        <v>0.25</v>
      </c>
      <c r="G181" s="51">
        <v>0.25</v>
      </c>
      <c r="H181" s="51">
        <v>0.25</v>
      </c>
      <c r="I181" s="49">
        <f t="shared" si="6"/>
        <v>2.4358974358974308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>
        <v>90</v>
      </c>
      <c r="B182" s="50">
        <v>160.25641025641025</v>
      </c>
      <c r="C182" s="50">
        <v>17</v>
      </c>
      <c r="D182" s="50">
        <v>160.25641025641025</v>
      </c>
      <c r="E182" s="51">
        <v>0.25</v>
      </c>
      <c r="F182" s="51">
        <v>0.25</v>
      </c>
      <c r="G182" s="51">
        <v>0.25</v>
      </c>
      <c r="H182" s="51">
        <v>0.25</v>
      </c>
      <c r="I182" s="49">
        <f t="shared" si="6"/>
        <v>2.3076923076923093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C187" s="23" t="s">
        <v>332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Bouleau verruqueux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2" t="s">
        <v>186</v>
      </c>
      <c r="D190" s="262"/>
      <c r="E190" s="263" t="s">
        <v>187</v>
      </c>
      <c r="F190" s="264"/>
      <c r="G190" s="264"/>
      <c r="H190" s="26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12</v>
      </c>
      <c r="B192" s="60">
        <v>51.92307692307692</v>
      </c>
      <c r="C192" s="60">
        <v>1</v>
      </c>
      <c r="D192" s="60">
        <v>14.743589743589743</v>
      </c>
      <c r="E192" s="51">
        <v>0</v>
      </c>
      <c r="F192" s="51">
        <v>0.25</v>
      </c>
      <c r="G192" s="51">
        <v>0.25</v>
      </c>
      <c r="H192" s="51">
        <v>0.5</v>
      </c>
      <c r="I192" s="49">
        <f>IFERROR(B192/A192,"")</f>
        <v>4.3269230769230766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20</v>
      </c>
      <c r="B193" s="60">
        <v>96.153846153846146</v>
      </c>
      <c r="C193" s="60">
        <v>2</v>
      </c>
      <c r="D193" s="60">
        <v>24.358974358974358</v>
      </c>
      <c r="E193" s="51">
        <v>0</v>
      </c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7.3717948717948714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30</v>
      </c>
      <c r="B194" s="60">
        <v>138.46153846153845</v>
      </c>
      <c r="C194" s="60">
        <v>3</v>
      </c>
      <c r="D194" s="60">
        <v>38.46153846153846</v>
      </c>
      <c r="E194" s="51">
        <v>0</v>
      </c>
      <c r="F194" s="51">
        <v>0.25</v>
      </c>
      <c r="G194" s="51">
        <v>0.25</v>
      </c>
      <c r="H194" s="51">
        <v>0.5</v>
      </c>
      <c r="I194" s="49">
        <f t="shared" si="7"/>
        <v>6.6666666666666661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40</v>
      </c>
      <c r="B195" s="60">
        <v>151.28205128205127</v>
      </c>
      <c r="C195" s="60">
        <v>4</v>
      </c>
      <c r="D195" s="60">
        <v>151.28205128205127</v>
      </c>
      <c r="E195" s="51">
        <v>0.25</v>
      </c>
      <c r="F195" s="51">
        <v>0.25</v>
      </c>
      <c r="G195" s="51">
        <v>0.25</v>
      </c>
      <c r="H195" s="51">
        <v>0.25</v>
      </c>
      <c r="I195" s="49">
        <f t="shared" si="7"/>
        <v>5.1282051282051269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C213" s="23" t="s">
        <v>325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>Erable sycomore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2" t="s">
        <v>186</v>
      </c>
      <c r="D216" s="262"/>
      <c r="E216" s="263" t="s">
        <v>187</v>
      </c>
      <c r="F216" s="264"/>
      <c r="G216" s="264"/>
      <c r="H216" s="26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>
        <v>15</v>
      </c>
      <c r="B218" s="60">
        <v>37</v>
      </c>
      <c r="C218" s="50">
        <v>1</v>
      </c>
      <c r="D218" s="60">
        <v>15</v>
      </c>
      <c r="E218" s="63">
        <v>0</v>
      </c>
      <c r="F218" s="63">
        <v>0.25</v>
      </c>
      <c r="G218" s="63">
        <v>0.25</v>
      </c>
      <c r="H218" s="63">
        <v>0.5</v>
      </c>
      <c r="I218" s="53">
        <f>IFERROR(B218/A218,"")</f>
        <v>2.4666666666666668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>
        <v>20</v>
      </c>
      <c r="B219" s="60">
        <v>80</v>
      </c>
      <c r="C219" s="50">
        <v>2</v>
      </c>
      <c r="D219" s="60">
        <v>28</v>
      </c>
      <c r="E219" s="63">
        <v>0</v>
      </c>
      <c r="F219" s="63">
        <v>0.25</v>
      </c>
      <c r="G219" s="63">
        <v>0.25</v>
      </c>
      <c r="H219" s="63">
        <v>0.5</v>
      </c>
      <c r="I219" s="53">
        <f t="shared" ref="I219:I237" si="8">IF(A219&lt;&gt;0,(B219-(B218-D218))/(A219-A218),"")</f>
        <v>11.6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>
        <v>25</v>
      </c>
      <c r="B220" s="60">
        <v>115</v>
      </c>
      <c r="C220" s="50">
        <v>3</v>
      </c>
      <c r="D220" s="60">
        <v>28</v>
      </c>
      <c r="E220" s="63">
        <v>0</v>
      </c>
      <c r="F220" s="63">
        <v>0.25</v>
      </c>
      <c r="G220" s="63">
        <v>0.25</v>
      </c>
      <c r="H220" s="63">
        <v>0.5</v>
      </c>
      <c r="I220" s="53">
        <f t="shared" si="8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>
        <v>30</v>
      </c>
      <c r="B221" s="55">
        <v>146</v>
      </c>
      <c r="C221" s="55">
        <v>4</v>
      </c>
      <c r="D221" s="55">
        <v>28</v>
      </c>
      <c r="E221" s="63">
        <v>0</v>
      </c>
      <c r="F221" s="63">
        <v>0.25</v>
      </c>
      <c r="G221" s="63">
        <v>0.25</v>
      </c>
      <c r="H221" s="63">
        <v>0.5</v>
      </c>
      <c r="I221" s="53">
        <f t="shared" si="8"/>
        <v>11.8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>
        <v>35</v>
      </c>
      <c r="B222" s="55">
        <v>172</v>
      </c>
      <c r="C222" s="55">
        <v>5</v>
      </c>
      <c r="D222" s="55">
        <v>28</v>
      </c>
      <c r="E222" s="63">
        <v>0</v>
      </c>
      <c r="F222" s="63">
        <v>0.25</v>
      </c>
      <c r="G222" s="63">
        <v>0.25</v>
      </c>
      <c r="H222" s="63">
        <v>0.5</v>
      </c>
      <c r="I222" s="53">
        <f t="shared" si="8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>
        <v>40</v>
      </c>
      <c r="B223" s="55">
        <v>192</v>
      </c>
      <c r="C223" s="55">
        <v>6</v>
      </c>
      <c r="D223" s="55">
        <v>28</v>
      </c>
      <c r="E223" s="63">
        <v>0.25</v>
      </c>
      <c r="F223" s="63">
        <v>0.25</v>
      </c>
      <c r="G223" s="63">
        <v>0.25</v>
      </c>
      <c r="H223" s="63">
        <v>0.25</v>
      </c>
      <c r="I223" s="53">
        <f t="shared" si="8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>
        <v>45</v>
      </c>
      <c r="B224" s="55">
        <v>205</v>
      </c>
      <c r="C224" s="55">
        <v>7</v>
      </c>
      <c r="D224" s="55">
        <v>22</v>
      </c>
      <c r="E224" s="63">
        <v>0.25</v>
      </c>
      <c r="F224" s="63">
        <v>0.25</v>
      </c>
      <c r="G224" s="63">
        <v>0.25</v>
      </c>
      <c r="H224" s="63">
        <v>0.25</v>
      </c>
      <c r="I224" s="53">
        <f t="shared" si="8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>
        <v>50</v>
      </c>
      <c r="B225" s="55">
        <v>219</v>
      </c>
      <c r="C225" s="55">
        <v>8</v>
      </c>
      <c r="D225" s="55">
        <v>17</v>
      </c>
      <c r="E225" s="63">
        <v>0.25</v>
      </c>
      <c r="F225" s="63">
        <v>0.25</v>
      </c>
      <c r="G225" s="63">
        <v>0.25</v>
      </c>
      <c r="H225" s="63">
        <v>0.25</v>
      </c>
      <c r="I225" s="53">
        <f t="shared" si="8"/>
        <v>7.2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>
        <v>55</v>
      </c>
      <c r="B226" s="55">
        <v>232</v>
      </c>
      <c r="C226" s="55">
        <v>9</v>
      </c>
      <c r="D226" s="55">
        <v>13</v>
      </c>
      <c r="E226" s="63">
        <v>0.25</v>
      </c>
      <c r="F226" s="63">
        <v>0.25</v>
      </c>
      <c r="G226" s="63">
        <v>0.25</v>
      </c>
      <c r="H226" s="63">
        <v>0.25</v>
      </c>
      <c r="I226" s="53">
        <f t="shared" si="8"/>
        <v>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>
        <v>60</v>
      </c>
      <c r="B227" s="55">
        <v>245</v>
      </c>
      <c r="C227" s="55">
        <v>10</v>
      </c>
      <c r="D227" s="55">
        <v>12</v>
      </c>
      <c r="E227" s="63">
        <v>0.25</v>
      </c>
      <c r="F227" s="63">
        <v>0.25</v>
      </c>
      <c r="G227" s="63">
        <v>0.25</v>
      </c>
      <c r="H227" s="63">
        <v>0.25</v>
      </c>
      <c r="I227" s="53">
        <f t="shared" si="8"/>
        <v>5.2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>
        <v>65</v>
      </c>
      <c r="B228" s="55">
        <v>255</v>
      </c>
      <c r="C228" s="55">
        <v>11</v>
      </c>
      <c r="D228" s="55">
        <v>11</v>
      </c>
      <c r="E228" s="63">
        <v>0.25</v>
      </c>
      <c r="F228" s="63">
        <v>0.25</v>
      </c>
      <c r="G228" s="63">
        <v>0.25</v>
      </c>
      <c r="H228" s="63">
        <v>0.25</v>
      </c>
      <c r="I228" s="53">
        <f t="shared" si="8"/>
        <v>4.4000000000000004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>
        <v>70</v>
      </c>
      <c r="B229" s="55">
        <v>263</v>
      </c>
      <c r="C229" s="55">
        <v>12</v>
      </c>
      <c r="D229" s="55">
        <v>10</v>
      </c>
      <c r="E229" s="63">
        <v>0.25</v>
      </c>
      <c r="F229" s="63">
        <v>0.25</v>
      </c>
      <c r="G229" s="63">
        <v>0.25</v>
      </c>
      <c r="H229" s="63">
        <v>0.25</v>
      </c>
      <c r="I229" s="53">
        <f t="shared" si="8"/>
        <v>3.8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>
        <v>75</v>
      </c>
      <c r="B230" s="55">
        <v>270</v>
      </c>
      <c r="C230" s="55">
        <v>13</v>
      </c>
      <c r="D230" s="55">
        <v>9</v>
      </c>
      <c r="E230" s="64">
        <v>0.25</v>
      </c>
      <c r="F230" s="64">
        <v>0.25</v>
      </c>
      <c r="G230" s="64">
        <v>0.25</v>
      </c>
      <c r="H230" s="64">
        <v>0.25</v>
      </c>
      <c r="I230" s="53">
        <f t="shared" si="8"/>
        <v>3.4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>
        <v>80</v>
      </c>
      <c r="B231" s="60">
        <v>275</v>
      </c>
      <c r="C231" s="88">
        <v>14</v>
      </c>
      <c r="D231" s="60">
        <v>275</v>
      </c>
      <c r="E231" s="54">
        <v>0.25</v>
      </c>
      <c r="F231" s="54">
        <v>0.25</v>
      </c>
      <c r="G231" s="54">
        <v>0.25</v>
      </c>
      <c r="H231" s="54">
        <v>0.25</v>
      </c>
      <c r="I231" s="53">
        <f t="shared" si="8"/>
        <v>2.8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C239" s="23" t="s">
        <v>330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>Robinier faux-acacia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2" t="s">
        <v>186</v>
      </c>
      <c r="D242" s="262"/>
      <c r="E242" s="263" t="s">
        <v>187</v>
      </c>
      <c r="F242" s="264"/>
      <c r="G242" s="264"/>
      <c r="H242" s="26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>
        <v>5</v>
      </c>
      <c r="B244" s="60">
        <v>17.948717948717949</v>
      </c>
      <c r="C244" s="60">
        <v>1</v>
      </c>
      <c r="D244" s="60">
        <v>2.5641025641025639</v>
      </c>
      <c r="E244" s="51">
        <v>0.1</v>
      </c>
      <c r="F244" s="51">
        <v>0.4</v>
      </c>
      <c r="G244" s="51">
        <v>0</v>
      </c>
      <c r="H244" s="63">
        <v>0.5</v>
      </c>
      <c r="I244" s="53">
        <f>IFERROR(B244/A244,"")</f>
        <v>3.5897435897435899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>
        <v>10</v>
      </c>
      <c r="B245" s="60">
        <v>50.641025641025642</v>
      </c>
      <c r="C245" s="60">
        <v>2</v>
      </c>
      <c r="D245" s="60">
        <v>13.461538461538462</v>
      </c>
      <c r="E245" s="63">
        <v>0.1</v>
      </c>
      <c r="F245" s="63">
        <v>0.4</v>
      </c>
      <c r="G245" s="63">
        <v>0</v>
      </c>
      <c r="H245" s="63">
        <v>0.5</v>
      </c>
      <c r="I245" s="53">
        <f>IF(A245&lt;&gt;0,(B245-(B244-D244))/(A245-A244),"")</f>
        <v>7.0512820512820511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>
        <v>15</v>
      </c>
      <c r="B246" s="60">
        <v>72.435897435897431</v>
      </c>
      <c r="C246" s="60">
        <v>3</v>
      </c>
      <c r="D246" s="60">
        <v>10.897435897435898</v>
      </c>
      <c r="E246" s="63">
        <v>0.1</v>
      </c>
      <c r="F246" s="63">
        <v>0.4</v>
      </c>
      <c r="G246" s="63">
        <v>0</v>
      </c>
      <c r="H246" s="63">
        <v>0.5</v>
      </c>
      <c r="I246" s="53">
        <f>IF(A246&lt;&gt;0,(B246-(B245-D245))/(A246-A245),"")</f>
        <v>7.0512820512820493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>
        <v>20</v>
      </c>
      <c r="B247" s="60">
        <v>92.948717948717942</v>
      </c>
      <c r="C247" s="60">
        <v>4</v>
      </c>
      <c r="D247" s="60">
        <v>8.9743589743589745</v>
      </c>
      <c r="E247" s="63">
        <v>0.1</v>
      </c>
      <c r="F247" s="63">
        <v>0.4</v>
      </c>
      <c r="G247" s="63">
        <v>0</v>
      </c>
      <c r="H247" s="63">
        <v>0.5</v>
      </c>
      <c r="I247" s="53">
        <f t="shared" ref="I247:I263" si="9">IF(A247&lt;&gt;0,(B247-(B246-D246))/(A247-A246),"")</f>
        <v>6.2820512820512819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>
        <v>25</v>
      </c>
      <c r="B248" s="60">
        <v>110.8974358974359</v>
      </c>
      <c r="C248" s="60">
        <v>5</v>
      </c>
      <c r="D248" s="60">
        <v>7.0512820512820511</v>
      </c>
      <c r="E248" s="63">
        <v>0.1</v>
      </c>
      <c r="F248" s="63">
        <v>0.4</v>
      </c>
      <c r="G248" s="63">
        <v>0</v>
      </c>
      <c r="H248" s="63">
        <v>0.5</v>
      </c>
      <c r="I248" s="53">
        <f t="shared" si="9"/>
        <v>5.3846153846153868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>
        <v>30</v>
      </c>
      <c r="B249" s="60">
        <v>125.64102564102564</v>
      </c>
      <c r="C249" s="60">
        <v>6</v>
      </c>
      <c r="D249" s="60">
        <v>5.7692307692307692</v>
      </c>
      <c r="E249" s="63">
        <v>0.1</v>
      </c>
      <c r="F249" s="63">
        <v>0.4</v>
      </c>
      <c r="G249" s="63">
        <v>0</v>
      </c>
      <c r="H249" s="63">
        <v>0.5</v>
      </c>
      <c r="I249" s="53">
        <f t="shared" si="9"/>
        <v>4.3589743589743595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>
        <v>35</v>
      </c>
      <c r="B250" s="60">
        <v>138.46153846153845</v>
      </c>
      <c r="C250" s="60">
        <v>7</v>
      </c>
      <c r="D250" s="60">
        <v>4.4871794871794872</v>
      </c>
      <c r="E250" s="63">
        <v>0.1</v>
      </c>
      <c r="F250" s="63">
        <v>0.4</v>
      </c>
      <c r="G250" s="63">
        <v>0</v>
      </c>
      <c r="H250" s="63">
        <v>0.5</v>
      </c>
      <c r="I250" s="53">
        <f t="shared" si="9"/>
        <v>3.7179487179487181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>
        <v>40</v>
      </c>
      <c r="B251" s="55">
        <v>149.35897435897436</v>
      </c>
      <c r="C251" s="55">
        <v>8</v>
      </c>
      <c r="D251" s="55">
        <v>3.8461538461538458</v>
      </c>
      <c r="E251" s="63">
        <v>0.1</v>
      </c>
      <c r="F251" s="63">
        <v>0.4</v>
      </c>
      <c r="G251" s="63">
        <v>0</v>
      </c>
      <c r="H251" s="63">
        <v>0.5</v>
      </c>
      <c r="I251" s="53">
        <f t="shared" si="9"/>
        <v>3.0769230769230775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>
        <v>45</v>
      </c>
      <c r="B252" s="55">
        <v>161.53846153846152</v>
      </c>
      <c r="C252" s="55">
        <v>9</v>
      </c>
      <c r="D252" s="55">
        <v>161.53846153846152</v>
      </c>
      <c r="E252" s="63">
        <v>0.3</v>
      </c>
      <c r="F252" s="63">
        <v>0.2</v>
      </c>
      <c r="G252" s="63">
        <v>0.1</v>
      </c>
      <c r="H252" s="63">
        <v>0.4</v>
      </c>
      <c r="I252" s="53">
        <f t="shared" si="9"/>
        <v>3.2051282051281986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>Merisier</v>
      </c>
      <c r="C266" s="23" t="s">
        <v>331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2" t="s">
        <v>186</v>
      </c>
      <c r="D268" s="262"/>
      <c r="E268" s="263" t="s">
        <v>187</v>
      </c>
      <c r="F268" s="264"/>
      <c r="G268" s="264"/>
      <c r="H268" s="26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>
        <v>15</v>
      </c>
      <c r="B270" s="60">
        <v>40</v>
      </c>
      <c r="C270" s="50">
        <v>1</v>
      </c>
      <c r="D270" s="60">
        <v>3</v>
      </c>
      <c r="E270" s="51">
        <v>0</v>
      </c>
      <c r="F270" s="51">
        <v>0.25</v>
      </c>
      <c r="G270" s="51">
        <v>0.25</v>
      </c>
      <c r="H270" s="51">
        <v>0.5</v>
      </c>
      <c r="I270" s="53">
        <f>IFERROR(B270/A270,"")</f>
        <v>2.6666666666666665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>
        <v>20</v>
      </c>
      <c r="B271" s="60">
        <v>85</v>
      </c>
      <c r="C271" s="50">
        <v>2</v>
      </c>
      <c r="D271" s="60">
        <v>25</v>
      </c>
      <c r="E271" s="51">
        <v>0</v>
      </c>
      <c r="F271" s="51">
        <v>0.25</v>
      </c>
      <c r="G271" s="51">
        <v>0.25</v>
      </c>
      <c r="H271" s="51">
        <v>0.5</v>
      </c>
      <c r="I271" s="53">
        <f>IF(A271&lt;&gt;0,(B271-(B270-D270))/(A271-A270),"")</f>
        <v>9.6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>
        <v>25</v>
      </c>
      <c r="B272" s="60">
        <v>113</v>
      </c>
      <c r="C272" s="50">
        <v>3</v>
      </c>
      <c r="D272" s="60">
        <v>27</v>
      </c>
      <c r="E272" s="51">
        <v>0</v>
      </c>
      <c r="F272" s="51">
        <v>0.25</v>
      </c>
      <c r="G272" s="51">
        <v>0.25</v>
      </c>
      <c r="H272" s="51">
        <v>0.5</v>
      </c>
      <c r="I272" s="53">
        <f t="shared" ref="I272:I289" si="10">IF(A272&lt;&gt;0,(B272-(B271-D271))/(A272-A271),"")</f>
        <v>10.6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>
        <v>31</v>
      </c>
      <c r="B273" s="60">
        <v>155</v>
      </c>
      <c r="C273" s="50">
        <v>4</v>
      </c>
      <c r="D273" s="60">
        <v>36</v>
      </c>
      <c r="E273" s="51">
        <v>0.25</v>
      </c>
      <c r="F273" s="51">
        <v>0.25</v>
      </c>
      <c r="G273" s="51">
        <v>0.25</v>
      </c>
      <c r="H273" s="51">
        <v>0.25</v>
      </c>
      <c r="I273" s="53">
        <f t="shared" si="10"/>
        <v>11.5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>
        <v>37</v>
      </c>
      <c r="B274" s="60">
        <v>188</v>
      </c>
      <c r="C274" s="50">
        <v>5</v>
      </c>
      <c r="D274" s="60">
        <v>36</v>
      </c>
      <c r="E274" s="51">
        <v>0.25</v>
      </c>
      <c r="F274" s="51">
        <v>0.25</v>
      </c>
      <c r="G274" s="51">
        <v>0.25</v>
      </c>
      <c r="H274" s="51">
        <v>0.25</v>
      </c>
      <c r="I274" s="53">
        <f t="shared" si="10"/>
        <v>11.5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>
        <v>44</v>
      </c>
      <c r="B275" s="60">
        <v>230</v>
      </c>
      <c r="C275" s="50">
        <v>6</v>
      </c>
      <c r="D275" s="60">
        <v>43</v>
      </c>
      <c r="E275" s="63">
        <v>0.25</v>
      </c>
      <c r="F275" s="63">
        <v>0.25</v>
      </c>
      <c r="G275" s="63">
        <v>0.25</v>
      </c>
      <c r="H275" s="63">
        <v>0.25</v>
      </c>
      <c r="I275" s="53">
        <f t="shared" si="10"/>
        <v>11.142857142857142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>
        <v>52</v>
      </c>
      <c r="B276" s="60">
        <v>270</v>
      </c>
      <c r="C276" s="50">
        <v>7</v>
      </c>
      <c r="D276" s="60">
        <v>48</v>
      </c>
      <c r="E276" s="63">
        <v>0.25</v>
      </c>
      <c r="F276" s="63">
        <v>0.25</v>
      </c>
      <c r="G276" s="63">
        <v>0.25</v>
      </c>
      <c r="H276" s="63">
        <v>0.25</v>
      </c>
      <c r="I276" s="53">
        <f t="shared" si="10"/>
        <v>10.375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>
        <v>60</v>
      </c>
      <c r="B277" s="55">
        <v>297</v>
      </c>
      <c r="C277" s="55">
        <v>8</v>
      </c>
      <c r="D277" s="55">
        <v>47</v>
      </c>
      <c r="E277" s="63">
        <v>0.25</v>
      </c>
      <c r="F277" s="63">
        <v>0.25</v>
      </c>
      <c r="G277" s="63">
        <v>0.25</v>
      </c>
      <c r="H277" s="63">
        <v>0.25</v>
      </c>
      <c r="I277" s="53">
        <f t="shared" si="10"/>
        <v>9.375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>
        <v>69</v>
      </c>
      <c r="B278" s="55">
        <v>328</v>
      </c>
      <c r="C278" s="55">
        <v>9</v>
      </c>
      <c r="D278" s="55">
        <v>328</v>
      </c>
      <c r="E278" s="63">
        <v>0.25</v>
      </c>
      <c r="F278" s="63">
        <v>0.25</v>
      </c>
      <c r="G278" s="63">
        <v>0.25</v>
      </c>
      <c r="H278" s="63">
        <v>0.25</v>
      </c>
      <c r="I278" s="53">
        <f t="shared" si="10"/>
        <v>8.6666666666666661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88" t="s">
        <v>191</v>
      </c>
      <c r="C2" s="289"/>
      <c r="D2" s="289"/>
      <c r="E2" s="289"/>
      <c r="F2" s="289"/>
      <c r="G2" s="290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95"/>
      <c r="C4" s="295"/>
      <c r="D4" s="295"/>
      <c r="E4" s="295"/>
      <c r="F4" s="295"/>
      <c r="G4" s="29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disablePrompts="1"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3" sqref="M13:M18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88" t="s">
        <v>271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Pin laricio</v>
      </c>
      <c r="B6" s="146">
        <f>'Données projet'!D9</f>
        <v>1.1687500000000002</v>
      </c>
      <c r="C6" s="147">
        <f ca="1">IF(OR('Données projet'!B9="",'Données projet'!C9="",'Données projet'!C9=0%),0,Calculateur!S3)</f>
        <v>349.71285006949597</v>
      </c>
      <c r="D6" s="147">
        <f>IF(OR('Données projet'!B9="",'Données projet'!C9="",'Données projet'!C9=0%),0,Calculateur!T3)</f>
        <v>258.51550516456842</v>
      </c>
      <c r="E6" s="147">
        <f ca="1">MIN(C6,D6)</f>
        <v>258.51550516456842</v>
      </c>
      <c r="F6" s="147">
        <f ca="1">E6*B6</f>
        <v>302.13999666108941</v>
      </c>
      <c r="G6" s="147">
        <f ca="1">F6*(100%-'Données projet'!$C$24)*(100%-'Données projet'!$C$25)*(100%-'Données projet'!$C$26)*(100%-'Données projet'!$C$27)</f>
        <v>271.92599699498049</v>
      </c>
      <c r="H6" s="148">
        <f>IF(OR('Données projet'!B9="",'Données projet'!C9="",'Données projet'!C9=0%),0,AVERAGE(Calculateur!$AC$3:$AC$33)*B6)</f>
        <v>7.4075386697755929</v>
      </c>
      <c r="I6" s="149">
        <f>H6*(100%-'Données projet'!$C$24)*(100%-'Données projet'!$C$25)*(100%-'Données projet'!$C$26)*(100%-'Données projet'!$C$27)</f>
        <v>6.6667848027980341</v>
      </c>
      <c r="J6" s="150">
        <f>IF(OR('Données projet'!B9="",'Données projet'!C9="",'Données projet'!C9=0%),0,SUM(Calculateur!$V$3:$V$33)*VLOOKUP('Données projet'!$B$9,Paramètres!$A$1:$I$89,9,0)*B6)</f>
        <v>45.507034375000003</v>
      </c>
      <c r="K6" s="151">
        <f>J6*(100%-'Données projet'!$C$24)*(100%-'Données projet'!$C$25)*(100%-'Données projet'!$C$26)*(100%-'Données projet'!$C$27)</f>
        <v>40.956330937500006</v>
      </c>
      <c r="L6" s="152">
        <f ca="1">G6+I6+K6</f>
        <v>319.54911273527853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Charme</v>
      </c>
      <c r="B7" s="154">
        <f>'Données projet'!D10</f>
        <v>1.4025000000000001</v>
      </c>
      <c r="C7" s="147">
        <f ca="1">IF(OR('Données projet'!B10="",'Données projet'!C10="",'Données projet'!C10=0%),0,Calculateur!AN3)</f>
        <v>449.28947235329758</v>
      </c>
      <c r="D7" s="147">
        <f>IF(OR('Données projet'!B10="",'Données projet'!C10="",'Données projet'!C10=0%),0,Calculateur!AO3)</f>
        <v>289.36994109443964</v>
      </c>
      <c r="E7" s="147">
        <f t="shared" ref="E7:E15" ca="1" si="0">MIN(C7,D7)</f>
        <v>289.36994109443964</v>
      </c>
      <c r="F7" s="147">
        <f t="shared" ref="F7:F15" ca="1" si="1">E7*B7</f>
        <v>405.84134238495164</v>
      </c>
      <c r="G7" s="147">
        <f ca="1">F7*(100%-'Données projet'!$C$24)*(100%-'Données projet'!$C$25)*(100%-'Données projet'!$C$26)*(100%-'Données projet'!$C$27)</f>
        <v>365.25720814645649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365.25720814645649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sessile</v>
      </c>
      <c r="B8" s="154">
        <f>'Données projet'!D11</f>
        <v>1.2622500000000001</v>
      </c>
      <c r="C8" s="147">
        <f ca="1">IF(OR('Données projet'!B11="",'Données projet'!C11="",'Données projet'!C11=0%),0,Calculateur!BI3)</f>
        <v>635.71275911100679</v>
      </c>
      <c r="D8" s="147">
        <f>IF(OR('Données projet'!B11="",'Données projet'!C11="",'Données projet'!C11=0%),0,Calculateur!BJ3)</f>
        <v>281.7776857269169</v>
      </c>
      <c r="E8" s="147">
        <f t="shared" ca="1" si="0"/>
        <v>281.7776857269169</v>
      </c>
      <c r="F8" s="147">
        <f t="shared" ca="1" si="1"/>
        <v>355.67388380880089</v>
      </c>
      <c r="G8" s="147">
        <f ca="1">F8*(100%-'Données projet'!$C$24)*(100%-'Données projet'!$C$25)*(100%-'Données projet'!$C$26)*(100%-'Données projet'!$C$27)</f>
        <v>320.10649542792083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320.10649542792083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Chêne vert</v>
      </c>
      <c r="B9" s="154">
        <f>'Données projet'!D12</f>
        <v>1.9074000000000002</v>
      </c>
      <c r="C9" s="147">
        <f ca="1">IF(OR('Données projet'!B12="",'Données projet'!C12="",'Données projet'!C12=0%),0,Calculateur!CD3)</f>
        <v>593.28343396240075</v>
      </c>
      <c r="D9" s="147">
        <f>IF(OR('Données projet'!B12="",'Données projet'!C12="",'Données projet'!C12=0%),0,Calculateur!CE3)</f>
        <v>289.66477662068695</v>
      </c>
      <c r="E9" s="147">
        <f t="shared" ca="1" si="0"/>
        <v>289.66477662068695</v>
      </c>
      <c r="F9" s="147">
        <f t="shared" ca="1" si="1"/>
        <v>552.50659492629836</v>
      </c>
      <c r="G9" s="147">
        <f ca="1">F9*(100%-'Données projet'!$C$24)*(100%-'Données projet'!$C$25)*(100%-'Données projet'!$C$26)*(100%-'Données projet'!$C$27)</f>
        <v>497.25593543366853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497.25593543366853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Chêne chevelu</v>
      </c>
      <c r="B10" s="154">
        <f>'Données projet'!D13</f>
        <v>1.2622500000000001</v>
      </c>
      <c r="C10" s="147">
        <f ca="1">IF(OR('Données projet'!B13="",'Données projet'!C13="",'Données projet'!C13=0%),0,Calculateur!CY3)</f>
        <v>260.65406541614402</v>
      </c>
      <c r="D10" s="147">
        <f>IF(OR('Données projet'!B13="",'Données projet'!C13="",'Données projet'!C13=0%),0,Calculateur!CZ3)</f>
        <v>277.63456890196886</v>
      </c>
      <c r="E10" s="147">
        <f t="shared" ca="1" si="0"/>
        <v>260.65406541614402</v>
      </c>
      <c r="F10" s="147">
        <f t="shared" ca="1" si="1"/>
        <v>329.01059407152781</v>
      </c>
      <c r="G10" s="147">
        <f ca="1">F10*(100%-'Données projet'!$C$24)*(100%-'Données projet'!$C$25)*(100%-'Données projet'!$C$26)*(100%-'Données projet'!$C$27)</f>
        <v>296.10953466437502</v>
      </c>
      <c r="H10" s="155">
        <f>IF(OR('Données projet'!B13="",'Données projet'!C13="",'Données projet'!C13=0%),0,AVERAGE(Calculateur!$DI$3:$DI$33)*B10)</f>
        <v>4.6824722184203438</v>
      </c>
      <c r="I10" s="149">
        <f>H10*(100%-'Données projet'!$C$24)*(100%-'Données projet'!$C$25)*(100%-'Données projet'!$C$26)*(100%-'Données projet'!$C$27)</f>
        <v>4.2142249965783094</v>
      </c>
      <c r="J10" s="150">
        <f>IF(OR('Données projet'!B13="",'Données projet'!C13="",'Données projet'!C13=0%),0,SUM(Calculateur!$DB$3:$DB$33)*VLOOKUP('Données projet'!$B$13,Paramètres!$A$1:$I$89,9,0)*B10)</f>
        <v>25.083173076923075</v>
      </c>
      <c r="K10" s="151">
        <f>J10*(100%-'Données projet'!$C$24)*(100%-'Données projet'!$C$25)*(100%-'Données projet'!$C$26)*(100%-'Données projet'!$C$27)</f>
        <v>22.574855769230769</v>
      </c>
      <c r="L10" s="152">
        <f t="shared" ca="1" si="2"/>
        <v>322.89861543018412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Aulne glutineux</v>
      </c>
      <c r="B11" s="154">
        <f>'Données projet'!D14</f>
        <v>0.23375000000000001</v>
      </c>
      <c r="C11" s="147">
        <f ca="1">IF(OR('Données projet'!B14="",'Données projet'!C14="",'Données projet'!C14=0%),0,Calculateur!DT3)</f>
        <v>181.4272795535777</v>
      </c>
      <c r="D11" s="147">
        <f>IF(OR('Données projet'!B14="",'Données projet'!C14="",'Données projet'!C14=0%),0,Calculateur!DU3)</f>
        <v>187.67131775419904</v>
      </c>
      <c r="E11" s="147">
        <f t="shared" ca="1" si="0"/>
        <v>181.4272795535777</v>
      </c>
      <c r="F11" s="147">
        <f t="shared" ca="1" si="1"/>
        <v>42.408626595648791</v>
      </c>
      <c r="G11" s="147">
        <f ca="1">F11*(100%-'Données projet'!$C$24)*(100%-'Données projet'!$C$25)*(100%-'Données projet'!$C$26)*(100%-'Données projet'!$C$27)</f>
        <v>38.167763936083915</v>
      </c>
      <c r="H11" s="155">
        <f>IF(OR('Données projet'!B14="",'Données projet'!C14="",'Données projet'!C14=0%),0,AVERAGE(Calculateur!$ED$3:$ED$33)*B11)</f>
        <v>0.21617443714426168</v>
      </c>
      <c r="I11" s="149">
        <f>H11*(100%-'Données projet'!$C$24)*(100%-'Données projet'!$C$25)*(100%-'Données projet'!$C$26)*(100%-'Données projet'!$C$27)</f>
        <v>0.19455699342983551</v>
      </c>
      <c r="J11" s="150">
        <f>IF(OR('Données projet'!B14="",'Données projet'!C14="",'Données projet'!C14=0%),0,SUM(Calculateur!$DW$3:$DW$33)*VLOOKUP('Données projet'!$B$14,Paramètres!$A$1:$I$89,9,0)*B11)</f>
        <v>2.2101362179487181</v>
      </c>
      <c r="K11" s="151">
        <f>J11*(100%-'Données projet'!$C$24)*(100%-'Données projet'!$C$25)*(100%-'Données projet'!$C$26)*(100%-'Données projet'!$C$27)</f>
        <v>1.9891225961538463</v>
      </c>
      <c r="L11" s="152">
        <f t="shared" ca="1" si="2"/>
        <v>40.351443525667598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Bouleau verruqueux</v>
      </c>
      <c r="B12" s="154">
        <f>'Données projet'!D15</f>
        <v>0.93500000000000005</v>
      </c>
      <c r="C12" s="147">
        <f ca="1">IF(OR('Données projet'!B15="",'Données projet'!C15="",'Données projet'!C15=0%),0,Calculateur!EO3)</f>
        <v>159.68591355116837</v>
      </c>
      <c r="D12" s="147">
        <f>IF(OR('Données projet'!B15="",'Données projet'!C15="",'Données projet'!C15=0%),0,Calculateur!EP3)</f>
        <v>284.32631786390112</v>
      </c>
      <c r="E12" s="147">
        <f t="shared" ca="1" si="0"/>
        <v>159.68591355116837</v>
      </c>
      <c r="F12" s="147">
        <f t="shared" ca="1" si="1"/>
        <v>149.30632917034242</v>
      </c>
      <c r="G12" s="147">
        <f ca="1">F12*(100%-'Données projet'!$C$24)*(100%-'Données projet'!$C$25)*(100%-'Données projet'!$C$26)*(100%-'Données projet'!$C$27)</f>
        <v>134.37569625330818</v>
      </c>
      <c r="H12" s="155">
        <f>IF(OR('Données projet'!B15="",'Données projet'!C15="",'Données projet'!C15=0%),0,AVERAGE(Calculateur!$EY$3:$EY$33)*B12)</f>
        <v>2.4104531835357146</v>
      </c>
      <c r="I12" s="149">
        <f>H12*(100%-'Données projet'!$C$24)*(100%-'Données projet'!$C$25)*(100%-'Données projet'!$C$26)*(100%-'Données projet'!$C$27)</f>
        <v>2.1694078651821433</v>
      </c>
      <c r="J12" s="150">
        <f>IF(OR('Données projet'!B15="",'Données projet'!C15="",'Données projet'!C15=0%),0,SUM(Calculateur!$ER$3:$ER$33)*VLOOKUP('Données projet'!$B$15,Paramètres!$A$1:$I$89,9,0)*B12)</f>
        <v>18.130608974358978</v>
      </c>
      <c r="K12" s="151">
        <f>J12*(100%-'Données projet'!$C$24)*(100%-'Données projet'!$C$25)*(100%-'Données projet'!$C$26)*(100%-'Données projet'!$C$27)</f>
        <v>16.317548076923082</v>
      </c>
      <c r="L12" s="152">
        <f t="shared" ca="1" si="2"/>
        <v>152.8626521954134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>Erable sycomore</v>
      </c>
      <c r="B13" s="154">
        <f>'Données projet'!D16</f>
        <v>1.4025000000000001</v>
      </c>
      <c r="C13" s="147">
        <f ca="1">IF(OR('Données projet'!B16="",'Données projet'!C16="",'Données projet'!C16=0%),0,Calculateur!FJ3)</f>
        <v>299.10536994156814</v>
      </c>
      <c r="D13" s="147">
        <f>IF(OR('Données projet'!B16="",'Données projet'!C16="",'Données projet'!C16=0%),0,Calculateur!FK3)</f>
        <v>292.57799203101769</v>
      </c>
      <c r="E13" s="147">
        <f t="shared" ca="1" si="0"/>
        <v>292.57799203101769</v>
      </c>
      <c r="F13" s="147">
        <f t="shared" ca="1" si="1"/>
        <v>410.34063382350234</v>
      </c>
      <c r="G13" s="147">
        <f ca="1">F13*(100%-'Données projet'!$C$24)*(100%-'Données projet'!$C$25)*(100%-'Données projet'!$C$26)*(100%-'Données projet'!$C$27)</f>
        <v>369.30657044115213</v>
      </c>
      <c r="H13" s="155">
        <f>IF(OR('Données projet'!B16="",'Données projet'!C16="",'Données projet'!C16=0%),0,AVERAGE(Calculateur!$FT$3:$FT$33)*B13)</f>
        <v>5.5915662587333852</v>
      </c>
      <c r="I13" s="149">
        <f>H13*(100%-'Données projet'!$C$24)*(100%-'Données projet'!$C$25)*(100%-'Données projet'!$C$26)*(100%-'Données projet'!$C$27)</f>
        <v>5.0324096328600465</v>
      </c>
      <c r="J13" s="150">
        <f>IF(OR('Données projet'!C16="",'Données projet'!C16=0%),0,SUM(Calculateur!$FM$3:$FM$33)*VLOOKUP('Données projet'!$B$16,Paramètres!$A$1:$I$89,9,0)*B13)</f>
        <v>34.711874999999999</v>
      </c>
      <c r="K13" s="151">
        <f>J13*(100%-'Données projet'!$C$24)*(100%-'Données projet'!$C$25)*(100%-'Données projet'!$C$26)*(100%-'Données projet'!$C$27)</f>
        <v>31.2406875</v>
      </c>
      <c r="L13" s="152">
        <f t="shared" ca="1" si="2"/>
        <v>405.57966757401215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>Robinier faux-acacia</v>
      </c>
      <c r="B14" s="154">
        <f>'Données projet'!D17</f>
        <v>1.1687500000000002</v>
      </c>
      <c r="C14" s="147">
        <f ca="1">IF(OR('Données projet'!B17="",'Données projet'!C17="",'Données projet'!C17=0%),0,Calculateur!GE3)</f>
        <v>204.78565758021779</v>
      </c>
      <c r="D14" s="147">
        <f>IF(OR('Données projet'!B17="",'Données projet'!C17="",'Données projet'!C17=0%),0,Calculateur!GF3)</f>
        <v>287.25131613242439</v>
      </c>
      <c r="E14" s="147">
        <f t="shared" ca="1" si="0"/>
        <v>204.78565758021779</v>
      </c>
      <c r="F14" s="147">
        <f t="shared" ca="1" si="1"/>
        <v>239.34323729687958</v>
      </c>
      <c r="G14" s="147">
        <f ca="1">F14*(100%-'Données projet'!$C$24)*(100%-'Données projet'!$C$25)*(100%-'Données projet'!$C$26)*(100%-'Données projet'!$C$27)</f>
        <v>215.40891356719163</v>
      </c>
      <c r="H14" s="155">
        <f>IF(OR('Données projet'!B17="",'Données projet'!C17="",'Données projet'!C17=0%),0,AVERAGE(Calculateur!$GO$3:$GO$33)*B14)</f>
        <v>3.0809787898721099</v>
      </c>
      <c r="I14" s="149">
        <f>H14*(100%-'Données projet'!$C$24)*(100%-'Données projet'!$C$25)*(100%-'Données projet'!$C$26)*(100%-'Données projet'!$C$27)</f>
        <v>2.7728809108848989</v>
      </c>
      <c r="J14" s="150">
        <f>IF(OR('Données projet'!B17="",'Données projet'!C17="",'Données projet'!C17=0%),0,SUM(Calculateur!$GH$3:$GH$33)*VLOOKUP('Données projet'!$B$17,Paramètres!$A$1:$I$89,9,0)*B14)</f>
        <v>14.234775641025642</v>
      </c>
      <c r="K14" s="151">
        <f>J14*(100%-'Données projet'!$C$24)*(100%-'Données projet'!$C$25)*(100%-'Données projet'!$C$26)*(100%-'Données projet'!$C$27)</f>
        <v>12.811298076923078</v>
      </c>
      <c r="L14" s="152">
        <f t="shared" ca="1" si="2"/>
        <v>230.99309255499961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>Merisier</v>
      </c>
      <c r="B15" s="157">
        <f>'Données projet'!D18</f>
        <v>0.46750000000000003</v>
      </c>
      <c r="C15" s="158">
        <f ca="1">IF(OR('Données projet'!B18="",'Données projet'!C18="",'Données projet'!C18=0%),0,Calculateur!GZ3)</f>
        <v>288.82868507674738</v>
      </c>
      <c r="D15" s="158">
        <f>IF(OR('Données projet'!B18="",'Données projet'!C18="",'Données projet'!C18=0%),0,Calculateur!HA3)</f>
        <v>283.48738729114024</v>
      </c>
      <c r="E15" s="158">
        <f t="shared" ca="1" si="0"/>
        <v>283.48738729114024</v>
      </c>
      <c r="F15" s="159">
        <f t="shared" ca="1" si="1"/>
        <v>132.53035355860806</v>
      </c>
      <c r="G15" s="159">
        <f ca="1">F15*(100%-'Données projet'!$C$24)*(100%-'Données projet'!$C$25)*(100%-'Données projet'!$C$26)*(100%-'Données projet'!$C$27)</f>
        <v>119.27731820274725</v>
      </c>
      <c r="H15" s="160">
        <f>IF(OR('Données projet'!B18="",'Données projet'!C18="",'Données projet'!C18=0%),0,AVERAGE(Calculateur!$HJ$3:$HJ$33)*B15)</f>
        <v>1.0837586590590669</v>
      </c>
      <c r="I15" s="161">
        <f>H15*(100%-'Données projet'!$C$24)*(100%-'Données projet'!$C$25)*(100%-'Données projet'!$C$26)*(100%-'Données projet'!$C$27)</f>
        <v>0.97538279315316023</v>
      </c>
      <c r="J15" s="162">
        <f>IF(OR('Données projet'!B18="",'Données projet'!C18="",'Données projet'!C18=0%),0,SUM(Calculateur!$HC$3:$HC$33)*VLOOKUP('Données projet'!$B$18,Paramètres!$A$1:$I$89,9,0)*B15)</f>
        <v>6.4281250000000005</v>
      </c>
      <c r="K15" s="163">
        <f>J15*(100%-'Données projet'!$C$24)*(100%-'Données projet'!$C$25)*(100%-'Données projet'!$C$26)*(100%-'Données projet'!$C$27)</f>
        <v>5.7853125000000007</v>
      </c>
      <c r="L15" s="164">
        <f t="shared" ca="1" si="2"/>
        <v>126.03801349590042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2919.1015922976489</v>
      </c>
      <c r="G16" s="166">
        <f t="shared" ca="1" si="3"/>
        <v>2627.1914330678842</v>
      </c>
      <c r="H16" s="167">
        <f t="shared" si="3"/>
        <v>24.472942216540474</v>
      </c>
      <c r="I16" s="167">
        <f t="shared" si="3"/>
        <v>22.025647994886427</v>
      </c>
      <c r="J16" s="168">
        <f t="shared" si="3"/>
        <v>146.30572828525641</v>
      </c>
      <c r="K16" s="168">
        <f t="shared" si="3"/>
        <v>131.67515545673078</v>
      </c>
      <c r="L16" s="169">
        <f t="shared" ca="1" si="3"/>
        <v>2780.8922365195017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305" t="s">
        <v>246</v>
      </c>
      <c r="G17" s="306"/>
      <c r="H17" s="306"/>
      <c r="I17" s="306"/>
      <c r="J17" s="306"/>
      <c r="K17" s="306"/>
      <c r="L17" s="30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95"/>
      <c r="G18" s="295"/>
      <c r="H18" s="295"/>
      <c r="I18" s="295"/>
      <c r="J18" s="295"/>
      <c r="K18" s="295"/>
      <c r="L18" s="29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59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Chêne chevelu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Aulne glutineux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Bouleau verruqueux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>Erable sycomore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>Robinier faux-acacia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>Merisier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80" zoomScaleNormal="80" workbookViewId="0">
      <selection activeCell="T25" sqref="T25:V25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5312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88" t="s">
        <v>272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9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1" t="s">
        <v>315</v>
      </c>
      <c r="I4" s="261"/>
      <c r="K4" s="291" t="s">
        <v>253</v>
      </c>
      <c r="L4" s="29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80" t="s">
        <v>310</v>
      </c>
      <c r="S7" s="281"/>
      <c r="T7" s="281"/>
      <c r="U7" s="281"/>
      <c r="V7" s="28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1543.6128312437288</v>
      </c>
      <c r="U10" s="178">
        <f>'Données projet'!D9</f>
        <v>1.1687500000000002</v>
      </c>
      <c r="V10" s="177">
        <f>U10*T10</f>
        <v>1804.0974965161083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488.66277118837354</v>
      </c>
      <c r="U11" s="178">
        <f>'Données projet'!D10</f>
        <v>1.4025000000000001</v>
      </c>
      <c r="V11" s="177">
        <f t="shared" ref="V11" si="0">U11*T11</f>
        <v>685.34953659169389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712.11653867322593</v>
      </c>
      <c r="U12" s="178">
        <f>'Données projet'!D11</f>
        <v>1.2622500000000001</v>
      </c>
      <c r="V12" s="177">
        <f t="shared" ref="V12:V19" si="1">U12*T12</f>
        <v>898.86910094027951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270.72656648937749</v>
      </c>
      <c r="U13" s="178">
        <f>'Données projet'!D12</f>
        <v>1.9074000000000002</v>
      </c>
      <c r="V13" s="177">
        <f t="shared" si="1"/>
        <v>516.38385292183864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chevelu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721.7233532535397</v>
      </c>
      <c r="U14" s="178">
        <f>'Données projet'!D13</f>
        <v>1.2622500000000001</v>
      </c>
      <c r="V14" s="177">
        <f t="shared" si="1"/>
        <v>910.99530264428051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Aulne glutineux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272.14425396246247</v>
      </c>
      <c r="U15" s="178">
        <f>'Données projet'!D14</f>
        <v>0.23375000000000001</v>
      </c>
      <c r="V15" s="177">
        <f t="shared" si="1"/>
        <v>63.613719363725608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4"/>
      <c r="H16" s="190"/>
      <c r="I16" s="191"/>
      <c r="J16" s="202"/>
      <c r="K16" s="208"/>
      <c r="L16" s="291" t="s">
        <v>254</v>
      </c>
      <c r="M16" s="292"/>
      <c r="N16" s="2"/>
      <c r="O16" s="23"/>
      <c r="P16" s="23"/>
      <c r="Q16" s="234"/>
      <c r="R16" s="23"/>
      <c r="S16" s="36" t="str">
        <f>B200</f>
        <v>Bouleau verruqueux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847.51990621966524</v>
      </c>
      <c r="U16" s="178">
        <f>'Données projet'!D15</f>
        <v>0.93500000000000005</v>
      </c>
      <c r="V16" s="177">
        <f t="shared" si="1"/>
        <v>792.43111231538705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4"/>
      <c r="J17" s="202"/>
      <c r="K17" s="208"/>
      <c r="L17" s="263" t="s">
        <v>289</v>
      </c>
      <c r="M17" s="265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Erable sycomore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856.58433878277822</v>
      </c>
      <c r="U17" s="178">
        <f>'Données projet'!D16</f>
        <v>1.4025000000000001</v>
      </c>
      <c r="V17" s="177">
        <f t="shared" si="1"/>
        <v>1201.3595351428464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4"/>
      <c r="J18" s="202"/>
      <c r="K18" s="208"/>
      <c r="L18" s="263" t="s">
        <v>255</v>
      </c>
      <c r="M18" s="265"/>
      <c r="N18" s="192"/>
      <c r="O18" s="23"/>
      <c r="P18" s="23"/>
      <c r="Q18" s="234"/>
      <c r="R18" s="23"/>
      <c r="S18" s="36" t="str">
        <f>B262</f>
        <v>Robinier faux-acacia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529.35566006384136</v>
      </c>
      <c r="U18" s="178">
        <f>'Données projet'!D17</f>
        <v>1.1687500000000002</v>
      </c>
      <c r="V18" s="177">
        <f t="shared" si="1"/>
        <v>618.68442769961473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4"/>
      <c r="H19" s="212" t="s">
        <v>178</v>
      </c>
      <c r="I19" s="212" t="s">
        <v>287</v>
      </c>
      <c r="J19" s="93"/>
      <c r="K19" s="173"/>
      <c r="L19" s="291" t="s">
        <v>288</v>
      </c>
      <c r="M19" s="292"/>
      <c r="N19" s="179">
        <f>N17*N18</f>
        <v>0</v>
      </c>
      <c r="O19" s="23"/>
      <c r="P19" s="4"/>
      <c r="Q19" s="235"/>
      <c r="R19" s="4"/>
      <c r="S19" s="36" t="str">
        <f>B293</f>
        <v>Merisier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1121.460646832682</v>
      </c>
      <c r="U19" s="178">
        <f>'Données projet'!D18</f>
        <v>0.46750000000000003</v>
      </c>
      <c r="V19" s="177">
        <f t="shared" si="1"/>
        <v>524.28285239427885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4"/>
      <c r="H20" s="190">
        <v>1</v>
      </c>
      <c r="I20" s="191">
        <f>(25345+16200+5160)/'Données projet'!C5+500</f>
        <v>4662.6559714795003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22</v>
      </c>
      <c r="B23" s="181">
        <f>'Données projet'!D36</f>
        <v>52.620000000000005</v>
      </c>
      <c r="C23" s="193">
        <v>10.9375</v>
      </c>
      <c r="D23" s="182">
        <f>B23*C23</f>
        <v>575.53125</v>
      </c>
      <c r="E23" s="193">
        <v>60</v>
      </c>
      <c r="F23" s="230"/>
      <c r="H23" s="190">
        <v>4</v>
      </c>
      <c r="I23" s="191">
        <v>500</v>
      </c>
      <c r="K23" s="208"/>
      <c r="L23" s="293" t="s">
        <v>260</v>
      </c>
      <c r="M23" s="293"/>
      <c r="N23" s="293"/>
      <c r="O23" s="23"/>
      <c r="P23" s="23"/>
      <c r="Q23" s="234"/>
      <c r="R23" s="23"/>
      <c r="S23" s="36" t="s">
        <v>264</v>
      </c>
      <c r="T23" s="28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-61305.482504024272</v>
      </c>
      <c r="U23" s="285"/>
      <c r="V23" s="28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27</v>
      </c>
      <c r="B24" s="181">
        <f>'Données projet'!D37</f>
        <v>37.929999999999993</v>
      </c>
      <c r="C24" s="193">
        <v>10.9375</v>
      </c>
      <c r="D24" s="182">
        <f t="shared" ref="D24:D42" si="2">B24*C24</f>
        <v>414.85937499999994</v>
      </c>
      <c r="E24" s="193">
        <v>60</v>
      </c>
      <c r="F24" s="233"/>
      <c r="H24" s="190">
        <v>5</v>
      </c>
      <c r="I24" s="191">
        <v>500</v>
      </c>
      <c r="J24" s="258">
        <f>SUM(I20:I24)*'Données projet'!C5</f>
        <v>74755</v>
      </c>
      <c r="K24" s="208"/>
      <c r="O24" s="23"/>
      <c r="P24" s="23"/>
      <c r="Q24" s="234"/>
      <c r="R24" s="23"/>
      <c r="S24" s="36" t="s">
        <v>261</v>
      </c>
      <c r="T24" s="286">
        <f ca="1">'Scénario référence'!$B$8*$M$30*'Données projet'!$C$5+('Scénario référence'!B9+'Scénario référence'!B10+'Scénario référence'!F8+'Scénario référence'!F9)*$N$19/(1+M4)^N16*'Données projet'!$C$5</f>
        <v>17414.862175643175</v>
      </c>
      <c r="U24" s="286"/>
      <c r="V24" s="28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33</v>
      </c>
      <c r="B25" s="181">
        <f>'Données projet'!D38</f>
        <v>50.460000000000008</v>
      </c>
      <c r="C25" s="193">
        <v>10.9375</v>
      </c>
      <c r="D25" s="182">
        <f t="shared" si="2"/>
        <v>551.90625000000011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287">
        <f ca="1">T23-T24</f>
        <v>-78720.34467966744</v>
      </c>
      <c r="U25" s="287"/>
      <c r="V25" s="28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41</v>
      </c>
      <c r="B26" s="181">
        <f>'Données projet'!D39</f>
        <v>72.16</v>
      </c>
      <c r="C26" s="193">
        <v>24</v>
      </c>
      <c r="D26" s="182">
        <f t="shared" si="2"/>
        <v>1731.84</v>
      </c>
      <c r="E26" s="193">
        <v>60</v>
      </c>
      <c r="F26" s="233"/>
      <c r="G26" s="229"/>
      <c r="H26" s="190"/>
      <c r="I26" s="191"/>
      <c r="K26" s="208"/>
      <c r="L26" s="274" t="s">
        <v>258</v>
      </c>
      <c r="M26" s="275"/>
      <c r="N26" s="275"/>
      <c r="O26" s="275"/>
      <c r="P26" s="276"/>
      <c r="Q26" s="234"/>
      <c r="R26" s="23"/>
      <c r="S26" s="186" t="s">
        <v>265</v>
      </c>
      <c r="T26" s="284" t="str">
        <f ca="1">IF(T25&lt;0,"Votre projet est additionnel","Votre projet n'est pas additionnel")</f>
        <v>Votre projet est additionnel</v>
      </c>
      <c r="U26" s="284"/>
      <c r="V26" s="28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50</v>
      </c>
      <c r="B27" s="181">
        <f>'Données projet'!D40</f>
        <v>70.20999999999998</v>
      </c>
      <c r="C27" s="193">
        <v>24</v>
      </c>
      <c r="D27" s="182">
        <f t="shared" si="2"/>
        <v>1685.0399999999995</v>
      </c>
      <c r="E27" s="193">
        <v>60</v>
      </c>
      <c r="F27" s="233"/>
      <c r="G27" s="229"/>
      <c r="H27" s="190"/>
      <c r="I27" s="191"/>
      <c r="K27" s="208"/>
      <c r="L27" s="277"/>
      <c r="M27" s="278"/>
      <c r="N27" s="278"/>
      <c r="O27" s="278"/>
      <c r="P27" s="279"/>
      <c r="Q27" s="234"/>
      <c r="R27" s="23"/>
      <c r="S27" s="283" t="s">
        <v>267</v>
      </c>
      <c r="T27" s="283"/>
      <c r="U27" s="283"/>
      <c r="V27" s="28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60</v>
      </c>
      <c r="B28" s="181">
        <f>'Données projet'!D41</f>
        <v>69.839999999999975</v>
      </c>
      <c r="C28" s="193">
        <v>24</v>
      </c>
      <c r="D28" s="182">
        <f t="shared" si="2"/>
        <v>1676.1599999999994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70</v>
      </c>
      <c r="B29" s="181">
        <f>'Données projet'!D42</f>
        <v>67.88</v>
      </c>
      <c r="C29" s="193">
        <v>24</v>
      </c>
      <c r="D29" s="182">
        <f t="shared" si="2"/>
        <v>1629.12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80</v>
      </c>
      <c r="B30" s="181">
        <f>'Données projet'!D43</f>
        <v>520.03</v>
      </c>
      <c r="C30" s="193">
        <v>31.5</v>
      </c>
      <c r="D30" s="182">
        <f t="shared" si="2"/>
        <v>16380.945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1552.1267536223861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38</v>
      </c>
      <c r="B54" s="181">
        <f>'Données projet'!D62</f>
        <v>71.569999999999993</v>
      </c>
      <c r="C54" s="191">
        <v>13.1625</v>
      </c>
      <c r="D54" s="179">
        <f>B54*C54</f>
        <v>942.04012499999988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45</v>
      </c>
      <c r="B55" s="181">
        <f>'Données projet'!D63</f>
        <v>41.69</v>
      </c>
      <c r="C55" s="191">
        <v>13.1625</v>
      </c>
      <c r="D55" s="179">
        <f t="shared" ref="D55:D73" si="4">B55*C55</f>
        <v>548.74462499999993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52</v>
      </c>
      <c r="B56" s="181">
        <f>'Données projet'!D64</f>
        <v>44.400000000000006</v>
      </c>
      <c r="C56" s="191">
        <v>13.1625</v>
      </c>
      <c r="D56" s="179">
        <f t="shared" si="4"/>
        <v>584.41500000000008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59</v>
      </c>
      <c r="B57" s="181">
        <f>'Données projet'!D65</f>
        <v>41.81</v>
      </c>
      <c r="C57" s="191">
        <v>13.1625</v>
      </c>
      <c r="D57" s="179">
        <f t="shared" si="4"/>
        <v>550.32412499999998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67</v>
      </c>
      <c r="B58" s="181">
        <f>'Données projet'!D66</f>
        <v>42.550000000000011</v>
      </c>
      <c r="C58" s="191">
        <v>21.206250000000001</v>
      </c>
      <c r="D58" s="179">
        <f t="shared" si="4"/>
        <v>902.32593750000024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75</v>
      </c>
      <c r="B59" s="181">
        <f>'Données projet'!D67</f>
        <v>43.519999999999982</v>
      </c>
      <c r="C59" s="191">
        <v>21.206250000000001</v>
      </c>
      <c r="D59" s="179">
        <f t="shared" si="4"/>
        <v>922.89599999999962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83</v>
      </c>
      <c r="B60" s="181">
        <f>'Données projet'!D68</f>
        <v>49.980000000000018</v>
      </c>
      <c r="C60" s="191">
        <v>21.206250000000001</v>
      </c>
      <c r="D60" s="179">
        <f t="shared" si="4"/>
        <v>1059.8883750000005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93</v>
      </c>
      <c r="B61" s="181">
        <f>'Données projet'!D69</f>
        <v>67.45999999999998</v>
      </c>
      <c r="C61" s="191">
        <v>21.206250000000001</v>
      </c>
      <c r="D61" s="179">
        <f t="shared" si="4"/>
        <v>1430.5736249999995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103</v>
      </c>
      <c r="B62" s="181">
        <f>'Données projet'!D70</f>
        <v>67.759999999999991</v>
      </c>
      <c r="C62" s="191">
        <v>37.659374999999997</v>
      </c>
      <c r="D62" s="179">
        <f t="shared" si="4"/>
        <v>2551.7992499999996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113</v>
      </c>
      <c r="B63" s="181">
        <f>'Données projet'!D71</f>
        <v>68.670000000000016</v>
      </c>
      <c r="C63" s="191">
        <v>37.659374999999997</v>
      </c>
      <c r="D63" s="179">
        <f t="shared" si="4"/>
        <v>2586.0692812500006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123</v>
      </c>
      <c r="B64" s="181">
        <f>'Données projet'!D72</f>
        <v>203.78999999999996</v>
      </c>
      <c r="C64" s="191">
        <v>37.659374999999997</v>
      </c>
      <c r="D64" s="179">
        <f t="shared" si="4"/>
        <v>7674.6040312499981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125</v>
      </c>
      <c r="B65" s="181">
        <f>'Données projet'!D73</f>
        <v>70.609999999999985</v>
      </c>
      <c r="C65" s="191">
        <v>37.659374999999997</v>
      </c>
      <c r="D65" s="179">
        <f t="shared" si="4"/>
        <v>2659.1284687499992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127</v>
      </c>
      <c r="B66" s="181">
        <f>'Données projet'!D74</f>
        <v>46.039999999999992</v>
      </c>
      <c r="C66" s="191">
        <v>37.659374999999997</v>
      </c>
      <c r="D66" s="179">
        <f t="shared" si="4"/>
        <v>1733.8376249999997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130</v>
      </c>
      <c r="B67" s="181">
        <f>'Données projet'!D75</f>
        <v>112.75</v>
      </c>
      <c r="C67" s="191">
        <v>37.659374999999997</v>
      </c>
      <c r="D67" s="179">
        <f t="shared" si="4"/>
        <v>4246.0945312499998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str">
        <f>IF(O73+1&lt;=MIN('Données projet'!$E$9:$E$18),O73+1,"STOP")</f>
        <v>STOP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42</v>
      </c>
      <c r="B85" s="181">
        <f>'Données projet'!D88</f>
        <v>44.510000000000005</v>
      </c>
      <c r="C85" s="191">
        <v>14.625000000000002</v>
      </c>
      <c r="D85" s="179">
        <f>B85*C85</f>
        <v>650.95875000000012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50</v>
      </c>
      <c r="B86" s="181">
        <f>'Données projet'!D89</f>
        <v>37.54000000000002</v>
      </c>
      <c r="C86" s="191">
        <v>14.625000000000002</v>
      </c>
      <c r="D86" s="179">
        <f t="shared" ref="D86:D104" si="6">B86*C86</f>
        <v>549.02250000000038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58</v>
      </c>
      <c r="B87" s="181">
        <f>'Données projet'!D90</f>
        <v>47.789999999999992</v>
      </c>
      <c r="C87" s="191">
        <v>14.625000000000002</v>
      </c>
      <c r="D87" s="179">
        <f t="shared" si="6"/>
        <v>698.92874999999992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66</v>
      </c>
      <c r="B88" s="181">
        <f>'Données projet'!D91</f>
        <v>53.679999999999978</v>
      </c>
      <c r="C88" s="191">
        <v>47.069099999999999</v>
      </c>
      <c r="D88" s="179">
        <f t="shared" si="6"/>
        <v>2526.6692879999991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74</v>
      </c>
      <c r="B89" s="181">
        <f>'Données projet'!D92</f>
        <v>51.339999999999975</v>
      </c>
      <c r="C89" s="191">
        <v>47.069099999999999</v>
      </c>
      <c r="D89" s="179">
        <f t="shared" si="6"/>
        <v>2416.5275939999988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84</v>
      </c>
      <c r="B90" s="181">
        <f>'Données projet'!D93</f>
        <v>66.69</v>
      </c>
      <c r="C90" s="191">
        <v>47.069099999999999</v>
      </c>
      <c r="D90" s="179">
        <f t="shared" si="6"/>
        <v>3139.0382789999999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94</v>
      </c>
      <c r="B91" s="181">
        <f>'Données projet'!D94</f>
        <v>67.350000000000023</v>
      </c>
      <c r="C91" s="191">
        <v>47.069099999999999</v>
      </c>
      <c r="D91" s="179">
        <f t="shared" si="6"/>
        <v>3170.1038850000009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104</v>
      </c>
      <c r="B92" s="181">
        <f>'Données projet'!D95</f>
        <v>66.089999999999975</v>
      </c>
      <c r="C92" s="191">
        <v>47.069099999999999</v>
      </c>
      <c r="D92" s="179">
        <f t="shared" si="6"/>
        <v>3110.7968189999988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114</v>
      </c>
      <c r="B93" s="181">
        <f>'Données projet'!D96</f>
        <v>61.860000000000014</v>
      </c>
      <c r="C93" s="191">
        <v>47.069099999999999</v>
      </c>
      <c r="D93" s="179">
        <f t="shared" si="6"/>
        <v>2911.6945260000007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124</v>
      </c>
      <c r="B94" s="181">
        <f>'Données projet'!D97</f>
        <v>57.81</v>
      </c>
      <c r="C94" s="191">
        <v>47.069099999999999</v>
      </c>
      <c r="D94" s="179">
        <f t="shared" si="6"/>
        <v>2721.0646710000001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134</v>
      </c>
      <c r="B95" s="181">
        <f>'Données projet'!D98</f>
        <v>60.779999999999973</v>
      </c>
      <c r="C95" s="191">
        <v>135.13499999999999</v>
      </c>
      <c r="D95" s="179">
        <f t="shared" si="6"/>
        <v>8213.5052999999953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144</v>
      </c>
      <c r="B96" s="181">
        <f>'Données projet'!D99</f>
        <v>61.800000000000068</v>
      </c>
      <c r="C96" s="191">
        <v>135.13499999999999</v>
      </c>
      <c r="D96" s="179">
        <f t="shared" si="6"/>
        <v>8351.343000000008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154</v>
      </c>
      <c r="B97" s="181">
        <f>'Données projet'!D100</f>
        <v>61.050000000000011</v>
      </c>
      <c r="C97" s="191">
        <v>135.13499999999999</v>
      </c>
      <c r="D97" s="179">
        <f t="shared" si="6"/>
        <v>8249.991750000001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164</v>
      </c>
      <c r="B98" s="181">
        <f>'Données projet'!D101</f>
        <v>66.020000000000095</v>
      </c>
      <c r="C98" s="191">
        <v>135.13499999999999</v>
      </c>
      <c r="D98" s="179">
        <f t="shared" si="6"/>
        <v>8921.6127000000124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174</v>
      </c>
      <c r="B99" s="181">
        <f>'Données projet'!D102</f>
        <v>240</v>
      </c>
      <c r="C99" s="191">
        <v>190.06649999999999</v>
      </c>
      <c r="D99" s="179">
        <f t="shared" si="6"/>
        <v>45615.96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177</v>
      </c>
      <c r="B100" s="181">
        <f>'Données projet'!D103</f>
        <v>128.66000000000003</v>
      </c>
      <c r="C100" s="191">
        <v>190.06649999999999</v>
      </c>
      <c r="D100" s="179">
        <f t="shared" si="6"/>
        <v>24453.955890000005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180</v>
      </c>
      <c r="B101" s="181">
        <f>'Données projet'!D104</f>
        <v>86.97</v>
      </c>
      <c r="C101" s="191">
        <v>190.06649999999999</v>
      </c>
      <c r="D101" s="179">
        <f t="shared" si="6"/>
        <v>16530.083504999999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183</v>
      </c>
      <c r="B102" s="181">
        <f>'Données projet'!D105</f>
        <v>191.47</v>
      </c>
      <c r="C102" s="191">
        <v>190.06649999999999</v>
      </c>
      <c r="D102" s="179">
        <f t="shared" si="6"/>
        <v>36392.032755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60</v>
      </c>
      <c r="B116" s="181">
        <f>'Données projet'!D114</f>
        <v>72.87</v>
      </c>
      <c r="C116" s="191">
        <v>14.625000000000002</v>
      </c>
      <c r="D116" s="179">
        <f>B116*C116</f>
        <v>1065.7237500000001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69</v>
      </c>
      <c r="B117" s="181">
        <f>'Données projet'!D115</f>
        <v>42.22</v>
      </c>
      <c r="C117" s="191">
        <v>14.625000000000002</v>
      </c>
      <c r="D117" s="179">
        <f t="shared" ref="D117:D135" si="8">B117*C117</f>
        <v>617.46750000000009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77</v>
      </c>
      <c r="B118" s="181">
        <f>'Données projet'!D116</f>
        <v>33.950000000000017</v>
      </c>
      <c r="C118" s="191">
        <v>14.625000000000002</v>
      </c>
      <c r="D118" s="179">
        <f t="shared" si="8"/>
        <v>496.5187500000003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86</v>
      </c>
      <c r="B119" s="181">
        <f>'Données projet'!D117</f>
        <v>37.54000000000002</v>
      </c>
      <c r="C119" s="191">
        <v>47.069099999999999</v>
      </c>
      <c r="D119" s="179">
        <f t="shared" si="8"/>
        <v>1766.9740140000008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95</v>
      </c>
      <c r="B120" s="181">
        <f>'Données projet'!D118</f>
        <v>42.199999999999989</v>
      </c>
      <c r="C120" s="191">
        <v>47.069099999999999</v>
      </c>
      <c r="D120" s="179">
        <f t="shared" si="8"/>
        <v>1986.3160199999995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104</v>
      </c>
      <c r="B121" s="181">
        <f>'Données projet'!D119</f>
        <v>39.400000000000006</v>
      </c>
      <c r="C121" s="191">
        <v>47.069099999999999</v>
      </c>
      <c r="D121" s="179">
        <f t="shared" si="8"/>
        <v>1854.5225400000002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113</v>
      </c>
      <c r="B122" s="181">
        <f>'Données projet'!D120</f>
        <v>41.639999999999986</v>
      </c>
      <c r="C122" s="191">
        <v>47.069099999999999</v>
      </c>
      <c r="D122" s="179">
        <f t="shared" si="8"/>
        <v>1959.9573239999993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122</v>
      </c>
      <c r="B123" s="181">
        <f>'Données projet'!D121</f>
        <v>45.829999999999984</v>
      </c>
      <c r="C123" s="191">
        <v>47.069099999999999</v>
      </c>
      <c r="D123" s="179">
        <f t="shared" si="8"/>
        <v>2157.176852999999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132</v>
      </c>
      <c r="B124" s="181">
        <f>'Données projet'!D122</f>
        <v>48.699999999999989</v>
      </c>
      <c r="C124" s="191">
        <v>47.069099999999999</v>
      </c>
      <c r="D124" s="179">
        <f t="shared" si="8"/>
        <v>2292.2651699999992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144</v>
      </c>
      <c r="B125" s="181">
        <f>'Données projet'!D123</f>
        <v>60.949999999999989</v>
      </c>
      <c r="C125" s="191">
        <v>47.069099999999999</v>
      </c>
      <c r="D125" s="179">
        <f t="shared" si="8"/>
        <v>2868.8616449999995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156</v>
      </c>
      <c r="B126" s="181">
        <f>'Données projet'!D124</f>
        <v>65.69</v>
      </c>
      <c r="C126" s="191">
        <v>135.13499999999999</v>
      </c>
      <c r="D126" s="179">
        <f t="shared" si="8"/>
        <v>8877.0181499999999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168</v>
      </c>
      <c r="B127" s="181">
        <f>'Données projet'!D125</f>
        <v>71.37</v>
      </c>
      <c r="C127" s="191">
        <v>135.13499999999999</v>
      </c>
      <c r="D127" s="179">
        <f t="shared" si="8"/>
        <v>9644.5849500000004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180</v>
      </c>
      <c r="B128" s="181">
        <f>'Données projet'!D126</f>
        <v>175.59000000000003</v>
      </c>
      <c r="C128" s="191">
        <v>135.13499999999999</v>
      </c>
      <c r="D128" s="179">
        <f t="shared" si="8"/>
        <v>23728.354650000001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184</v>
      </c>
      <c r="B129" s="181">
        <f>'Données projet'!D127</f>
        <v>101.19999999999999</v>
      </c>
      <c r="C129" s="191">
        <v>135.13499999999999</v>
      </c>
      <c r="D129" s="179">
        <f t="shared" si="8"/>
        <v>13675.661999999998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188</v>
      </c>
      <c r="B130" s="181">
        <f>'Données projet'!D128</f>
        <v>72.180000000000007</v>
      </c>
      <c r="C130" s="191">
        <v>135.13499999999999</v>
      </c>
      <c r="D130" s="179">
        <f t="shared" si="8"/>
        <v>9754.0442999999996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191</v>
      </c>
      <c r="B131" s="181">
        <f>'Données projet'!D129</f>
        <v>145.01</v>
      </c>
      <c r="C131" s="191">
        <v>190.06649999999999</v>
      </c>
      <c r="D131" s="179">
        <f t="shared" si="8"/>
        <v>27561.543164999995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Chêne chevelu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20</v>
      </c>
      <c r="B147" s="175">
        <f>'Données projet'!D140</f>
        <v>32.051282051282051</v>
      </c>
      <c r="C147" s="191">
        <v>13.1625</v>
      </c>
      <c r="D147" s="182">
        <f>B147*C147</f>
        <v>421.875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25</v>
      </c>
      <c r="B148" s="175">
        <f>'Données projet'!D141</f>
        <v>23.717948717948715</v>
      </c>
      <c r="C148" s="191">
        <v>13.1625</v>
      </c>
      <c r="D148" s="182">
        <f t="shared" ref="D148:D166" si="10">B148*C148</f>
        <v>312.18749999999994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30</v>
      </c>
      <c r="B149" s="175">
        <f>'Données projet'!D142</f>
        <v>23.717948717948715</v>
      </c>
      <c r="C149" s="191">
        <v>13.1625</v>
      </c>
      <c r="D149" s="182">
        <f t="shared" si="10"/>
        <v>312.18749999999994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35</v>
      </c>
      <c r="B150" s="175">
        <f>'Données projet'!D143</f>
        <v>23.076923076923077</v>
      </c>
      <c r="C150" s="191">
        <v>13.1625</v>
      </c>
      <c r="D150" s="182">
        <f t="shared" si="10"/>
        <v>303.75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40</v>
      </c>
      <c r="B151" s="175">
        <f>'Données projet'!D144</f>
        <v>21.153846153846153</v>
      </c>
      <c r="C151" s="191">
        <v>13.1625</v>
      </c>
      <c r="D151" s="182">
        <f t="shared" si="10"/>
        <v>278.4375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45</v>
      </c>
      <c r="B152" s="175">
        <f>'Données projet'!D145</f>
        <v>19.871794871794872</v>
      </c>
      <c r="C152" s="191">
        <v>13.1625</v>
      </c>
      <c r="D152" s="182">
        <f t="shared" si="10"/>
        <v>261.5625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50</v>
      </c>
      <c r="B153" s="175">
        <f>'Données projet'!D146</f>
        <v>17.948717948717949</v>
      </c>
      <c r="C153" s="191">
        <v>32.467500000000001</v>
      </c>
      <c r="D153" s="182">
        <f t="shared" si="10"/>
        <v>582.75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55</v>
      </c>
      <c r="B154" s="175">
        <f>'Données projet'!D147</f>
        <v>16.025641025641026</v>
      </c>
      <c r="C154" s="191">
        <v>32.467500000000001</v>
      </c>
      <c r="D154" s="182">
        <f t="shared" si="10"/>
        <v>520.3125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60</v>
      </c>
      <c r="B155" s="175">
        <f>'Données projet'!D148</f>
        <v>14.102564102564102</v>
      </c>
      <c r="C155" s="191">
        <v>32.467500000000001</v>
      </c>
      <c r="D155" s="182">
        <f t="shared" si="10"/>
        <v>457.875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65</v>
      </c>
      <c r="B156" s="175">
        <f>'Données projet'!D149</f>
        <v>12.820512820512819</v>
      </c>
      <c r="C156" s="191">
        <v>32.467500000000001</v>
      </c>
      <c r="D156" s="182">
        <f t="shared" si="10"/>
        <v>416.25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70</v>
      </c>
      <c r="B157" s="175">
        <f>'Données projet'!D150</f>
        <v>10.897435897435898</v>
      </c>
      <c r="C157" s="191">
        <v>32.467500000000001</v>
      </c>
      <c r="D157" s="182">
        <f t="shared" si="10"/>
        <v>353.8125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75</v>
      </c>
      <c r="B158" s="175">
        <f>'Données projet'!D151</f>
        <v>9.615384615384615</v>
      </c>
      <c r="C158" s="191">
        <v>32.467500000000001</v>
      </c>
      <c r="D158" s="182">
        <f t="shared" si="10"/>
        <v>312.1875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80</v>
      </c>
      <c r="B159" s="175">
        <f>'Données projet'!D152</f>
        <v>8.3333333333333339</v>
      </c>
      <c r="C159" s="191">
        <v>32.467500000000001</v>
      </c>
      <c r="D159" s="182">
        <f t="shared" si="10"/>
        <v>270.56250000000006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85</v>
      </c>
      <c r="B160" s="175">
        <f>'Données projet'!D153</f>
        <v>7.6923076923076916</v>
      </c>
      <c r="C160" s="191">
        <v>32.467500000000001</v>
      </c>
      <c r="D160" s="182">
        <f t="shared" si="10"/>
        <v>249.75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90</v>
      </c>
      <c r="B161" s="175">
        <f>'Données projet'!D154</f>
        <v>151.28205128205127</v>
      </c>
      <c r="C161" s="191">
        <v>42.705000000000005</v>
      </c>
      <c r="D161" s="182">
        <f t="shared" si="10"/>
        <v>6460.5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Aulne glutineux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10</v>
      </c>
      <c r="B178" s="181">
        <f>'Données projet'!D166</f>
        <v>0.64102564102564097</v>
      </c>
      <c r="C178" s="193">
        <v>13.1625</v>
      </c>
      <c r="D178" s="179">
        <f>B178*C178</f>
        <v>8.4374999999999982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15</v>
      </c>
      <c r="B179" s="181">
        <f>'Données projet'!D167</f>
        <v>2.5641025641025639</v>
      </c>
      <c r="C179" s="193">
        <v>13.1625</v>
      </c>
      <c r="D179" s="179">
        <f t="shared" ref="D179:D197" si="11">B179*C179</f>
        <v>33.749999999999993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20</v>
      </c>
      <c r="B180" s="181">
        <f>'Données projet'!D168</f>
        <v>6.4102564102564097</v>
      </c>
      <c r="C180" s="193">
        <v>13.1625</v>
      </c>
      <c r="D180" s="179">
        <f t="shared" si="11"/>
        <v>84.374999999999986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25</v>
      </c>
      <c r="B181" s="181">
        <f>'Données projet'!D169</f>
        <v>13.461538461538462</v>
      </c>
      <c r="C181" s="193">
        <v>13.1625</v>
      </c>
      <c r="D181" s="179">
        <f t="shared" si="11"/>
        <v>177.1875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30</v>
      </c>
      <c r="B182" s="181">
        <f>'Données projet'!D170</f>
        <v>14.743589743589743</v>
      </c>
      <c r="C182" s="193">
        <v>13.1625</v>
      </c>
      <c r="D182" s="179">
        <f t="shared" si="11"/>
        <v>194.06249999999997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35</v>
      </c>
      <c r="B183" s="181">
        <f>'Données projet'!D171</f>
        <v>16.025641025641026</v>
      </c>
      <c r="C183" s="193">
        <v>13.1625</v>
      </c>
      <c r="D183" s="179">
        <f t="shared" si="11"/>
        <v>210.9375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40</v>
      </c>
      <c r="B184" s="181">
        <f>'Données projet'!D172</f>
        <v>16.025641025641026</v>
      </c>
      <c r="C184" s="193">
        <v>13.1625</v>
      </c>
      <c r="D184" s="179">
        <f t="shared" si="11"/>
        <v>210.9375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45</v>
      </c>
      <c r="B185" s="181">
        <f>'Données projet'!D173</f>
        <v>16.025641025641026</v>
      </c>
      <c r="C185" s="193">
        <v>13.1625</v>
      </c>
      <c r="D185" s="179">
        <f t="shared" si="11"/>
        <v>210.9375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50</v>
      </c>
      <c r="B186" s="181">
        <f>'Données projet'!D174</f>
        <v>15.384615384615383</v>
      </c>
      <c r="C186" s="193">
        <v>13.1625</v>
      </c>
      <c r="D186" s="179">
        <f t="shared" si="11"/>
        <v>202.49999999999997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55</v>
      </c>
      <c r="B187" s="181">
        <f>'Données projet'!D175</f>
        <v>14.743589743589743</v>
      </c>
      <c r="C187" s="193">
        <v>21.206250000000001</v>
      </c>
      <c r="D187" s="179">
        <f t="shared" si="11"/>
        <v>312.65625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60</v>
      </c>
      <c r="B188" s="181">
        <f>'Données projet'!D176</f>
        <v>14.102564102564102</v>
      </c>
      <c r="C188" s="193">
        <v>21.206250000000001</v>
      </c>
      <c r="D188" s="179">
        <f t="shared" si="11"/>
        <v>299.0625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65</v>
      </c>
      <c r="B189" s="181">
        <f>'Données projet'!D177</f>
        <v>12.820512820512819</v>
      </c>
      <c r="C189" s="193">
        <v>21.206250000000001</v>
      </c>
      <c r="D189" s="179">
        <f t="shared" si="11"/>
        <v>271.875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70</v>
      </c>
      <c r="B190" s="181">
        <f>'Données projet'!D178</f>
        <v>12.179487179487179</v>
      </c>
      <c r="C190" s="193">
        <v>21.206250000000001</v>
      </c>
      <c r="D190" s="179">
        <f t="shared" si="11"/>
        <v>258.28125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75</v>
      </c>
      <c r="B191" s="181">
        <f>'Données projet'!D179</f>
        <v>11.538461538461538</v>
      </c>
      <c r="C191" s="193">
        <v>21.206250000000001</v>
      </c>
      <c r="D191" s="179">
        <f t="shared" si="11"/>
        <v>244.6875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80</v>
      </c>
      <c r="B192" s="181">
        <f>'Données projet'!D180</f>
        <v>10.256410256410255</v>
      </c>
      <c r="C192" s="193">
        <v>21.206250000000001</v>
      </c>
      <c r="D192" s="179">
        <f t="shared" si="11"/>
        <v>217.5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85</v>
      </c>
      <c r="B193" s="181">
        <f>'Données projet'!D181</f>
        <v>9.615384615384615</v>
      </c>
      <c r="C193" s="193">
        <v>21.206250000000001</v>
      </c>
      <c r="D193" s="179">
        <f t="shared" si="11"/>
        <v>203.90625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90</v>
      </c>
      <c r="B194" s="181">
        <f>'Données projet'!D182</f>
        <v>160.25641025641025</v>
      </c>
      <c r="C194" s="193">
        <v>21.206250000000001</v>
      </c>
      <c r="D194" s="179">
        <f t="shared" si="11"/>
        <v>3398.4375</v>
      </c>
      <c r="E194" s="193">
        <v>60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Bouleau verruqueux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12</v>
      </c>
      <c r="B209" s="181">
        <f>'Données projet'!D192</f>
        <v>14.743589743589743</v>
      </c>
      <c r="C209" s="193">
        <v>13.1625</v>
      </c>
      <c r="D209" s="179">
        <f>B209*C209</f>
        <v>194.06249999999997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20</v>
      </c>
      <c r="B210" s="181">
        <f>'Données projet'!D193</f>
        <v>24.358974358974358</v>
      </c>
      <c r="C210" s="193">
        <v>13.1625</v>
      </c>
      <c r="D210" s="179">
        <f t="shared" ref="D210:D228" si="12">B210*C210</f>
        <v>320.625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30</v>
      </c>
      <c r="B211" s="181">
        <f>'Données projet'!D194</f>
        <v>38.46153846153846</v>
      </c>
      <c r="C211" s="193">
        <v>13.1625</v>
      </c>
      <c r="D211" s="179">
        <f t="shared" si="12"/>
        <v>506.24999999999994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40</v>
      </c>
      <c r="B212" s="181">
        <f>'Données projet'!D195</f>
        <v>151.28205128205127</v>
      </c>
      <c r="C212" s="193">
        <v>21.206250000000001</v>
      </c>
      <c r="D212" s="179">
        <f t="shared" si="12"/>
        <v>3208.125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>Erable sycomore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15</v>
      </c>
      <c r="B240" s="181">
        <f>'Données projet'!D218</f>
        <v>15</v>
      </c>
      <c r="C240" s="193">
        <v>13.1625</v>
      </c>
      <c r="D240" s="179">
        <f>B240*C240</f>
        <v>197.4375</v>
      </c>
      <c r="E240" s="193">
        <v>60</v>
      </c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20</v>
      </c>
      <c r="B241" s="181">
        <f>'Données projet'!D219</f>
        <v>28</v>
      </c>
      <c r="C241" s="193">
        <v>13.1625</v>
      </c>
      <c r="D241" s="179">
        <f t="shared" ref="D241:D259" si="13">B241*C241</f>
        <v>368.55</v>
      </c>
      <c r="E241" s="193">
        <v>60</v>
      </c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25</v>
      </c>
      <c r="B242" s="181">
        <f>'Données projet'!D220</f>
        <v>28</v>
      </c>
      <c r="C242" s="193">
        <v>13.1625</v>
      </c>
      <c r="D242" s="179">
        <f t="shared" si="13"/>
        <v>368.55</v>
      </c>
      <c r="E242" s="193">
        <v>60</v>
      </c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30</v>
      </c>
      <c r="B243" s="181">
        <f>'Données projet'!D221</f>
        <v>28</v>
      </c>
      <c r="C243" s="193">
        <v>13.1625</v>
      </c>
      <c r="D243" s="179">
        <f t="shared" si="13"/>
        <v>368.55</v>
      </c>
      <c r="E243" s="193">
        <v>60</v>
      </c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35</v>
      </c>
      <c r="B244" s="181">
        <f>'Données projet'!D222</f>
        <v>28</v>
      </c>
      <c r="C244" s="193">
        <v>13.1625</v>
      </c>
      <c r="D244" s="179">
        <f t="shared" si="13"/>
        <v>368.55</v>
      </c>
      <c r="E244" s="193">
        <v>60</v>
      </c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40</v>
      </c>
      <c r="B245" s="181">
        <f>'Données projet'!D223</f>
        <v>28</v>
      </c>
      <c r="C245" s="193">
        <v>21.206250000000001</v>
      </c>
      <c r="D245" s="179">
        <f t="shared" si="13"/>
        <v>593.77499999999998</v>
      </c>
      <c r="E245" s="193">
        <v>60</v>
      </c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45</v>
      </c>
      <c r="B246" s="181">
        <f>'Données projet'!D224</f>
        <v>22</v>
      </c>
      <c r="C246" s="193">
        <v>21.206250000000001</v>
      </c>
      <c r="D246" s="179">
        <f t="shared" si="13"/>
        <v>466.53750000000002</v>
      </c>
      <c r="E246" s="193">
        <v>60</v>
      </c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50</v>
      </c>
      <c r="B247" s="181">
        <f>'Données projet'!D225</f>
        <v>17</v>
      </c>
      <c r="C247" s="193">
        <v>21.206250000000001</v>
      </c>
      <c r="D247" s="179">
        <f t="shared" si="13"/>
        <v>360.50625000000002</v>
      </c>
      <c r="E247" s="193">
        <v>60</v>
      </c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55</v>
      </c>
      <c r="B248" s="181">
        <f>'Données projet'!D226</f>
        <v>13</v>
      </c>
      <c r="C248" s="193">
        <v>21.206250000000001</v>
      </c>
      <c r="D248" s="179">
        <f t="shared" si="13"/>
        <v>275.68125000000003</v>
      </c>
      <c r="E248" s="193">
        <v>60</v>
      </c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60</v>
      </c>
      <c r="B249" s="181">
        <f>'Données projet'!D227</f>
        <v>12</v>
      </c>
      <c r="C249" s="193">
        <v>21.206250000000001</v>
      </c>
      <c r="D249" s="179">
        <f t="shared" si="13"/>
        <v>254.47500000000002</v>
      </c>
      <c r="E249" s="193">
        <v>60</v>
      </c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65</v>
      </c>
      <c r="B250" s="181">
        <f>'Données projet'!D228</f>
        <v>11</v>
      </c>
      <c r="C250" s="193">
        <v>21.206250000000001</v>
      </c>
      <c r="D250" s="179">
        <f t="shared" si="13"/>
        <v>233.26875000000001</v>
      </c>
      <c r="E250" s="193">
        <v>60</v>
      </c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70</v>
      </c>
      <c r="B251" s="181">
        <f>'Données projet'!D229</f>
        <v>10</v>
      </c>
      <c r="C251" s="193">
        <v>21.206250000000001</v>
      </c>
      <c r="D251" s="179">
        <f t="shared" si="13"/>
        <v>212.0625</v>
      </c>
      <c r="E251" s="193">
        <v>60</v>
      </c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75</v>
      </c>
      <c r="B252" s="181">
        <f>'Données projet'!D230</f>
        <v>9</v>
      </c>
      <c r="C252" s="193">
        <v>21.206250000000001</v>
      </c>
      <c r="D252" s="179">
        <f t="shared" si="13"/>
        <v>190.85625000000002</v>
      </c>
      <c r="E252" s="193">
        <v>60</v>
      </c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80</v>
      </c>
      <c r="B253" s="181">
        <f>'Données projet'!D231</f>
        <v>275</v>
      </c>
      <c r="C253" s="193">
        <v>21.206250000000001</v>
      </c>
      <c r="D253" s="179">
        <f t="shared" si="13"/>
        <v>5831.71875</v>
      </c>
      <c r="E253" s="193">
        <v>60</v>
      </c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>Robinier faux-acacia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5</v>
      </c>
      <c r="B271" s="181">
        <f>'Données projet'!D244</f>
        <v>2.5641025641025639</v>
      </c>
      <c r="C271" s="193">
        <v>13.162500000000001</v>
      </c>
      <c r="D271" s="179">
        <f>B271*C271</f>
        <v>33.75</v>
      </c>
      <c r="E271" s="193">
        <v>60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10</v>
      </c>
      <c r="B272" s="181">
        <f>'Données projet'!D245</f>
        <v>13.461538461538462</v>
      </c>
      <c r="C272" s="193">
        <v>13.162500000000001</v>
      </c>
      <c r="D272" s="179">
        <f t="shared" ref="D272:D290" si="14">B272*C272</f>
        <v>177.18750000000003</v>
      </c>
      <c r="E272" s="193">
        <v>60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15</v>
      </c>
      <c r="B273" s="181">
        <f>'Données projet'!D246</f>
        <v>10.897435897435898</v>
      </c>
      <c r="C273" s="193">
        <v>13.162500000000001</v>
      </c>
      <c r="D273" s="179">
        <f t="shared" si="14"/>
        <v>143.43750000000003</v>
      </c>
      <c r="E273" s="193">
        <v>60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20</v>
      </c>
      <c r="B274" s="181">
        <f>'Données projet'!D247</f>
        <v>8.9743589743589745</v>
      </c>
      <c r="C274" s="193">
        <v>13.162500000000001</v>
      </c>
      <c r="D274" s="179">
        <f t="shared" si="14"/>
        <v>118.12500000000001</v>
      </c>
      <c r="E274" s="193">
        <v>60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25</v>
      </c>
      <c r="B275" s="181">
        <f>'Données projet'!D248</f>
        <v>7.0512820512820511</v>
      </c>
      <c r="C275" s="193">
        <v>13.162500000000001</v>
      </c>
      <c r="D275" s="179">
        <f t="shared" si="14"/>
        <v>92.812500000000014</v>
      </c>
      <c r="E275" s="193">
        <v>60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30</v>
      </c>
      <c r="B276" s="181">
        <f>'Données projet'!D249</f>
        <v>5.7692307692307692</v>
      </c>
      <c r="C276" s="193">
        <v>13.162500000000001</v>
      </c>
      <c r="D276" s="179">
        <f t="shared" si="14"/>
        <v>75.937500000000014</v>
      </c>
      <c r="E276" s="193">
        <v>60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35</v>
      </c>
      <c r="B277" s="181">
        <f>'Données projet'!D250</f>
        <v>4.4871794871794872</v>
      </c>
      <c r="C277" s="193">
        <v>13.162500000000001</v>
      </c>
      <c r="D277" s="179">
        <f t="shared" si="14"/>
        <v>59.062500000000007</v>
      </c>
      <c r="E277" s="193">
        <v>60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40</v>
      </c>
      <c r="B278" s="181">
        <f>'Données projet'!D251</f>
        <v>3.8461538461538458</v>
      </c>
      <c r="C278" s="193">
        <v>13.162500000000001</v>
      </c>
      <c r="D278" s="179">
        <f t="shared" si="14"/>
        <v>50.625</v>
      </c>
      <c r="E278" s="193">
        <v>60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45</v>
      </c>
      <c r="B279" s="181">
        <f>'Données projet'!D252</f>
        <v>161.53846153846152</v>
      </c>
      <c r="C279" s="193">
        <v>18.067500000000003</v>
      </c>
      <c r="D279" s="179">
        <f t="shared" si="14"/>
        <v>2918.5961538461538</v>
      </c>
      <c r="E279" s="193">
        <v>60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>Merisier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15</v>
      </c>
      <c r="B302" s="181">
        <f>'Données projet'!D270</f>
        <v>3</v>
      </c>
      <c r="C302" s="191">
        <v>13.1625</v>
      </c>
      <c r="D302" s="182">
        <f>B302*C302</f>
        <v>39.487499999999997</v>
      </c>
      <c r="E302" s="193">
        <v>60</v>
      </c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20</v>
      </c>
      <c r="B303" s="181">
        <f>'Données projet'!D271</f>
        <v>25</v>
      </c>
      <c r="C303" s="191">
        <v>13.1625</v>
      </c>
      <c r="D303" s="182">
        <f t="shared" ref="D303:D321" si="15">B303*C303</f>
        <v>329.0625</v>
      </c>
      <c r="E303" s="193">
        <v>60</v>
      </c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25</v>
      </c>
      <c r="B304" s="181">
        <f>'Données projet'!D272</f>
        <v>27</v>
      </c>
      <c r="C304" s="191">
        <v>13.1625</v>
      </c>
      <c r="D304" s="182">
        <f t="shared" si="15"/>
        <v>355.38749999999999</v>
      </c>
      <c r="E304" s="193">
        <v>60</v>
      </c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31</v>
      </c>
      <c r="B305" s="181">
        <f>'Données projet'!D273</f>
        <v>36</v>
      </c>
      <c r="C305" s="191">
        <v>21.206250000000001</v>
      </c>
      <c r="D305" s="182">
        <f t="shared" si="15"/>
        <v>763.42500000000007</v>
      </c>
      <c r="E305" s="193">
        <v>60</v>
      </c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37</v>
      </c>
      <c r="B306" s="181">
        <f>'Données projet'!D274</f>
        <v>36</v>
      </c>
      <c r="C306" s="191">
        <v>21.206250000000001</v>
      </c>
      <c r="D306" s="182">
        <f t="shared" si="15"/>
        <v>763.42500000000007</v>
      </c>
      <c r="E306" s="193">
        <v>60</v>
      </c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44</v>
      </c>
      <c r="B307" s="181">
        <f>'Données projet'!D275</f>
        <v>43</v>
      </c>
      <c r="C307" s="191">
        <v>21.206250000000001</v>
      </c>
      <c r="D307" s="182">
        <f t="shared" si="15"/>
        <v>911.86874999999998</v>
      </c>
      <c r="E307" s="193">
        <v>60</v>
      </c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52</v>
      </c>
      <c r="B308" s="181">
        <f>'Données projet'!D276</f>
        <v>48</v>
      </c>
      <c r="C308" s="191">
        <v>21.206250000000001</v>
      </c>
      <c r="D308" s="182">
        <f t="shared" si="15"/>
        <v>1017.9000000000001</v>
      </c>
      <c r="E308" s="193">
        <v>60</v>
      </c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60</v>
      </c>
      <c r="B309" s="181">
        <f>'Données projet'!D277</f>
        <v>47</v>
      </c>
      <c r="C309" s="191">
        <v>24.862500000000001</v>
      </c>
      <c r="D309" s="182">
        <f t="shared" si="15"/>
        <v>1168.5375000000001</v>
      </c>
      <c r="E309" s="193">
        <v>60</v>
      </c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69</v>
      </c>
      <c r="B310" s="181">
        <f>'Données projet'!D278</f>
        <v>328</v>
      </c>
      <c r="C310" s="191">
        <v>26.690625000000001</v>
      </c>
      <c r="D310" s="182">
        <f t="shared" si="15"/>
        <v>8754.5249999999996</v>
      </c>
      <c r="E310" s="193">
        <v>60</v>
      </c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531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3125" style="4" bestFit="1" customWidth="1"/>
    <col min="25" max="25" width="14.53125" style="4" bestFit="1" customWidth="1"/>
    <col min="26" max="26" width="12.46484375" style="4" bestFit="1" customWidth="1"/>
    <col min="27" max="27" width="9.531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3125" style="4" bestFit="1" customWidth="1"/>
    <col min="46" max="46" width="8.46484375" style="4" bestFit="1" customWidth="1"/>
    <col min="47" max="47" width="9.46484375" style="4" bestFit="1" customWidth="1"/>
    <col min="48" max="48" width="9.531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3125" style="4" bestFit="1" customWidth="1"/>
    <col min="67" max="67" width="8.46484375" style="4" bestFit="1" customWidth="1"/>
    <col min="68" max="68" width="9.46484375" style="4" bestFit="1" customWidth="1"/>
    <col min="69" max="69" width="9.531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3125" style="4" bestFit="1" customWidth="1"/>
    <col min="88" max="88" width="8.46484375" style="4" bestFit="1" customWidth="1"/>
    <col min="89" max="89" width="9.46484375" style="4" bestFit="1" customWidth="1"/>
    <col min="90" max="90" width="9.531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3125" style="4" bestFit="1" customWidth="1"/>
    <col min="109" max="109" width="8.46484375" style="4" bestFit="1" customWidth="1"/>
    <col min="110" max="110" width="9.46484375" style="4" bestFit="1" customWidth="1"/>
    <col min="111" max="111" width="9.531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3125" style="4" bestFit="1" customWidth="1"/>
    <col min="130" max="130" width="8.46484375" style="4" bestFit="1" customWidth="1"/>
    <col min="131" max="131" width="9.46484375" style="4" bestFit="1" customWidth="1"/>
    <col min="132" max="132" width="9.531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3125" style="4" bestFit="1" customWidth="1"/>
    <col min="151" max="151" width="8.46484375" style="4" bestFit="1" customWidth="1"/>
    <col min="152" max="152" width="9.46484375" style="4" bestFit="1" customWidth="1"/>
    <col min="153" max="153" width="9.531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3125" style="4" bestFit="1" customWidth="1"/>
    <col min="172" max="172" width="8.1328125" style="4" bestFit="1" customWidth="1"/>
    <col min="173" max="173" width="9.46484375" style="4" bestFit="1" customWidth="1"/>
    <col min="174" max="174" width="9.531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31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3125" style="4" bestFit="1" customWidth="1"/>
    <col min="214" max="214" width="8.46484375" style="4" bestFit="1" customWidth="1"/>
    <col min="215" max="215" width="9.46484375" style="4" bestFit="1" customWidth="1"/>
    <col min="216" max="216" width="9.531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99" t="s">
        <v>176</v>
      </c>
      <c r="C1" s="300"/>
      <c r="D1" s="300"/>
      <c r="E1" s="300"/>
      <c r="F1" s="300"/>
      <c r="G1" s="300"/>
      <c r="H1" s="301"/>
      <c r="I1" s="296" t="str">
        <f>IF('Données projet'!$B$9="","",'Données projet'!$B$9)</f>
        <v>Pin laricio</v>
      </c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8"/>
      <c r="AD1" s="297" t="str">
        <f>IF('Données projet'!$B$10="","",'Données projet'!$B$10)</f>
        <v>Charme</v>
      </c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8"/>
      <c r="AY1" s="296" t="str">
        <f>IF('Données projet'!$B$11="","",'Données projet'!$B$11)</f>
        <v>Chêne sessile</v>
      </c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8"/>
      <c r="BT1" s="296" t="str">
        <f>IF('Données projet'!$B$12="","",'Données projet'!$B$12)</f>
        <v>Chêne vert</v>
      </c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8"/>
      <c r="CO1" s="296" t="str">
        <f>IF('Données projet'!$B$13="","",'Données projet'!$B$13)</f>
        <v>Chêne chevelu</v>
      </c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8"/>
      <c r="DJ1" s="296" t="str">
        <f>IF('Données projet'!$B$14="","",'Données projet'!$B$14)</f>
        <v>Aulne glutineux</v>
      </c>
      <c r="DK1" s="297"/>
      <c r="DL1" s="297"/>
      <c r="DM1" s="297"/>
      <c r="DN1" s="297"/>
      <c r="DO1" s="297"/>
      <c r="DP1" s="297"/>
      <c r="DQ1" s="297"/>
      <c r="DR1" s="297"/>
      <c r="DS1" s="297"/>
      <c r="DT1" s="297"/>
      <c r="DU1" s="297"/>
      <c r="DV1" s="297"/>
      <c r="DW1" s="297"/>
      <c r="DX1" s="297"/>
      <c r="DY1" s="297"/>
      <c r="DZ1" s="297"/>
      <c r="EA1" s="297"/>
      <c r="EB1" s="297"/>
      <c r="EC1" s="297"/>
      <c r="ED1" s="298"/>
      <c r="EE1" s="296" t="str">
        <f>IF('Données projet'!$B$15="","",'Données projet'!$B$15)</f>
        <v>Bouleau verruqueux</v>
      </c>
      <c r="EF1" s="297"/>
      <c r="EG1" s="297"/>
      <c r="EH1" s="297"/>
      <c r="EI1" s="297"/>
      <c r="EJ1" s="297"/>
      <c r="EK1" s="297"/>
      <c r="EL1" s="297"/>
      <c r="EM1" s="297"/>
      <c r="EN1" s="297"/>
      <c r="EO1" s="297"/>
      <c r="EP1" s="297"/>
      <c r="EQ1" s="297"/>
      <c r="ER1" s="297"/>
      <c r="ES1" s="297"/>
      <c r="ET1" s="297"/>
      <c r="EU1" s="297"/>
      <c r="EV1" s="297"/>
      <c r="EW1" s="297"/>
      <c r="EX1" s="297"/>
      <c r="EY1" s="298"/>
      <c r="EZ1" s="296" t="str">
        <f>IF('Données projet'!$B$16="","",'Données projet'!$B$16)</f>
        <v>Erable sycomore</v>
      </c>
      <c r="FA1" s="297"/>
      <c r="FB1" s="297"/>
      <c r="FC1" s="297"/>
      <c r="FD1" s="297"/>
      <c r="FE1" s="297"/>
      <c r="FF1" s="297"/>
      <c r="FG1" s="297"/>
      <c r="FH1" s="297"/>
      <c r="FI1" s="297"/>
      <c r="FJ1" s="297"/>
      <c r="FK1" s="297"/>
      <c r="FL1" s="297"/>
      <c r="FM1" s="297"/>
      <c r="FN1" s="297"/>
      <c r="FO1" s="297"/>
      <c r="FP1" s="297"/>
      <c r="FQ1" s="297"/>
      <c r="FR1" s="297"/>
      <c r="FS1" s="297"/>
      <c r="FT1" s="298"/>
      <c r="FU1" s="296" t="str">
        <f>IF('Données projet'!$B$17="","",'Données projet'!$B$17)</f>
        <v>Robinier faux-acacia</v>
      </c>
      <c r="FV1" s="297"/>
      <c r="FW1" s="297"/>
      <c r="FX1" s="297"/>
      <c r="FY1" s="297"/>
      <c r="FZ1" s="297"/>
      <c r="GA1" s="297"/>
      <c r="GB1" s="297"/>
      <c r="GC1" s="297"/>
      <c r="GD1" s="297"/>
      <c r="GE1" s="297"/>
      <c r="GF1" s="297"/>
      <c r="GG1" s="297"/>
      <c r="GH1" s="297"/>
      <c r="GI1" s="297"/>
      <c r="GJ1" s="297"/>
      <c r="GK1" s="297"/>
      <c r="GL1" s="297"/>
      <c r="GM1" s="297"/>
      <c r="GN1" s="297"/>
      <c r="GO1" s="298"/>
      <c r="GP1" s="296" t="str">
        <f>IF('Données projet'!$B$18="","",'Données projet'!$B$18)</f>
        <v>Merisier</v>
      </c>
      <c r="GQ1" s="297"/>
      <c r="GR1" s="297"/>
      <c r="GS1" s="297"/>
      <c r="GT1" s="297"/>
      <c r="GU1" s="297"/>
      <c r="GV1" s="297"/>
      <c r="GW1" s="297"/>
      <c r="GX1" s="297"/>
      <c r="GY1" s="297"/>
      <c r="GZ1" s="297"/>
      <c r="HA1" s="297"/>
      <c r="HB1" s="297"/>
      <c r="HC1" s="297"/>
      <c r="HD1" s="297"/>
      <c r="HE1" s="297"/>
      <c r="HF1" s="297"/>
      <c r="HG1" s="297"/>
      <c r="HH1" s="297"/>
      <c r="HI1" s="297"/>
      <c r="HJ1" s="29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349.71285006949597</v>
      </c>
      <c r="T3" s="59">
        <f>IF('Données projet'!E9&gt;30,$R$33-$H$33,LOOKUP('Données projet'!$E$9,$A$3:$A$203,R3:R203)-LOOKUP('Données projet'!$E$9,$A$3:$A$203,$H$3:$H$203))</f>
        <v>258.51550516456842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449.28947235329758</v>
      </c>
      <c r="AO3" s="59">
        <f>IF('Données projet'!E10&gt;30,$AM$33-$H$33,LOOKUP('Données projet'!$E$10,$A$3:$A$203,AM3:AM203)-LOOKUP('Données projet'!$E$10,$A$3:$A$203,$H$3:$H$203))</f>
        <v>289.36994109443964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635.71275911100679</v>
      </c>
      <c r="BJ3" s="59">
        <f>IF('Données projet'!E11&gt;30,$BH$33-$H$33,LOOKUP('Données projet'!$E$11,$A$3:$A$203,BH3:BH203)-LOOKUP('Données projet'!$E$11,$A$3:$A$203,$H$3:$H$203))</f>
        <v>281.7776857269169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593.28343396240075</v>
      </c>
      <c r="CE3" s="59">
        <f>IF('Données projet'!E12&gt;30,$CC$33-$H$33,LOOKUP('Données projet'!$E$12,$A$3:$A$203,CC3:CC203)-LOOKUP('Données projet'!$E$12,$A$3:$A$203,$H$3:$H$203))</f>
        <v>289.66477662068695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260.65406541614402</v>
      </c>
      <c r="CZ3" s="59">
        <f>IF('Données projet'!E13&gt;30,$CX$33-$H$33,LOOKUP('Données projet'!$E$13,$A$3:$A$203,CX3:CX203)-LOOKUP('Données projet'!$E$13,$A$3:$A$203,$H$3:$H$203))</f>
        <v>277.63456890196886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181.4272795535777</v>
      </c>
      <c r="DU3" s="59">
        <f>IF('Données projet'!E14&gt;30,$DS$33-$H$33,LOOKUP('Données projet'!$E$14,$A$3:$A$203,DS3:DS203)-LOOKUP('Données projet'!$E$14,$A$3:$A$203,$H$3:$H$203))</f>
        <v>187.67131775419904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159.68591355116837</v>
      </c>
      <c r="EP3" s="59">
        <f>IF('Données projet'!E15&gt;30,$EN$33-$H$33,LOOKUP('Données projet'!$E$15,$A$3:$A$203,EN3:EN203)-LOOKUP('Données projet'!$E$15,$A$3:$A$203,$H$3:$H$203))</f>
        <v>284.32631786390112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299.10536994156814</v>
      </c>
      <c r="FK3" s="59">
        <f>IF('Données projet'!E16&gt;30,$FI$33-$H$33,LOOKUP('Données projet'!$E$16,$A$3:$A$203,FI3:FI203)-LOOKUP('Données projet'!$E$16,$A$3:$A$203,$H$3:$H$203))</f>
        <v>292.57799203101769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204.78565758021779</v>
      </c>
      <c r="GF3" s="59">
        <f>IF('Données projet'!E17&gt;30,$GD$33-$H$33,LOOKUP('Données projet'!$E$17,$A$3:$A$203,GD3:GD203)-LOOKUP('Données projet'!$E$17,$A$3:$A$203,$H$3:$H$203))</f>
        <v>287.25131613242439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288.82868507674738</v>
      </c>
      <c r="HA3" s="59">
        <f>IF('Données projet'!E18&gt;30,$GY$33-$H$33,LOOKUP('Données projet'!$E$18,$A$3:$A$203,GY3:GY203)-LOOKUP('Données projet'!$E$18,$A$3:$A$203,$H$3:$H$203))</f>
        <v>283.48738729114024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5.8890909090909096</v>
      </c>
      <c r="N4" s="13">
        <f>IF('Données projet'!$A$36&gt;35,N3+M4-V3,IF(A4&lt;'Données projet'!$A$36,$K$205^A4,IF(A4='Données projet'!$A$36,'Données projet'!$B$36,N3+M4-V3)))</f>
        <v>1.2474449991725556</v>
      </c>
      <c r="O4" s="13">
        <f>N4*VLOOKUP('Données projet'!$B$9,Paramètres!$A$1:$I$89,3,0)*VLOOKUP('Données projet'!$B$9,Paramètres!$A$1:$I$89,5,0)</f>
        <v>0.74597210950518822</v>
      </c>
      <c r="P4" s="13">
        <f>EXP(-1.0587+0.8836*LN(O4)+0.284)</f>
        <v>0.35570481632934337</v>
      </c>
      <c r="Q4" s="20">
        <f t="shared" ref="Q4:Q34" si="2">(O4+P4)*0.475*44/12</f>
        <v>1.9187539791618089</v>
      </c>
      <c r="R4" s="59">
        <f t="shared" si="0"/>
        <v>259.80764286805066</v>
      </c>
      <c r="S4" s="59">
        <f ca="1">AVERAGE(OFFSET($R$3,0,0,'Données projet'!$E$9+1,1))-AVERAGE(OFFSET($H$3,0,0,'Données projet'!$E$9+1,1))</f>
        <v>349.71285006949597</v>
      </c>
      <c r="T4" s="59">
        <f>$T$3</f>
        <v>258.51550516456842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4.016578947368421</v>
      </c>
      <c r="AI4" s="13">
        <f>IF('Données projet'!$A$62&gt;35,AI3+AH4-AQ3,IF(A4&lt;'Données projet'!$A$62,$AF$205^A4,IF(A4='Données projet'!$A$62,'Données projet'!$B$62,AI3+AH4-AQ3)))</f>
        <v>4.016578947368421</v>
      </c>
      <c r="AJ4" s="13">
        <f>AI4*VLOOKUP('Données projet'!$B$10,Paramètres!$A$1:$I$89,3,0)*VLOOKUP('Données projet'!$B$10,Paramètres!$A$1:$I$89,5,0)</f>
        <v>3.8221765263157894</v>
      </c>
      <c r="AK4" s="13">
        <f>EXP(-1.0587+0.8836*LN(AJ4)+0.284)</f>
        <v>1.5068909880440347</v>
      </c>
      <c r="AL4" s="20">
        <f t="shared" ref="AL4:AL67" si="4">(AJ4+AK4)*0.475*44/12</f>
        <v>9.2814592541766938</v>
      </c>
      <c r="AM4" s="59">
        <f t="shared" ref="AM4:AM67" si="5">AL4+(AD4+AE4)*44/12</f>
        <v>267.17034814306555</v>
      </c>
      <c r="AN4" s="59">
        <f ca="1">AVERAGE(OFFSET($AM$3,0,0,'Données projet'!$E$10+1,1))-AVERAGE(OFFSET($H$3,0,0,'Données projet'!$E$10+1,1))</f>
        <v>449.28947235329758</v>
      </c>
      <c r="AO4" s="59">
        <f>$AO$3</f>
        <v>289.36994109443964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3.704509714285714</v>
      </c>
      <c r="BF4" s="13">
        <f>EXP(-1.0587+0.8836*LN(BE4)+0.284)</f>
        <v>1.4658264193249637</v>
      </c>
      <c r="BG4" s="20">
        <f t="shared" ref="BG4:BG67" si="7">(BE4+BF4)*0.475*44/12</f>
        <v>9.0050020993719304</v>
      </c>
      <c r="BH4" s="59">
        <f t="shared" ref="BH4:BH67" si="8">BG4+(AY4+AZ4)*44/12</f>
        <v>266.89389098826081</v>
      </c>
      <c r="BI4" s="59">
        <f ca="1">AVERAGE(OFFSET($BH$3,0,0,'Données projet'!$E$11+1,1))-AVERAGE(OFFSET($H$3,0,0,'Données projet'!$E$11+1,1))</f>
        <v>635.71275911100679</v>
      </c>
      <c r="BJ4" s="59">
        <f>$BJ$3</f>
        <v>281.7776857269169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3.3603333333333336</v>
      </c>
      <c r="BY4" s="12">
        <f>IF('Données projet'!$A$114&gt;35,BY3+BX4-CG3,IF(A4&lt;'Données projet'!$A$114,$BV$205^A4,IF(A4='Données projet'!$A$114,'Données projet'!$B$114,BY3+BX4-CG3)))</f>
        <v>3.3603333333333336</v>
      </c>
      <c r="BZ4" s="13">
        <f>BY4*VLOOKUP('Données projet'!$B$12,Paramètres!$A$1:$I$89,3,0)*VLOOKUP('Données projet'!$B$12,Paramètres!$A$1:$I$89,5,0)</f>
        <v>3.8267476000000005</v>
      </c>
      <c r="CA4" s="13">
        <f>EXP(-1.0587+0.8836*LN(BZ4)+0.284)</f>
        <v>1.5084832510605695</v>
      </c>
      <c r="CB4" s="20">
        <f t="shared" ref="CB4:CB67" si="10">(BZ4+CA4)*0.475*44/12</f>
        <v>9.2921937322638239</v>
      </c>
      <c r="CC4" s="59">
        <f t="shared" ref="CC4:CC67" si="11">CB4+(BT4+BU4)*44/12</f>
        <v>267.18108262115265</v>
      </c>
      <c r="CD4" s="59">
        <f ca="1">AVERAGE(OFFSET($CC$3,0,0,'Données projet'!$E$12+1,1))-AVERAGE(OFFSET($H$3,0,0,'Données projet'!$E$12+1,1))</f>
        <v>593.28343396240075</v>
      </c>
      <c r="CE4" s="59">
        <f>$CE$3</f>
        <v>289.66477662068695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4.2307692307692308</v>
      </c>
      <c r="CT4" s="12">
        <f>IF('Données projet'!$A$140&gt;35,CT3+CS4-DB3,IF(A4&lt;'Données projet'!$A$140,$CQ$205^A4,IF(A4='Données projet'!$A$140,'Données projet'!$B$140,CT3+CS4-DB3)))</f>
        <v>1.2484537743049755</v>
      </c>
      <c r="CU4" s="17">
        <f>CT4*VLOOKUP('Données projet'!$B$13,Paramètres!$A$1:$I$89,3,0)*VLOOKUP('Données projet'!$B$13,Paramètres!$A$1:$I$89,5,0)</f>
        <v>1.3048838849035607</v>
      </c>
      <c r="CV4" s="13">
        <f>EXP(-1.0587+0.8836*LN(CU4)+0.284)</f>
        <v>0.58300377540920578</v>
      </c>
      <c r="CW4" s="20">
        <f t="shared" ref="CW4:CW67" si="13">(CU4+CV4)*0.475*44/12</f>
        <v>3.288071008378068</v>
      </c>
      <c r="CX4" s="59">
        <f t="shared" ref="CX4:CX67" si="14">CW4+(CO4+CP4)*44/12</f>
        <v>261.1769598972669</v>
      </c>
      <c r="CY4" s="59">
        <f ca="1">AVERAGE(OFFSET($CX$3,0,0,'Données projet'!$E$13+1,1))-AVERAGE(OFFSET($H$3,0,0,'Données projet'!$E$13+1,1))</f>
        <v>260.65406541614402</v>
      </c>
      <c r="CZ4" s="59">
        <f>$CZ$3</f>
        <v>277.63456890196886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0.70512820512820507</v>
      </c>
      <c r="DO4" s="12">
        <f>IF('Données projet'!$A$166&gt;35,DO3+DN4-DW3,IF(A4&lt;'Données projet'!$A$166,$DL$205^A4,IF(A4='Données projet'!$A$166,'Données projet'!$B$166,DO3+DN4-DW3)))</f>
        <v>1.2157010972598057</v>
      </c>
      <c r="DP4" s="17">
        <f>DO4*VLOOKUP('Données projet'!$B$14,Paramètres!$A$1:$I$89,3,0)*VLOOKUP('Données projet'!$B$14,Paramètres!$A$1:$I$89,5,0)</f>
        <v>0.79652735892462478</v>
      </c>
      <c r="DQ4" s="13">
        <f>EXP(-1.0587+0.8836*LN(DP4)+0.284)</f>
        <v>0.37692331420583203</v>
      </c>
      <c r="DR4" s="20">
        <f t="shared" ref="DR4:DR67" si="16">(DP4+DQ4)*0.475*44/12</f>
        <v>2.0437599223688792</v>
      </c>
      <c r="DS4" s="59">
        <f t="shared" ref="DS4:DS67" si="17">DR4+(DJ4+DK4)*44/12</f>
        <v>259.93264881125776</v>
      </c>
      <c r="DT4" s="59">
        <f ca="1">AVERAGE(OFFSET($DS$3,0,0,'Données projet'!$E$14+1,1))-AVERAGE(OFFSET($H$3,0,0,'Données projet'!$E$14+1,1))</f>
        <v>181.4272795535777</v>
      </c>
      <c r="DU4" s="59">
        <f>$DU$3</f>
        <v>187.67131775419904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4.3269230769230766</v>
      </c>
      <c r="EJ4" s="12">
        <f>IF('Données projet'!$A$192&gt;35,EJ3+EI4-ER3,IF(A4&lt;'Données projet'!$A$192,$EG$205^A4,IF(A4='Données projet'!$A$192,'Données projet'!$B$192,EJ3+EI4-ER3)))</f>
        <v>1.3897820613456893</v>
      </c>
      <c r="EK4" s="17">
        <f>EJ4*VLOOKUP('Données projet'!$B$15,Paramètres!$A$1:$I$89,3,0)*VLOOKUP('Données projet'!$B$15,Paramètres!$A$1:$I$89,5,0)</f>
        <v>1.1273912081636233</v>
      </c>
      <c r="EL4" s="13">
        <f>EXP(-1.0587+0.8836*LN(EK4)+0.284)</f>
        <v>0.5123482062244562</v>
      </c>
      <c r="EM4" s="20">
        <f t="shared" ref="EM4:EM67" si="19">(EK4+EL4)*0.475*44/12</f>
        <v>2.8558794800592384</v>
      </c>
      <c r="EN4" s="59">
        <f t="shared" ref="EN4:EN67" si="20">EM4+(EE4+EF4)*44/12</f>
        <v>260.74476836894809</v>
      </c>
      <c r="EO4" s="59">
        <f ca="1">AVERAGE(OFFSET($EN$3,0,0,'Données projet'!$E$15+1,1))-AVERAGE(OFFSET($H$3,0,0,'Données projet'!$E$15+1,1))</f>
        <v>159.68591355116837</v>
      </c>
      <c r="EP4" s="59">
        <f>$EP$3</f>
        <v>284.32631786390112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2.4666666666666668</v>
      </c>
      <c r="FE4" s="12">
        <f>IF('Données projet'!$A$218&gt;35,FE3+FD4-FM3,IF(A4&lt;'Données projet'!$A$218,$FB$205^A4,IF(A4='Données projet'!$A$218,'Données projet'!$B$218,FE3+FD4-FM3)))</f>
        <v>1.2721747796233518</v>
      </c>
      <c r="FF4" s="17">
        <f>FE4*VLOOKUP('Données projet'!$B$16,Paramètres!$A$1:$I$89,3,0)*VLOOKUP('Données projet'!$B$16,Paramètres!$A$1:$I$89,5,0)</f>
        <v>1.0121422546683387</v>
      </c>
      <c r="FG4" s="13">
        <f>EXP(-1.0587+0.8836*LN(FF4)+0.284)</f>
        <v>0.46578286063395047</v>
      </c>
      <c r="FH4" s="20">
        <f t="shared" ref="FH4:FH67" si="22">(FF4+FG4)*0.475*44/12</f>
        <v>2.574052909151487</v>
      </c>
      <c r="FI4" s="59">
        <f t="shared" ref="FI4:FI67" si="23">FH4+(EZ4+FA4)*44/12</f>
        <v>260.46294179804033</v>
      </c>
      <c r="FJ4" s="59">
        <f ca="1">AVERAGE(OFFSET($FI$3,0,0,'Données projet'!$E$16+1,1))-AVERAGE(OFFSET($H$3,0,0,'Données projet'!$E$16+1,1))</f>
        <v>299.10536994156814</v>
      </c>
      <c r="FK4" s="59">
        <f>$FK$3</f>
        <v>292.57799203101769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3.5897435897435899</v>
      </c>
      <c r="FZ4" s="12">
        <f>IF('Données projet'!$A$244&gt;35,FZ3+FY4-GH3,IF(A4&lt;'Données projet'!$A$244,$FW$205^A4,IF(A4='Données projet'!$A$244,'Données projet'!$B$244,FZ3+FY4-GH3)))</f>
        <v>1.7815855705624291</v>
      </c>
      <c r="GA4" s="17">
        <f>FZ4*VLOOKUP('Données projet'!$B$17,Paramètres!$A$1:$I$89,3,0)*VLOOKUP('Données projet'!$B$17,Paramètres!$A$1:$I$89,5,0)</f>
        <v>1.6119786242448857</v>
      </c>
      <c r="GB4" s="13">
        <f>EXP(-1.0587+0.8836*LN(GA4)+0.284)</f>
        <v>0.70270771775093011</v>
      </c>
      <c r="GC4" s="20">
        <f t="shared" ref="GC4:GC67" si="25">(GA4+GB4)*0.475*44/12</f>
        <v>4.0314120456427114</v>
      </c>
      <c r="GD4" s="59">
        <f t="shared" ref="GD4:GD67" si="26">GC4+(FU4+FV4)*44/12</f>
        <v>261.92030093453155</v>
      </c>
      <c r="GE4" s="59">
        <f ca="1">AVERAGE(OFFSET($GD$3,0,0,'Données projet'!$E$17+1,1))-AVERAGE(OFFSET($H$3,0,0,'Données projet'!$E$17+1,1))</f>
        <v>204.78565758021779</v>
      </c>
      <c r="GF4" s="59">
        <f>$GF$3</f>
        <v>287.25131613242439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2.6666666666666665</v>
      </c>
      <c r="GU4" s="12">
        <f>IF('Données projet'!$A$270&gt;35,GU3+GT4-HC3,IF(A4&lt;'Données projet'!$A$270,$GR$205^A4,IF(A4='Données projet'!$A$270,'Données projet'!$B$270,GU3+GT4-HC3)))</f>
        <v>1.2788040393997409</v>
      </c>
      <c r="GV4" s="17">
        <f>GU4*VLOOKUP('Données projet'!$B$18,Paramètres!$A$1:$I$89,3,0)*VLOOKUP('Données projet'!$B$18,Paramètres!$A$1:$I$89,5,0)</f>
        <v>0.99746715073179792</v>
      </c>
      <c r="GW4" s="13">
        <f>EXP(-1.0587+0.8836*LN(GV4)+0.284)</f>
        <v>0.45981048445793882</v>
      </c>
      <c r="GX4" s="20">
        <f t="shared" ref="GX4:GX67" si="28">(GV4+GW4)*0.475*44/12</f>
        <v>2.5380918812887914</v>
      </c>
      <c r="GY4" s="59">
        <f t="shared" ref="GY4:GY67" si="29">GX4+(GP4+GQ4)*44/12</f>
        <v>260.42698077017764</v>
      </c>
      <c r="GZ4" s="59">
        <f ca="1">AVERAGE(OFFSET($GY$3,0,0,'Données projet'!$E$18+1,1))-AVERAGE(OFFSET($H$3,0,0,'Données projet'!$E$18+1,1))</f>
        <v>288.82868507674738</v>
      </c>
      <c r="HA4" s="59">
        <f>$HA$3</f>
        <v>283.48738729114024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5.8890909090909096</v>
      </c>
      <c r="N5" s="13">
        <f>IF('Données projet'!$A$36&gt;35,N4+M5-V4,IF(A5&lt;'Données projet'!$A$36,$K$205^A5,IF(A5='Données projet'!$A$36,'Données projet'!$B$36,N4+M5-V4)))</f>
        <v>1.5561190259606172</v>
      </c>
      <c r="O5" s="13">
        <f>N5*VLOOKUP('Données projet'!$B$9,Paramètres!$A$1:$I$89,3,0)*VLOOKUP('Données projet'!$B$9,Paramètres!$A$1:$I$89,5,0)</f>
        <v>0.93055917752444917</v>
      </c>
      <c r="P5" s="13">
        <f t="shared" ref="P5:P68" si="33">EXP(-1.0587+0.8836*LN(O5)+0.284)</f>
        <v>0.43244836584356472</v>
      </c>
      <c r="Q5" s="20">
        <f t="shared" si="2"/>
        <v>2.3739048046992908</v>
      </c>
      <c r="R5" s="59">
        <f t="shared" si="0"/>
        <v>261.48501591581044</v>
      </c>
      <c r="S5" s="59">
        <f ca="1">AVERAGE(OFFSET($R$3,0,0,'Données projet'!$E$9+1,1))-AVERAGE(OFFSET($H$3,0,0,'Données projet'!$E$9+1,1))</f>
        <v>349.71285006949597</v>
      </c>
      <c r="T5" s="59">
        <f t="shared" ref="T5:T68" si="34">$T$3</f>
        <v>258.51550516456842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4.016578947368421</v>
      </c>
      <c r="AI5" s="13">
        <f>IF('Données projet'!$A$62&gt;35,AI4+AH5-AQ4,IF(A5&lt;'Données projet'!$A$62,$AF$205^A5,IF(A5='Données projet'!$A$62,'Données projet'!$B$62,AI4+AH5-AQ4)))</f>
        <v>8.0331578947368421</v>
      </c>
      <c r="AJ5" s="13">
        <f>AI5*VLOOKUP('Données projet'!$B$10,Paramètres!$A$1:$I$89,3,0)*VLOOKUP('Données projet'!$B$10,Paramètres!$A$1:$I$89,5,0)</f>
        <v>7.6443530526315788</v>
      </c>
      <c r="AK5" s="13">
        <f t="shared" ref="AK5:AK68" si="35">EXP(-1.0587+0.8836*LN(AJ5)+0.284)</f>
        <v>2.7801737582204993</v>
      </c>
      <c r="AL5" s="20">
        <f t="shared" si="4"/>
        <v>18.156050862234036</v>
      </c>
      <c r="AM5" s="59">
        <f t="shared" si="5"/>
        <v>277.2671619733452</v>
      </c>
      <c r="AN5" s="59">
        <f ca="1">AVERAGE(OFFSET($AM$3,0,0,'Données projet'!$E$10+1,1))-AVERAGE(OFFSET($H$3,0,0,'Données projet'!$E$10+1,1))</f>
        <v>449.28947235329758</v>
      </c>
      <c r="AO5" s="59">
        <f t="shared" ref="AO5:AO68" si="36">$AO$3</f>
        <v>289.36994109443964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7.4090194285714279</v>
      </c>
      <c r="BF5" s="13">
        <f t="shared" ref="BF5:BF68" si="37">EXP(-1.0587+0.8836*LN(BE5)+0.284)</f>
        <v>2.7044107221075859</v>
      </c>
      <c r="BG5" s="20">
        <f t="shared" si="7"/>
        <v>17.614224179099281</v>
      </c>
      <c r="BH5" s="59">
        <f t="shared" si="8"/>
        <v>276.72533529021041</v>
      </c>
      <c r="BI5" s="59">
        <f ca="1">AVERAGE(OFFSET($BH$3,0,0,'Données projet'!$E$11+1,1))-AVERAGE(OFFSET($H$3,0,0,'Données projet'!$E$11+1,1))</f>
        <v>635.71275911100679</v>
      </c>
      <c r="BJ5" s="59">
        <f t="shared" ref="BJ5:BJ68" si="38">$BJ$3</f>
        <v>281.7776857269169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3.3603333333333336</v>
      </c>
      <c r="BY5" s="12">
        <f>IF('Données projet'!$A$114&gt;35,BY4+BX5-CG4,IF(A5&lt;'Données projet'!$A$114,$BV$205^A5,IF(A5='Données projet'!$A$114,'Données projet'!$B$114,BY4+BX5-CG4)))</f>
        <v>6.7206666666666672</v>
      </c>
      <c r="BZ5" s="13">
        <f>BY5*VLOOKUP('Données projet'!$B$12,Paramètres!$A$1:$I$89,3,0)*VLOOKUP('Données projet'!$B$12,Paramètres!$A$1:$I$89,5,0)</f>
        <v>7.6534952000000009</v>
      </c>
      <c r="CA5" s="13">
        <f t="shared" ref="CA5:CA68" si="39">EXP(-1.0587+0.8836*LN(BZ5)+0.284)</f>
        <v>2.7831114410986091</v>
      </c>
      <c r="CB5" s="20">
        <f t="shared" si="10"/>
        <v>18.177089899913412</v>
      </c>
      <c r="CC5" s="59">
        <f t="shared" si="11"/>
        <v>277.28820101102457</v>
      </c>
      <c r="CD5" s="59">
        <f ca="1">AVERAGE(OFFSET($CC$3,0,0,'Données projet'!$E$12+1,1))-AVERAGE(OFFSET($H$3,0,0,'Données projet'!$E$12+1,1))</f>
        <v>593.28343396240075</v>
      </c>
      <c r="CE5" s="59">
        <f t="shared" ref="CE5:CE68" si="40">$CE$3</f>
        <v>289.66477662068695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4.2307692307692308</v>
      </c>
      <c r="CT5" s="12">
        <f>IF('Données projet'!$A$140&gt;35,CT4+CS5-DB4,IF(A5&lt;'Données projet'!$A$140,$CQ$205^A5,IF(A5='Données projet'!$A$140,'Données projet'!$B$140,CT4+CS5-DB4)))</f>
        <v>1.5586368265763386</v>
      </c>
      <c r="CU5" s="17">
        <f>CT5*VLOOKUP('Données projet'!$B$13,Paramètres!$A$1:$I$89,3,0)*VLOOKUP('Données projet'!$B$13,Paramètres!$A$1:$I$89,5,0)</f>
        <v>1.6290872111375894</v>
      </c>
      <c r="CV5" s="13">
        <f t="shared" ref="CV5:CV68" si="41">EXP(-1.0587+0.8836*LN(CU5)+0.284)</f>
        <v>0.70929366123308546</v>
      </c>
      <c r="CW5" s="20">
        <f t="shared" si="13"/>
        <v>4.0726800193789243</v>
      </c>
      <c r="CX5" s="59">
        <f t="shared" si="14"/>
        <v>263.18379113049008</v>
      </c>
      <c r="CY5" s="59">
        <f ca="1">AVERAGE(OFFSET($CX$3,0,0,'Données projet'!$E$13+1,1))-AVERAGE(OFFSET($H$3,0,0,'Données projet'!$E$13+1,1))</f>
        <v>260.65406541614402</v>
      </c>
      <c r="CZ5" s="59">
        <f t="shared" ref="CZ5:CZ68" si="42">$CZ$3</f>
        <v>277.63456890196886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0.70512820512820507</v>
      </c>
      <c r="DO5" s="12">
        <f>IF('Données projet'!$A$166&gt;35,DO4+DN5-DW4,IF(A5&lt;'Données projet'!$A$166,$DL$205^A5,IF(A5='Données projet'!$A$166,'Données projet'!$B$166,DO4+DN5-DW4)))</f>
        <v>1.4779291578786955</v>
      </c>
      <c r="DP5" s="17">
        <f>DO5*VLOOKUP('Données projet'!$B$14,Paramètres!$A$1:$I$89,3,0)*VLOOKUP('Données projet'!$B$14,Paramètres!$A$1:$I$89,5,0)</f>
        <v>0.96833918424212118</v>
      </c>
      <c r="DQ5" s="13">
        <f t="shared" ref="DQ5:DQ68" si="43">EXP(-1.0587+0.8836*LN(DP5)+0.284)</f>
        <v>0.44792568784065334</v>
      </c>
      <c r="DR5" s="20">
        <f t="shared" si="16"/>
        <v>2.4666613188774984</v>
      </c>
      <c r="DS5" s="59">
        <f t="shared" si="17"/>
        <v>261.57777242998861</v>
      </c>
      <c r="DT5" s="59">
        <f ca="1">AVERAGE(OFFSET($DS$3,0,0,'Données projet'!$E$14+1,1))-AVERAGE(OFFSET($H$3,0,0,'Données projet'!$E$14+1,1))</f>
        <v>181.4272795535777</v>
      </c>
      <c r="DU5" s="59">
        <f t="shared" ref="DU5:DU68" si="44">$DU$3</f>
        <v>187.67131775419904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4.3269230769230766</v>
      </c>
      <c r="EJ5" s="12">
        <f>IF('Données projet'!$A$192&gt;35,EJ4+EI5-ER4,IF(A5&lt;'Données projet'!$A$192,$EG$205^A5,IF(A5='Données projet'!$A$192,'Données projet'!$B$192,EJ4+EI5-ER4)))</f>
        <v>1.9314941780382733</v>
      </c>
      <c r="EK5" s="17">
        <f>EJ5*VLOOKUP('Données projet'!$B$15,Paramètres!$A$1:$I$89,3,0)*VLOOKUP('Données projet'!$B$15,Paramètres!$A$1:$I$89,5,0)</f>
        <v>1.5668280772246472</v>
      </c>
      <c r="EL5" s="13">
        <f t="shared" ref="EL5:EL68" si="45">EXP(-1.0587+0.8836*LN(EK5)+0.284)</f>
        <v>0.68528768231612902</v>
      </c>
      <c r="EM5" s="20">
        <f t="shared" si="19"/>
        <v>3.9224349478668521</v>
      </c>
      <c r="EN5" s="59">
        <f t="shared" si="20"/>
        <v>263.033546058978</v>
      </c>
      <c r="EO5" s="59">
        <f ca="1">AVERAGE(OFFSET($EN$3,0,0,'Données projet'!$E$15+1,1))-AVERAGE(OFFSET($H$3,0,0,'Données projet'!$E$15+1,1))</f>
        <v>159.68591355116837</v>
      </c>
      <c r="EP5" s="59">
        <f t="shared" ref="EP5:EP68" si="46">$EP$3</f>
        <v>284.32631786390112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2.4666666666666668</v>
      </c>
      <c r="FE5" s="12">
        <f>IF('Données projet'!$A$218&gt;35,FE4+FD5-FM4,IF(A5&lt;'Données projet'!$A$218,$FB$205^A5,IF(A5='Données projet'!$A$218,'Données projet'!$B$218,FE4+FD5-FM4)))</f>
        <v>1.6184286699097237</v>
      </c>
      <c r="FF5" s="17">
        <f>FE5*VLOOKUP('Données projet'!$B$16,Paramètres!$A$1:$I$89,3,0)*VLOOKUP('Données projet'!$B$16,Paramètres!$A$1:$I$89,5,0)</f>
        <v>1.2876218497801761</v>
      </c>
      <c r="FG5" s="13">
        <f t="shared" ref="FG5:FG68" si="47">EXP(-1.0587+0.8836*LN(FF5)+0.284)</f>
        <v>0.57618379541883336</v>
      </c>
      <c r="FH5" s="20">
        <f t="shared" si="22"/>
        <v>3.2461281653882743</v>
      </c>
      <c r="FI5" s="59">
        <f t="shared" si="23"/>
        <v>262.3572392764994</v>
      </c>
      <c r="FJ5" s="59">
        <f ca="1">AVERAGE(OFFSET($FI$3,0,0,'Données projet'!$E$16+1,1))-AVERAGE(OFFSET($H$3,0,0,'Données projet'!$E$16+1,1))</f>
        <v>299.10536994156814</v>
      </c>
      <c r="FK5" s="59">
        <f t="shared" ref="FK5:FK68" si="48">$FK$3</f>
        <v>292.57799203101769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3.5897435897435899</v>
      </c>
      <c r="FZ5" s="12">
        <f>IF('Données projet'!$A$244&gt;35,FZ4+FY5-GH4,IF(A5&lt;'Données projet'!$A$244,$FW$205^A5,IF(A5='Données projet'!$A$244,'Données projet'!$B$244,FZ4+FY5-GH4)))</f>
        <v>3.1740471452362558</v>
      </c>
      <c r="GA5" s="17">
        <f>FZ5*VLOOKUP('Données projet'!$B$17,Paramètres!$A$1:$I$89,3,0)*VLOOKUP('Données projet'!$B$17,Paramètres!$A$1:$I$89,5,0)</f>
        <v>2.8718778570097641</v>
      </c>
      <c r="GB5" s="13">
        <f t="shared" ref="GB5:GB68" si="49">EXP(-1.0587+0.8836*LN(GA5)+0.284)</f>
        <v>1.1705433759135639</v>
      </c>
      <c r="GC5" s="20">
        <f t="shared" si="25"/>
        <v>7.0405503140081294</v>
      </c>
      <c r="GD5" s="59">
        <f t="shared" si="26"/>
        <v>266.1516614251193</v>
      </c>
      <c r="GE5" s="59">
        <f ca="1">AVERAGE(OFFSET($GD$3,0,0,'Données projet'!$E$17+1,1))-AVERAGE(OFFSET($H$3,0,0,'Données projet'!$E$17+1,1))</f>
        <v>204.78565758021779</v>
      </c>
      <c r="GF5" s="59">
        <f t="shared" ref="GF5:GF68" si="50">$GF$3</f>
        <v>287.25131613242439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2.6666666666666665</v>
      </c>
      <c r="GU5" s="12">
        <f>IF('Données projet'!$A$270&gt;35,GU4+GT5-HC4,IF(A5&lt;'Données projet'!$A$270,$GR$205^A5,IF(A5='Données projet'!$A$270,'Données projet'!$B$270,GU4+GT5-HC4)))</f>
        <v>1.6353397711850939</v>
      </c>
      <c r="GV5" s="17">
        <f>GU5*VLOOKUP('Données projet'!$B$18,Paramètres!$A$1:$I$89,3,0)*VLOOKUP('Données projet'!$B$18,Paramètres!$A$1:$I$89,5,0)</f>
        <v>1.2755650215243732</v>
      </c>
      <c r="GW5" s="13">
        <f t="shared" ref="GW5:GW68" si="51">EXP(-1.0587+0.8836*LN(GV5)+0.284)</f>
        <v>0.57141400910743001</v>
      </c>
      <c r="GX5" s="20">
        <f t="shared" si="28"/>
        <v>3.2168218116837237</v>
      </c>
      <c r="GY5" s="59">
        <f t="shared" si="29"/>
        <v>262.32793292279484</v>
      </c>
      <c r="GZ5" s="59">
        <f ca="1">AVERAGE(OFFSET($GY$3,0,0,'Données projet'!$E$18+1,1))-AVERAGE(OFFSET($H$3,0,0,'Données projet'!$E$18+1,1))</f>
        <v>288.82868507674738</v>
      </c>
      <c r="HA5" s="59">
        <f t="shared" ref="HA5:HA68" si="52">$HA$3</f>
        <v>283.48738729114024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5.8890909090909096</v>
      </c>
      <c r="N6" s="13">
        <f>IF('Données projet'!$A$36&gt;35,N5+M6-V5,IF(A6&lt;'Données projet'!$A$36,$K$205^A6,IF(A6='Données projet'!$A$36,'Données projet'!$B$36,N5+M6-V5)))</f>
        <v>1.9411728970518403</v>
      </c>
      <c r="O6" s="13">
        <f>N6*VLOOKUP('Données projet'!$B$9,Paramètres!$A$1:$I$89,3,0)*VLOOKUP('Données projet'!$B$9,Paramètres!$A$1:$I$89,5,0)</f>
        <v>1.1608213924370006</v>
      </c>
      <c r="P6" s="13">
        <f t="shared" si="33"/>
        <v>0.52574938695127893</v>
      </c>
      <c r="Q6" s="20">
        <f t="shared" si="2"/>
        <v>2.9374441074345867</v>
      </c>
      <c r="R6" s="59">
        <f t="shared" si="0"/>
        <v>263.27077744076792</v>
      </c>
      <c r="S6" s="59">
        <f ca="1">AVERAGE(OFFSET($R$3,0,0,'Données projet'!$E$9+1,1))-AVERAGE(OFFSET($H$3,0,0,'Données projet'!$E$9+1,1))</f>
        <v>349.71285006949597</v>
      </c>
      <c r="T6" s="59">
        <f t="shared" si="34"/>
        <v>258.51550516456842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4.016578947368421</v>
      </c>
      <c r="AI6" s="13">
        <f>IF('Données projet'!$A$62&gt;35,AI5+AH6-AQ5,IF(A6&lt;'Données projet'!$A$62,$AF$205^A6,IF(A6='Données projet'!$A$62,'Données projet'!$B$62,AI5+AH6-AQ5)))</f>
        <v>12.049736842105263</v>
      </c>
      <c r="AJ6" s="13">
        <f>AI6*VLOOKUP('Données projet'!$B$10,Paramètres!$A$1:$I$89,3,0)*VLOOKUP('Données projet'!$B$10,Paramètres!$A$1:$I$89,5,0)</f>
        <v>11.466529578947368</v>
      </c>
      <c r="AK6" s="13">
        <f t="shared" si="35"/>
        <v>3.9780128004247182</v>
      </c>
      <c r="AL6" s="20">
        <f t="shared" si="4"/>
        <v>26.89924464407305</v>
      </c>
      <c r="AM6" s="59">
        <f t="shared" si="5"/>
        <v>287.23257797740638</v>
      </c>
      <c r="AN6" s="59">
        <f ca="1">AVERAGE(OFFSET($AM$3,0,0,'Données projet'!$E$10+1,1))-AVERAGE(OFFSET($H$3,0,0,'Données projet'!$E$10+1,1))</f>
        <v>449.28947235329758</v>
      </c>
      <c r="AO6" s="59">
        <f t="shared" si="36"/>
        <v>289.36994109443964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11.113529142857143</v>
      </c>
      <c r="BF6" s="13">
        <f t="shared" si="37"/>
        <v>3.8696072280877138</v>
      </c>
      <c r="BG6" s="20">
        <f t="shared" si="7"/>
        <v>26.095629179395626</v>
      </c>
      <c r="BH6" s="59">
        <f t="shared" si="8"/>
        <v>286.42896251272896</v>
      </c>
      <c r="BI6" s="59">
        <f ca="1">AVERAGE(OFFSET($BH$3,0,0,'Données projet'!$E$11+1,1))-AVERAGE(OFFSET($H$3,0,0,'Données projet'!$E$11+1,1))</f>
        <v>635.71275911100679</v>
      </c>
      <c r="BJ6" s="59">
        <f t="shared" si="38"/>
        <v>281.7776857269169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3.3603333333333336</v>
      </c>
      <c r="BY6" s="12">
        <f>IF('Données projet'!$A$114&gt;35,BY5+BX6-CG5,IF(A6&lt;'Données projet'!$A$114,$BV$205^A6,IF(A6='Données projet'!$A$114,'Données projet'!$B$114,BY5+BX6-CG5)))</f>
        <v>10.081000000000001</v>
      </c>
      <c r="BZ6" s="13">
        <f>BY6*VLOOKUP('Données projet'!$B$12,Paramètres!$A$1:$I$89,3,0)*VLOOKUP('Données projet'!$B$12,Paramètres!$A$1:$I$89,5,0)</f>
        <v>11.480242800000001</v>
      </c>
      <c r="CA6" s="13">
        <f t="shared" si="39"/>
        <v>3.9822161852161009</v>
      </c>
      <c r="CB6" s="20">
        <f t="shared" si="10"/>
        <v>26.930449399251376</v>
      </c>
      <c r="CC6" s="59">
        <f t="shared" si="11"/>
        <v>287.26378273258467</v>
      </c>
      <c r="CD6" s="59">
        <f ca="1">AVERAGE(OFFSET($CC$3,0,0,'Données projet'!$E$12+1,1))-AVERAGE(OFFSET($H$3,0,0,'Données projet'!$E$12+1,1))</f>
        <v>593.28343396240075</v>
      </c>
      <c r="CE6" s="59">
        <f t="shared" si="40"/>
        <v>289.66477662068695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4.2307692307692308</v>
      </c>
      <c r="CT6" s="12">
        <f>IF('Données projet'!$A$140&gt;35,CT5+CS6-DB5,IF(A6&lt;'Données projet'!$A$140,$CQ$205^A6,IF(A6='Données projet'!$A$140,'Données projet'!$B$140,CT5+CS6-DB5)))</f>
        <v>1.9458860289099595</v>
      </c>
      <c r="CU6" s="17">
        <f>CT6*VLOOKUP('Données projet'!$B$13,Paramètres!$A$1:$I$89,3,0)*VLOOKUP('Données projet'!$B$13,Paramètres!$A$1:$I$89,5,0)</f>
        <v>2.03384007741669</v>
      </c>
      <c r="CV6" s="13">
        <f t="shared" si="41"/>
        <v>0.86294037720821781</v>
      </c>
      <c r="CW6" s="20">
        <f t="shared" si="13"/>
        <v>5.0452259584717147</v>
      </c>
      <c r="CX6" s="59">
        <f t="shared" si="14"/>
        <v>265.378559291805</v>
      </c>
      <c r="CY6" s="59">
        <f ca="1">AVERAGE(OFFSET($CX$3,0,0,'Données projet'!$E$13+1,1))-AVERAGE(OFFSET($H$3,0,0,'Données projet'!$E$13+1,1))</f>
        <v>260.65406541614402</v>
      </c>
      <c r="CZ6" s="59">
        <f t="shared" si="42"/>
        <v>277.63456890196886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0.70512820512820507</v>
      </c>
      <c r="DO6" s="12">
        <f>IF('Données projet'!$A$166&gt;35,DO5+DN6-DW5,IF(A6&lt;'Données projet'!$A$166,$DL$205^A6,IF(A6='Données projet'!$A$166,'Données projet'!$B$166,DO5+DN6-DW5)))</f>
        <v>1.7967200989053906</v>
      </c>
      <c r="DP6" s="17">
        <f>DO6*VLOOKUP('Données projet'!$B$14,Paramètres!$A$1:$I$89,3,0)*VLOOKUP('Données projet'!$B$14,Paramètres!$A$1:$I$89,5,0)</f>
        <v>1.177211008802812</v>
      </c>
      <c r="DQ6" s="13">
        <f t="shared" si="43"/>
        <v>0.53230302893377801</v>
      </c>
      <c r="DR6" s="20">
        <f t="shared" si="16"/>
        <v>2.9774036157245614</v>
      </c>
      <c r="DS6" s="59">
        <f t="shared" si="17"/>
        <v>263.31073694905785</v>
      </c>
      <c r="DT6" s="59">
        <f ca="1">AVERAGE(OFFSET($DS$3,0,0,'Données projet'!$E$14+1,1))-AVERAGE(OFFSET($H$3,0,0,'Données projet'!$E$14+1,1))</f>
        <v>181.4272795535777</v>
      </c>
      <c r="DU6" s="59">
        <f t="shared" si="44"/>
        <v>187.67131775419904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4.3269230769230766</v>
      </c>
      <c r="EJ6" s="12">
        <f>IF('Données projet'!$A$192&gt;35,EJ5+EI6-ER5,IF(A6&lt;'Données projet'!$A$192,$EG$205^A6,IF(A6='Données projet'!$A$192,'Données projet'!$B$192,EJ5+EI6-ER5)))</f>
        <v>2.6843559602312292</v>
      </c>
      <c r="EK6" s="17">
        <f>EJ6*VLOOKUP('Données projet'!$B$15,Paramètres!$A$1:$I$89,3,0)*VLOOKUP('Données projet'!$B$15,Paramètres!$A$1:$I$89,5,0)</f>
        <v>2.1775495549395734</v>
      </c>
      <c r="EL6" s="13">
        <f t="shared" si="45"/>
        <v>0.91660164284536383</v>
      </c>
      <c r="EM6" s="20">
        <f t="shared" si="19"/>
        <v>5.3889800028087649</v>
      </c>
      <c r="EN6" s="59">
        <f t="shared" si="20"/>
        <v>265.72231333614207</v>
      </c>
      <c r="EO6" s="59">
        <f ca="1">AVERAGE(OFFSET($EN$3,0,0,'Données projet'!$E$15+1,1))-AVERAGE(OFFSET($H$3,0,0,'Données projet'!$E$15+1,1))</f>
        <v>159.68591355116837</v>
      </c>
      <c r="EP6" s="59">
        <f t="shared" si="46"/>
        <v>284.32631786390112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2.4666666666666668</v>
      </c>
      <c r="FE6" s="12">
        <f>IF('Données projet'!$A$218&gt;35,FE5+FD6-FM5,IF(A6&lt;'Données projet'!$A$218,$FB$205^A6,IF(A6='Données projet'!$A$218,'Données projet'!$B$218,FE5+FD6-FM5)))</f>
        <v>2.0589241364785171</v>
      </c>
      <c r="FF6" s="17">
        <f>FE6*VLOOKUP('Données projet'!$B$16,Paramètres!$A$1:$I$89,3,0)*VLOOKUP('Données projet'!$B$16,Paramètres!$A$1:$I$89,5,0)</f>
        <v>1.6380800429823084</v>
      </c>
      <c r="FG6" s="13">
        <f t="shared" si="47"/>
        <v>0.71275221602487127</v>
      </c>
      <c r="FH6" s="20">
        <f t="shared" si="22"/>
        <v>4.0943661844375043</v>
      </c>
      <c r="FI6" s="59">
        <f t="shared" si="23"/>
        <v>264.4276995177708</v>
      </c>
      <c r="FJ6" s="59">
        <f ca="1">AVERAGE(OFFSET($FI$3,0,0,'Données projet'!$E$16+1,1))-AVERAGE(OFFSET($H$3,0,0,'Données projet'!$E$16+1,1))</f>
        <v>299.10536994156814</v>
      </c>
      <c r="FK6" s="59">
        <f t="shared" si="48"/>
        <v>292.57799203101769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3.5897435897435899</v>
      </c>
      <c r="FZ6" s="12">
        <f>IF('Données projet'!$A$244&gt;35,FZ5+FY6-GH5,IF(A6&lt;'Données projet'!$A$244,$FW$205^A6,IF(A6='Données projet'!$A$244,'Données projet'!$B$244,FZ5+FY6-GH5)))</f>
        <v>5.6548365942377838</v>
      </c>
      <c r="GA6" s="17">
        <f>FZ6*VLOOKUP('Données projet'!$B$17,Paramètres!$A$1:$I$89,3,0)*VLOOKUP('Données projet'!$B$17,Paramètres!$A$1:$I$89,5,0)</f>
        <v>5.1164961504663466</v>
      </c>
      <c r="GB6" s="13">
        <f t="shared" si="49"/>
        <v>1.9498459463067561</v>
      </c>
      <c r="GC6" s="20">
        <f t="shared" si="25"/>
        <v>12.307212485213155</v>
      </c>
      <c r="GD6" s="59">
        <f t="shared" si="26"/>
        <v>272.64054581854646</v>
      </c>
      <c r="GE6" s="59">
        <f ca="1">AVERAGE(OFFSET($GD$3,0,0,'Données projet'!$E$17+1,1))-AVERAGE(OFFSET($H$3,0,0,'Données projet'!$E$17+1,1))</f>
        <v>204.78565758021779</v>
      </c>
      <c r="GF6" s="59">
        <f t="shared" si="50"/>
        <v>287.25131613242439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2.6666666666666665</v>
      </c>
      <c r="GU6" s="12">
        <f>IF('Données projet'!$A$270&gt;35,GU5+GT6-HC5,IF(A6&lt;'Données projet'!$A$270,$GR$205^A6,IF(A6='Données projet'!$A$270,'Données projet'!$B$270,GU5+GT6-HC5)))</f>
        <v>2.0912791051825459</v>
      </c>
      <c r="GV6" s="17">
        <f>GU6*VLOOKUP('Données projet'!$B$18,Paramètres!$A$1:$I$89,3,0)*VLOOKUP('Données projet'!$B$18,Paramètres!$A$1:$I$89,5,0)</f>
        <v>1.6311977020423858</v>
      </c>
      <c r="GW6" s="13">
        <f t="shared" si="51"/>
        <v>0.71010553443370616</v>
      </c>
      <c r="GX6" s="20">
        <f t="shared" si="28"/>
        <v>4.0777698035291934</v>
      </c>
      <c r="GY6" s="59">
        <f t="shared" si="29"/>
        <v>264.41110313686249</v>
      </c>
      <c r="GZ6" s="59">
        <f ca="1">AVERAGE(OFFSET($GY$3,0,0,'Données projet'!$E$18+1,1))-AVERAGE(OFFSET($H$3,0,0,'Données projet'!$E$18+1,1))</f>
        <v>288.82868507674738</v>
      </c>
      <c r="HA6" s="59">
        <f t="shared" si="52"/>
        <v>283.48738729114024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5.8890909090909096</v>
      </c>
      <c r="N7" s="13">
        <f>IF('Données projet'!$A$36&gt;35,N6+M7-V6,IF(A7&lt;'Données projet'!$A$36,$K$205^A7,IF(A7='Données projet'!$A$36,'Données projet'!$B$36,N6+M7-V6)))</f>
        <v>2.4215064229566203</v>
      </c>
      <c r="O7" s="13">
        <f>N7*VLOOKUP('Données projet'!$B$9,Paramètres!$A$1:$I$89,3,0)*VLOOKUP('Données projet'!$B$9,Paramètres!$A$1:$I$89,5,0)</f>
        <v>1.4480608409280591</v>
      </c>
      <c r="P7" s="13">
        <f t="shared" si="33"/>
        <v>0.63918016510585218</v>
      </c>
      <c r="Q7" s="20">
        <f t="shared" si="2"/>
        <v>3.6352780855090621</v>
      </c>
      <c r="R7" s="59">
        <f t="shared" si="0"/>
        <v>265.19083364106461</v>
      </c>
      <c r="S7" s="59">
        <f ca="1">AVERAGE(OFFSET($R$3,0,0,'Données projet'!$E$9+1,1))-AVERAGE(OFFSET($H$3,0,0,'Données projet'!$E$9+1,1))</f>
        <v>349.71285006949597</v>
      </c>
      <c r="T7" s="59">
        <f t="shared" si="34"/>
        <v>258.51550516456842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4.016578947368421</v>
      </c>
      <c r="AI7" s="13">
        <f>IF('Données projet'!$A$62&gt;35,AI6+AH7-AQ6,IF(A7&lt;'Données projet'!$A$62,$AF$205^A7,IF(A7='Données projet'!$A$62,'Données projet'!$B$62,AI6+AH7-AQ6)))</f>
        <v>16.066315789473684</v>
      </c>
      <c r="AJ7" s="13">
        <f>AI7*VLOOKUP('Données projet'!$B$10,Paramètres!$A$1:$I$89,3,0)*VLOOKUP('Données projet'!$B$10,Paramètres!$A$1:$I$89,5,0)</f>
        <v>15.288706105263158</v>
      </c>
      <c r="AK7" s="13">
        <f t="shared" si="35"/>
        <v>5.1293465733249333</v>
      </c>
      <c r="AL7" s="20">
        <f t="shared" si="4"/>
        <v>35.561441748540922</v>
      </c>
      <c r="AM7" s="59">
        <f t="shared" si="5"/>
        <v>297.11699730409646</v>
      </c>
      <c r="AN7" s="59">
        <f ca="1">AVERAGE(OFFSET($AM$3,0,0,'Données projet'!$E$10+1,1))-AVERAGE(OFFSET($H$3,0,0,'Données projet'!$E$10+1,1))</f>
        <v>449.28947235329758</v>
      </c>
      <c r="AO7" s="59">
        <f t="shared" si="36"/>
        <v>289.36994109443964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14.818038857142856</v>
      </c>
      <c r="BF7" s="13">
        <f t="shared" si="37"/>
        <v>4.9895657885731195</v>
      </c>
      <c r="BG7" s="20">
        <f t="shared" si="7"/>
        <v>34.49824475795532</v>
      </c>
      <c r="BH7" s="59">
        <f t="shared" si="8"/>
        <v>296.05380031351086</v>
      </c>
      <c r="BI7" s="59">
        <f ca="1">AVERAGE(OFFSET($BH$3,0,0,'Données projet'!$E$11+1,1))-AVERAGE(OFFSET($H$3,0,0,'Données projet'!$E$11+1,1))</f>
        <v>635.71275911100679</v>
      </c>
      <c r="BJ7" s="59">
        <f t="shared" si="38"/>
        <v>281.7776857269169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3.3603333333333336</v>
      </c>
      <c r="BY7" s="12">
        <f>IF('Données projet'!$A$114&gt;35,BY6+BX7-CG6,IF(A7&lt;'Données projet'!$A$114,$BV$205^A7,IF(A7='Données projet'!$A$114,'Données projet'!$B$114,BY6+BX7-CG6)))</f>
        <v>13.441333333333334</v>
      </c>
      <c r="BZ7" s="13">
        <f>BY7*VLOOKUP('Données projet'!$B$12,Paramètres!$A$1:$I$89,3,0)*VLOOKUP('Données projet'!$B$12,Paramètres!$A$1:$I$89,5,0)</f>
        <v>15.306990400000002</v>
      </c>
      <c r="CA7" s="13">
        <f t="shared" si="39"/>
        <v>5.1347665200314268</v>
      </c>
      <c r="CB7" s="20">
        <f t="shared" si="10"/>
        <v>35.602726635721403</v>
      </c>
      <c r="CC7" s="59">
        <f t="shared" si="11"/>
        <v>297.15828219127695</v>
      </c>
      <c r="CD7" s="59">
        <f ca="1">AVERAGE(OFFSET($CC$3,0,0,'Données projet'!$E$12+1,1))-AVERAGE(OFFSET($H$3,0,0,'Données projet'!$E$12+1,1))</f>
        <v>593.28343396240075</v>
      </c>
      <c r="CE7" s="59">
        <f t="shared" si="40"/>
        <v>289.66477662068695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4.2307692307692308</v>
      </c>
      <c r="CT7" s="12">
        <f>IF('Données projet'!$A$140&gt;35,CT6+CS7-DB6,IF(A7&lt;'Données projet'!$A$140,$CQ$205^A7,IF(A7='Données projet'!$A$140,'Données projet'!$B$140,CT6+CS7-DB6)))</f>
        <v>2.4293487571599597</v>
      </c>
      <c r="CU7" s="17">
        <f>CT7*VLOOKUP('Données projet'!$B$13,Paramètres!$A$1:$I$89,3,0)*VLOOKUP('Données projet'!$B$13,Paramètres!$A$1:$I$89,5,0)</f>
        <v>2.5391553209835904</v>
      </c>
      <c r="CV7" s="13">
        <f t="shared" si="41"/>
        <v>1.0498699414875383</v>
      </c>
      <c r="CW7" s="20">
        <f t="shared" si="13"/>
        <v>6.2508856654705491</v>
      </c>
      <c r="CX7" s="59">
        <f t="shared" si="14"/>
        <v>267.80644122102609</v>
      </c>
      <c r="CY7" s="59">
        <f ca="1">AVERAGE(OFFSET($CX$3,0,0,'Données projet'!$E$13+1,1))-AVERAGE(OFFSET($H$3,0,0,'Données projet'!$E$13+1,1))</f>
        <v>260.65406541614402</v>
      </c>
      <c r="CZ7" s="59">
        <f t="shared" si="42"/>
        <v>277.63456890196886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0.70512820512820507</v>
      </c>
      <c r="DO7" s="12">
        <f>IF('Données projet'!$A$166&gt;35,DO6+DN7-DW6,IF(A7&lt;'Données projet'!$A$166,$DL$205^A7,IF(A7='Données projet'!$A$166,'Données projet'!$B$166,DO6+DN7-DW6)))</f>
        <v>2.1842745957080298</v>
      </c>
      <c r="DP7" s="17">
        <f>DO7*VLOOKUP('Données projet'!$B$14,Paramètres!$A$1:$I$89,3,0)*VLOOKUP('Données projet'!$B$14,Paramètres!$A$1:$I$89,5,0)</f>
        <v>1.4311367151079011</v>
      </c>
      <c r="DQ7" s="13">
        <f t="shared" si="43"/>
        <v>0.6325748272621351</v>
      </c>
      <c r="DR7" s="20">
        <f t="shared" si="16"/>
        <v>3.5942976029611455</v>
      </c>
      <c r="DS7" s="59">
        <f t="shared" si="17"/>
        <v>265.14985315851669</v>
      </c>
      <c r="DT7" s="59">
        <f ca="1">AVERAGE(OFFSET($DS$3,0,0,'Données projet'!$E$14+1,1))-AVERAGE(OFFSET($H$3,0,0,'Données projet'!$E$14+1,1))</f>
        <v>181.4272795535777</v>
      </c>
      <c r="DU7" s="59">
        <f t="shared" si="44"/>
        <v>187.67131775419904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4.3269230769230766</v>
      </c>
      <c r="EJ7" s="12">
        <f>IF('Données projet'!$A$192&gt;35,EJ6+EI7-ER6,IF(A7&lt;'Données projet'!$A$192,$EG$205^A7,IF(A7='Données projet'!$A$192,'Données projet'!$B$192,EJ6+EI7-ER6)))</f>
        <v>3.7306697597957448</v>
      </c>
      <c r="EK7" s="17">
        <f>EJ7*VLOOKUP('Données projet'!$B$15,Paramètres!$A$1:$I$89,3,0)*VLOOKUP('Données projet'!$B$15,Paramètres!$A$1:$I$89,5,0)</f>
        <v>3.0263193091463081</v>
      </c>
      <c r="EL7" s="13">
        <f t="shared" si="45"/>
        <v>1.2259939779265543</v>
      </c>
      <c r="EM7" s="20">
        <f t="shared" si="19"/>
        <v>7.4061123083185683</v>
      </c>
      <c r="EN7" s="59">
        <f t="shared" si="20"/>
        <v>268.96166786387408</v>
      </c>
      <c r="EO7" s="59">
        <f ca="1">AVERAGE(OFFSET($EN$3,0,0,'Données projet'!$E$15+1,1))-AVERAGE(OFFSET($H$3,0,0,'Données projet'!$E$15+1,1))</f>
        <v>159.68591355116837</v>
      </c>
      <c r="EP7" s="59">
        <f t="shared" si="46"/>
        <v>284.32631786390112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2.4666666666666668</v>
      </c>
      <c r="FE7" s="12">
        <f>IF('Données projet'!$A$218&gt;35,FE6+FD7-FM6,IF(A7&lt;'Données projet'!$A$218,$FB$205^A7,IF(A7='Données projet'!$A$218,'Données projet'!$B$218,FE6+FD7-FM6)))</f>
        <v>2.6193113595857573</v>
      </c>
      <c r="FF7" s="17">
        <f>FE7*VLOOKUP('Données projet'!$B$16,Paramètres!$A$1:$I$89,3,0)*VLOOKUP('Données projet'!$B$16,Paramètres!$A$1:$I$89,5,0)</f>
        <v>2.0839241176864287</v>
      </c>
      <c r="FG7" s="13">
        <f t="shared" si="47"/>
        <v>0.88169040068036508</v>
      </c>
      <c r="FH7" s="20">
        <f t="shared" si="22"/>
        <v>5.1651119528221656</v>
      </c>
      <c r="FI7" s="59">
        <f t="shared" si="23"/>
        <v>266.72066750837769</v>
      </c>
      <c r="FJ7" s="59">
        <f ca="1">AVERAGE(OFFSET($FI$3,0,0,'Données projet'!$E$16+1,1))-AVERAGE(OFFSET($H$3,0,0,'Données projet'!$E$16+1,1))</f>
        <v>299.10536994156814</v>
      </c>
      <c r="FK7" s="59">
        <f t="shared" si="48"/>
        <v>292.57799203101769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3.5897435897435899</v>
      </c>
      <c r="FZ7" s="12">
        <f>IF('Données projet'!$A$244&gt;35,FZ6+FY7-GH6,IF(A7&lt;'Données projet'!$A$244,$FW$205^A7,IF(A7='Données projet'!$A$244,'Données projet'!$B$244,FZ6+FY7-GH6)))</f>
        <v>10.074575280182424</v>
      </c>
      <c r="GA7" s="17">
        <f>FZ7*VLOOKUP('Données projet'!$B$17,Paramètres!$A$1:$I$89,3,0)*VLOOKUP('Données projet'!$B$17,Paramètres!$A$1:$I$89,5,0)</f>
        <v>9.1154757135090563</v>
      </c>
      <c r="GB7" s="13">
        <f t="shared" si="49"/>
        <v>3.247978069468509</v>
      </c>
      <c r="GC7" s="20">
        <f t="shared" si="25"/>
        <v>21.533015338685924</v>
      </c>
      <c r="GD7" s="59">
        <f t="shared" si="26"/>
        <v>283.08857089424146</v>
      </c>
      <c r="GE7" s="59">
        <f ca="1">AVERAGE(OFFSET($GD$3,0,0,'Données projet'!$E$17+1,1))-AVERAGE(OFFSET($H$3,0,0,'Données projet'!$E$17+1,1))</f>
        <v>204.78565758021779</v>
      </c>
      <c r="GF7" s="59">
        <f t="shared" si="50"/>
        <v>287.25131613242439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2.6666666666666665</v>
      </c>
      <c r="GU7" s="12">
        <f>IF('Données projet'!$A$270&gt;35,GU6+GT7-HC6,IF(A7&lt;'Données projet'!$A$270,$GR$205^A7,IF(A7='Données projet'!$A$270,'Données projet'!$B$270,GU6+GT7-HC6)))</f>
        <v>2.6743361672197152</v>
      </c>
      <c r="GV7" s="17">
        <f>GU7*VLOOKUP('Données projet'!$B$18,Paramètres!$A$1:$I$89,3,0)*VLOOKUP('Données projet'!$B$18,Paramètres!$A$1:$I$89,5,0)</f>
        <v>2.0859822104313781</v>
      </c>
      <c r="GW7" s="13">
        <f t="shared" si="51"/>
        <v>0.88245976121767966</v>
      </c>
      <c r="GX7" s="20">
        <f t="shared" si="28"/>
        <v>5.1700364339554419</v>
      </c>
      <c r="GY7" s="59">
        <f t="shared" si="29"/>
        <v>266.72559198951097</v>
      </c>
      <c r="GZ7" s="59">
        <f ca="1">AVERAGE(OFFSET($GY$3,0,0,'Données projet'!$E$18+1,1))-AVERAGE(OFFSET($H$3,0,0,'Données projet'!$E$18+1,1))</f>
        <v>288.82868507674738</v>
      </c>
      <c r="HA7" s="59">
        <f t="shared" si="52"/>
        <v>283.48738729114024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5.8890909090909096</v>
      </c>
      <c r="N8" s="13">
        <f>IF('Données projet'!$A$36&gt;35,N7+M8-V7,IF(A8&lt;'Données projet'!$A$36,$K$205^A8,IF(A8='Données projet'!$A$36,'Données projet'!$B$36,N7+M8-V7)))</f>
        <v>3.0206960777814591</v>
      </c>
      <c r="O8" s="13">
        <f>N8*VLOOKUP('Données projet'!$B$9,Paramètres!$A$1:$I$89,3,0)*VLOOKUP('Données projet'!$B$9,Paramètres!$A$1:$I$89,5,0)</f>
        <v>1.8063762545133126</v>
      </c>
      <c r="P8" s="13">
        <f t="shared" si="33"/>
        <v>0.77708370871120902</v>
      </c>
      <c r="Q8" s="20">
        <f t="shared" si="2"/>
        <v>4.4995261026160422</v>
      </c>
      <c r="R8" s="59">
        <f t="shared" si="0"/>
        <v>267.27730388039379</v>
      </c>
      <c r="S8" s="59">
        <f ca="1">AVERAGE(OFFSET($R$3,0,0,'Données projet'!$E$9+1,1))-AVERAGE(OFFSET($H$3,0,0,'Données projet'!$E$9+1,1))</f>
        <v>349.71285006949597</v>
      </c>
      <c r="T8" s="59">
        <f t="shared" si="34"/>
        <v>258.51550516456842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4.016578947368421</v>
      </c>
      <c r="AI8" s="13">
        <f>IF('Données projet'!$A$62&gt;35,AI7+AH8-AQ7,IF(A8&lt;'Données projet'!$A$62,$AF$205^A8,IF(A8='Données projet'!$A$62,'Données projet'!$B$62,AI7+AH8-AQ7)))</f>
        <v>20.082894736842107</v>
      </c>
      <c r="AJ8" s="13">
        <f>AI8*VLOOKUP('Données projet'!$B$10,Paramètres!$A$1:$I$89,3,0)*VLOOKUP('Données projet'!$B$10,Paramètres!$A$1:$I$89,5,0)</f>
        <v>19.110882631578949</v>
      </c>
      <c r="AK8" s="13">
        <f t="shared" si="35"/>
        <v>6.2472909350549983</v>
      </c>
      <c r="AL8" s="20">
        <f t="shared" si="4"/>
        <v>44.16548562855413</v>
      </c>
      <c r="AM8" s="59">
        <f t="shared" si="5"/>
        <v>306.94326340633188</v>
      </c>
      <c r="AN8" s="59">
        <f ca="1">AVERAGE(OFFSET($AM$3,0,0,'Données projet'!$E$10+1,1))-AVERAGE(OFFSET($H$3,0,0,'Données projet'!$E$10+1,1))</f>
        <v>449.28947235329758</v>
      </c>
      <c r="AO8" s="59">
        <f t="shared" si="36"/>
        <v>289.36994109443964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18.522548571428572</v>
      </c>
      <c r="BF8" s="13">
        <f t="shared" si="37"/>
        <v>6.0770448389896208</v>
      </c>
      <c r="BG8" s="20">
        <f t="shared" si="7"/>
        <v>42.84429185647835</v>
      </c>
      <c r="BH8" s="59">
        <f t="shared" si="8"/>
        <v>305.62206963425615</v>
      </c>
      <c r="BI8" s="59">
        <f ca="1">AVERAGE(OFFSET($BH$3,0,0,'Données projet'!$E$11+1,1))-AVERAGE(OFFSET($H$3,0,0,'Données projet'!$E$11+1,1))</f>
        <v>635.71275911100679</v>
      </c>
      <c r="BJ8" s="59">
        <f t="shared" si="38"/>
        <v>281.7776857269169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3.3603333333333336</v>
      </c>
      <c r="BY8" s="12">
        <f>IF('Données projet'!$A$114&gt;35,BY7+BX8-CG7,IF(A8&lt;'Données projet'!$A$114,$BV$205^A8,IF(A8='Données projet'!$A$114,'Données projet'!$B$114,BY7+BX8-CG7)))</f>
        <v>16.801666666666669</v>
      </c>
      <c r="BZ8" s="13">
        <f>BY8*VLOOKUP('Données projet'!$B$12,Paramètres!$A$1:$I$89,3,0)*VLOOKUP('Données projet'!$B$12,Paramètres!$A$1:$I$89,5,0)</f>
        <v>19.133738000000005</v>
      </c>
      <c r="CA8" s="13">
        <f t="shared" si="39"/>
        <v>6.2538921626078503</v>
      </c>
      <c r="CB8" s="20">
        <f t="shared" si="10"/>
        <v>44.216789199875343</v>
      </c>
      <c r="CC8" s="59">
        <f t="shared" si="11"/>
        <v>306.99456697765311</v>
      </c>
      <c r="CD8" s="59">
        <f ca="1">AVERAGE(OFFSET($CC$3,0,0,'Données projet'!$E$12+1,1))-AVERAGE(OFFSET($H$3,0,0,'Données projet'!$E$12+1,1))</f>
        <v>593.28343396240075</v>
      </c>
      <c r="CE8" s="59">
        <f t="shared" si="40"/>
        <v>289.66477662068695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4.2307692307692308</v>
      </c>
      <c r="CT8" s="12">
        <f>IF('Données projet'!$A$140&gt;35,CT7+CS8-DB7,IF(A8&lt;'Données projet'!$A$140,$CQ$205^A8,IF(A8='Données projet'!$A$140,'Données projet'!$B$140,CT7+CS8-DB7)))</f>
        <v>3.0329296249794528</v>
      </c>
      <c r="CU8" s="17">
        <f>CT8*VLOOKUP('Données projet'!$B$13,Paramètres!$A$1:$I$89,3,0)*VLOOKUP('Données projet'!$B$13,Paramètres!$A$1:$I$89,5,0)</f>
        <v>3.1700180440285246</v>
      </c>
      <c r="CV8" s="13">
        <f t="shared" si="41"/>
        <v>1.2772920622916821</v>
      </c>
      <c r="CW8" s="20">
        <f t="shared" si="13"/>
        <v>7.7457317685076932</v>
      </c>
      <c r="CX8" s="59">
        <f t="shared" si="14"/>
        <v>270.52350954628548</v>
      </c>
      <c r="CY8" s="59">
        <f ca="1">AVERAGE(OFFSET($CX$3,0,0,'Données projet'!$E$13+1,1))-AVERAGE(OFFSET($H$3,0,0,'Données projet'!$E$13+1,1))</f>
        <v>260.65406541614402</v>
      </c>
      <c r="CZ8" s="59">
        <f t="shared" si="42"/>
        <v>277.63456890196886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0.70512820512820507</v>
      </c>
      <c r="DO8" s="12">
        <f>IF('Données projet'!$A$166&gt;35,DO7+DN8-DW7,IF(A8&lt;'Données projet'!$A$166,$DL$205^A8,IF(A8='Données projet'!$A$166,'Données projet'!$B$166,DO7+DN8-DW7)))</f>
        <v>2.6554250227189704</v>
      </c>
      <c r="DP8" s="17">
        <f>DO8*VLOOKUP('Données projet'!$B$14,Paramètres!$A$1:$I$89,3,0)*VLOOKUP('Données projet'!$B$14,Paramètres!$A$1:$I$89,5,0)</f>
        <v>1.7398344748854693</v>
      </c>
      <c r="DQ8" s="13">
        <f t="shared" si="43"/>
        <v>0.75173517777502941</v>
      </c>
      <c r="DR8" s="20">
        <f t="shared" si="16"/>
        <v>4.3394838117170345</v>
      </c>
      <c r="DS8" s="59">
        <f t="shared" si="17"/>
        <v>267.11726158949483</v>
      </c>
      <c r="DT8" s="59">
        <f ca="1">AVERAGE(OFFSET($DS$3,0,0,'Données projet'!$E$14+1,1))-AVERAGE(OFFSET($H$3,0,0,'Données projet'!$E$14+1,1))</f>
        <v>181.4272795535777</v>
      </c>
      <c r="DU8" s="59">
        <f t="shared" si="44"/>
        <v>187.67131775419904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4.3269230769230766</v>
      </c>
      <c r="EJ8" s="12">
        <f>IF('Données projet'!$A$192&gt;35,EJ7+EI8-ER7,IF(A8&lt;'Données projet'!$A$192,$EG$205^A8,IF(A8='Données projet'!$A$192,'Données projet'!$B$192,EJ7+EI8-ER7)))</f>
        <v>5.1848179089689577</v>
      </c>
      <c r="EK8" s="17">
        <f>EJ8*VLOOKUP('Données projet'!$B$15,Paramètres!$A$1:$I$89,3,0)*VLOOKUP('Données projet'!$B$15,Paramètres!$A$1:$I$89,5,0)</f>
        <v>4.2059242877556189</v>
      </c>
      <c r="EL8" s="13">
        <f t="shared" si="45"/>
        <v>1.6398194849905503</v>
      </c>
      <c r="EM8" s="20">
        <f t="shared" si="19"/>
        <v>10.181337070866244</v>
      </c>
      <c r="EN8" s="59">
        <f t="shared" si="20"/>
        <v>272.95911484864399</v>
      </c>
      <c r="EO8" s="59">
        <f ca="1">AVERAGE(OFFSET($EN$3,0,0,'Données projet'!$E$15+1,1))-AVERAGE(OFFSET($H$3,0,0,'Données projet'!$E$15+1,1))</f>
        <v>159.68591355116837</v>
      </c>
      <c r="EP8" s="59">
        <f t="shared" si="46"/>
        <v>284.32631786390112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2.4666666666666668</v>
      </c>
      <c r="FE8" s="12">
        <f>IF('Données projet'!$A$218&gt;35,FE7+FD8-FM7,IF(A8&lt;'Données projet'!$A$218,$FB$205^A8,IF(A8='Données projet'!$A$218,'Données projet'!$B$218,FE7+FD8-FM7)))</f>
        <v>3.332221851645953</v>
      </c>
      <c r="FF8" s="17">
        <f>FE8*VLOOKUP('Données projet'!$B$16,Paramètres!$A$1:$I$89,3,0)*VLOOKUP('Données projet'!$B$16,Paramètres!$A$1:$I$89,5,0)</f>
        <v>2.6511157051695204</v>
      </c>
      <c r="FG8" s="13">
        <f t="shared" si="47"/>
        <v>1.0906707059957799</v>
      </c>
      <c r="FH8" s="20">
        <f t="shared" si="22"/>
        <v>6.5169446661128978</v>
      </c>
      <c r="FI8" s="59">
        <f t="shared" si="23"/>
        <v>269.29472244389069</v>
      </c>
      <c r="FJ8" s="59">
        <f ca="1">AVERAGE(OFFSET($FI$3,0,0,'Données projet'!$E$16+1,1))-AVERAGE(OFFSET($H$3,0,0,'Données projet'!$E$16+1,1))</f>
        <v>299.10536994156814</v>
      </c>
      <c r="FK8" s="59">
        <f t="shared" si="48"/>
        <v>292.57799203101769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>
        <f>VLOOKUP(A8,'Données projet'!$A$243:$I$263,2,0)</f>
        <v>17.948717948717949</v>
      </c>
      <c r="FX8" s="12">
        <f>VLOOKUP(A8,'Données projet'!$A$243:$I$263,9,0)</f>
        <v>3.5897435897435899</v>
      </c>
      <c r="FY8" s="12">
        <f t="array" ref="FY8">INDEX(FX:FX,MIN(IF(ISNUMBER(FX8:FX204),ROW(FX8:FX204),"")))</f>
        <v>3.5897435897435899</v>
      </c>
      <c r="FZ8" s="12">
        <f>IF('Données projet'!$A$244&gt;35,FZ7+FY8-GH7,IF(A8&lt;'Données projet'!$A$244,$FW$205^A8,IF(A8='Données projet'!$A$244,'Données projet'!$B$244,FZ7+FY8-GH7)))</f>
        <v>17.948717948717949</v>
      </c>
      <c r="GA8" s="17">
        <f>FZ8*VLOOKUP('Données projet'!$B$17,Paramètres!$A$1:$I$89,3,0)*VLOOKUP('Données projet'!$B$17,Paramètres!$A$1:$I$89,5,0)</f>
        <v>16.239999999999998</v>
      </c>
      <c r="GB8" s="13">
        <f t="shared" si="49"/>
        <v>5.4103564231472481</v>
      </c>
      <c r="GC8" s="20">
        <f t="shared" si="25"/>
        <v>37.707704103648119</v>
      </c>
      <c r="GD8" s="59">
        <f t="shared" si="26"/>
        <v>300.48548188142587</v>
      </c>
      <c r="GE8" s="59">
        <f ca="1">AVERAGE(OFFSET($GD$3,0,0,'Données projet'!$E$17+1,1))-AVERAGE(OFFSET($H$3,0,0,'Données projet'!$E$17+1,1))</f>
        <v>204.78565758021779</v>
      </c>
      <c r="GF8" s="59">
        <f t="shared" si="50"/>
        <v>287.25131613242439</v>
      </c>
      <c r="GG8" s="15">
        <f>IF(ISNA(VLOOKUP(A8,'Données projet'!$A$243:$I$263,3,0)),0,VLOOKUP(A8,'Données projet'!$A$243:$I$263,3,0))</f>
        <v>1</v>
      </c>
      <c r="GH8" s="15">
        <f>IF(ISNA(VLOOKUP(A8,'Données projet'!$A$243:$I$263,4,0)),0,VLOOKUP(A8,'Données projet'!$A$243:$I$263,4,0))</f>
        <v>2.5641025641025639</v>
      </c>
      <c r="GI8" s="16">
        <f>IF(ISNA(VLOOKUP(A8,'Données projet'!$A$243:$I$263,5,0)),0%,VLOOKUP(A8,'Données projet'!$A$243:$I$263,5,0)*VLOOKUP('Données projet'!$B$17,Paramètres!$A$1:$I$89,7,0))</f>
        <v>0.03</v>
      </c>
      <c r="GJ8" s="16">
        <f>IF(ISNA(VLOOKUP(A8,'Données projet'!$A$243:$I$263,6,0)),0%,VLOOKUP(A8,'Données projet'!$A$243:$I$263,6,0)*VLOOKUP('Données projet'!$B$17,Paramètres!$A$1:$I$89,7,0))</f>
        <v>0.12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7.6940738415493301E-2</v>
      </c>
      <c r="GM8" s="21">
        <f>EXP(-LN(2)/25)*GM7+(1-EXP(-LN(2)/25))/(LN(2)/25)*Calculateur!GH8*Calculateur!GJ8*VLOOKUP('Données projet'!$B$17,Paramètres!$A$1:$I$89,3,0)*0.475*44/12</f>
        <v>0.30655117364652723</v>
      </c>
      <c r="GN8" s="21">
        <f>EXP(-LN(2)/2)*GN7+(1-EXP(-LN(2)/2))/(LN(2)/2)*GH8*GK8*VLOOKUP('Données projet'!$B$17,Paramètres!$A$1:$I$89,3,0)*0.475*44/12</f>
        <v>0</v>
      </c>
      <c r="GO8" s="21">
        <f t="shared" si="27"/>
        <v>0.38349191206202055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2.6666666666666665</v>
      </c>
      <c r="GU8" s="12">
        <f>IF('Données projet'!$A$270&gt;35,GU7+GT8-HC7,IF(A8&lt;'Données projet'!$A$270,$GR$205^A8,IF(A8='Données projet'!$A$270,'Données projet'!$B$270,GU7+GT8-HC7)))</f>
        <v>3.4199518933533928</v>
      </c>
      <c r="GV8" s="17">
        <f>GU8*VLOOKUP('Données projet'!$B$18,Paramètres!$A$1:$I$89,3,0)*VLOOKUP('Données projet'!$B$18,Paramètres!$A$1:$I$89,5,0)</f>
        <v>2.6675624768156463</v>
      </c>
      <c r="GW8" s="13">
        <f t="shared" si="51"/>
        <v>1.0966471776471767</v>
      </c>
      <c r="GX8" s="20">
        <f t="shared" si="28"/>
        <v>6.5559984815227494</v>
      </c>
      <c r="GY8" s="59">
        <f t="shared" si="29"/>
        <v>269.33377625930052</v>
      </c>
      <c r="GZ8" s="59">
        <f ca="1">AVERAGE(OFFSET($GY$3,0,0,'Données projet'!$E$18+1,1))-AVERAGE(OFFSET($H$3,0,0,'Données projet'!$E$18+1,1))</f>
        <v>288.82868507674738</v>
      </c>
      <c r="HA8" s="59">
        <f t="shared" si="52"/>
        <v>283.48738729114024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5.8890909090909096</v>
      </c>
      <c r="N9" s="13">
        <f>IF('Données projet'!$A$36&gt;35,N8+M9-V8,IF(A9&lt;'Données projet'!$A$36,$K$205^A9,IF(A9='Données projet'!$A$36,'Données projet'!$B$36,N8+M9-V8)))</f>
        <v>3.7681522162486343</v>
      </c>
      <c r="O9" s="13">
        <f>N9*VLOOKUP('Données projet'!$B$9,Paramètres!$A$1:$I$89,3,0)*VLOOKUP('Données projet'!$B$9,Paramètres!$A$1:$I$89,5,0)</f>
        <v>2.2533550253166834</v>
      </c>
      <c r="P9" s="13">
        <f t="shared" si="33"/>
        <v>0.94474003310844989</v>
      </c>
      <c r="Q9" s="20">
        <f t="shared" si="2"/>
        <v>5.5700155600904404</v>
      </c>
      <c r="R9" s="59">
        <f t="shared" si="0"/>
        <v>269.57001556009044</v>
      </c>
      <c r="S9" s="59">
        <f ca="1">AVERAGE(OFFSET($R$3,0,0,'Données projet'!$E$9+1,1))-AVERAGE(OFFSET($H$3,0,0,'Données projet'!$E$9+1,1))</f>
        <v>349.71285006949597</v>
      </c>
      <c r="T9" s="59">
        <f t="shared" si="34"/>
        <v>258.51550516456842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4.016578947368421</v>
      </c>
      <c r="AI9" s="13">
        <f>IF('Données projet'!$A$62&gt;35,AI8+AH9-AQ8,IF(A9&lt;'Données projet'!$A$62,$AF$205^A9,IF(A9='Données projet'!$A$62,'Données projet'!$B$62,AI8+AH9-AQ8)))</f>
        <v>24.09947368421053</v>
      </c>
      <c r="AJ9" s="13">
        <f>AI9*VLOOKUP('Données projet'!$B$10,Paramètres!$A$1:$I$89,3,0)*VLOOKUP('Données projet'!$B$10,Paramètres!$A$1:$I$89,5,0)</f>
        <v>22.933059157894743</v>
      </c>
      <c r="AK9" s="13">
        <f t="shared" si="35"/>
        <v>7.3393277186968353</v>
      </c>
      <c r="AL9" s="20">
        <f t="shared" si="4"/>
        <v>52.724407143396995</v>
      </c>
      <c r="AM9" s="59">
        <f t="shared" si="5"/>
        <v>316.724407143397</v>
      </c>
      <c r="AN9" s="59">
        <f ca="1">AVERAGE(OFFSET($AM$3,0,0,'Données projet'!$E$10+1,1))-AVERAGE(OFFSET($H$3,0,0,'Données projet'!$E$10+1,1))</f>
        <v>449.28947235329758</v>
      </c>
      <c r="AO9" s="59">
        <f t="shared" si="36"/>
        <v>289.36994109443964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22.227058285714286</v>
      </c>
      <c r="BF9" s="13">
        <f t="shared" si="37"/>
        <v>7.1393223235836674</v>
      </c>
      <c r="BG9" s="20">
        <f t="shared" si="7"/>
        <v>51.146446227860601</v>
      </c>
      <c r="BH9" s="59">
        <f t="shared" si="8"/>
        <v>315.14644622786062</v>
      </c>
      <c r="BI9" s="59">
        <f ca="1">AVERAGE(OFFSET($BH$3,0,0,'Données projet'!$E$11+1,1))-AVERAGE(OFFSET($H$3,0,0,'Données projet'!$E$11+1,1))</f>
        <v>635.71275911100679</v>
      </c>
      <c r="BJ9" s="59">
        <f t="shared" si="38"/>
        <v>281.7776857269169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3.3603333333333336</v>
      </c>
      <c r="BY9" s="12">
        <f>IF('Données projet'!$A$114&gt;35,BY8+BX9-CG8,IF(A9&lt;'Données projet'!$A$114,$BV$205^A9,IF(A9='Données projet'!$A$114,'Données projet'!$B$114,BY8+BX9-CG8)))</f>
        <v>20.162000000000003</v>
      </c>
      <c r="BZ9" s="13">
        <f>BY9*VLOOKUP('Données projet'!$B$12,Paramètres!$A$1:$I$89,3,0)*VLOOKUP('Données projet'!$B$12,Paramètres!$A$1:$I$89,5,0)</f>
        <v>22.960485600000002</v>
      </c>
      <c r="CA9" s="13">
        <f t="shared" si="39"/>
        <v>7.3470828517392546</v>
      </c>
      <c r="CB9" s="20">
        <f t="shared" si="10"/>
        <v>52.785681720112542</v>
      </c>
      <c r="CC9" s="59">
        <f t="shared" si="11"/>
        <v>316.78568172011256</v>
      </c>
      <c r="CD9" s="59">
        <f ca="1">AVERAGE(OFFSET($CC$3,0,0,'Données projet'!$E$12+1,1))-AVERAGE(OFFSET($H$3,0,0,'Données projet'!$E$12+1,1))</f>
        <v>593.28343396240075</v>
      </c>
      <c r="CE9" s="59">
        <f t="shared" si="40"/>
        <v>289.66477662068695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4.2307692307692308</v>
      </c>
      <c r="CT9" s="12">
        <f>IF('Données projet'!$A$140&gt;35,CT8+CS9-DB8,IF(A9&lt;'Données projet'!$A$140,$CQ$205^A9,IF(A9='Données projet'!$A$140,'Données projet'!$B$140,CT8+CS9-DB8)))</f>
        <v>3.7864724375069718</v>
      </c>
      <c r="CU9" s="17">
        <f>CT9*VLOOKUP('Données projet'!$B$13,Paramètres!$A$1:$I$89,3,0)*VLOOKUP('Données projet'!$B$13,Paramètres!$A$1:$I$89,5,0)</f>
        <v>3.9576209916822873</v>
      </c>
      <c r="CV9" s="13">
        <f t="shared" si="41"/>
        <v>1.5539782099883122</v>
      </c>
      <c r="CW9" s="20">
        <f t="shared" si="13"/>
        <v>9.5993686095762936</v>
      </c>
      <c r="CX9" s="59">
        <f t="shared" si="14"/>
        <v>273.59936860957629</v>
      </c>
      <c r="CY9" s="59">
        <f ca="1">AVERAGE(OFFSET($CX$3,0,0,'Données projet'!$E$13+1,1))-AVERAGE(OFFSET($H$3,0,0,'Données projet'!$E$13+1,1))</f>
        <v>260.65406541614402</v>
      </c>
      <c r="CZ9" s="59">
        <f t="shared" si="42"/>
        <v>277.63456890196886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0.70512820512820507</v>
      </c>
      <c r="DO9" s="12">
        <f>IF('Données projet'!$A$166&gt;35,DO8+DN9-DW8,IF(A9&lt;'Données projet'!$A$166,$DL$205^A9,IF(A9='Données projet'!$A$166,'Données projet'!$B$166,DO8+DN9-DW8)))</f>
        <v>3.2282031138105967</v>
      </c>
      <c r="DP9" s="17">
        <f>DO9*VLOOKUP('Données projet'!$B$14,Paramètres!$A$1:$I$89,3,0)*VLOOKUP('Données projet'!$B$14,Paramètres!$A$1:$I$89,5,0)</f>
        <v>2.115118680168703</v>
      </c>
      <c r="DQ9" s="13">
        <f t="shared" si="43"/>
        <v>0.89334218364379947</v>
      </c>
      <c r="DR9" s="20">
        <f t="shared" si="16"/>
        <v>5.2397360044734418</v>
      </c>
      <c r="DS9" s="59">
        <f t="shared" si="17"/>
        <v>269.23973600447346</v>
      </c>
      <c r="DT9" s="59">
        <f ca="1">AVERAGE(OFFSET($DS$3,0,0,'Données projet'!$E$14+1,1))-AVERAGE(OFFSET($H$3,0,0,'Données projet'!$E$14+1,1))</f>
        <v>181.4272795535777</v>
      </c>
      <c r="DU9" s="59">
        <f t="shared" si="44"/>
        <v>187.67131775419904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4.3269230769230766</v>
      </c>
      <c r="EJ9" s="12">
        <f>IF('Données projet'!$A$192&gt;35,EJ8+EI9-ER8,IF(A9&lt;'Données projet'!$A$192,$EG$205^A9,IF(A9='Données projet'!$A$192,'Données projet'!$B$192,EJ8+EI9-ER8)))</f>
        <v>7.2057669212289248</v>
      </c>
      <c r="EK9" s="17">
        <f>EJ9*VLOOKUP('Données projet'!$B$15,Paramètres!$A$1:$I$89,3,0)*VLOOKUP('Données projet'!$B$15,Paramètres!$A$1:$I$89,5,0)</f>
        <v>5.8453181265009047</v>
      </c>
      <c r="EL9" s="13">
        <f t="shared" si="45"/>
        <v>2.1933288350261089</v>
      </c>
      <c r="EM9" s="20">
        <f t="shared" si="19"/>
        <v>14.000643457992881</v>
      </c>
      <c r="EN9" s="59">
        <f t="shared" si="20"/>
        <v>278.00064345799291</v>
      </c>
      <c r="EO9" s="59">
        <f ca="1">AVERAGE(OFFSET($EN$3,0,0,'Données projet'!$E$15+1,1))-AVERAGE(OFFSET($H$3,0,0,'Données projet'!$E$15+1,1))</f>
        <v>159.68591355116837</v>
      </c>
      <c r="EP9" s="59">
        <f t="shared" si="46"/>
        <v>284.32631786390112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2.4666666666666668</v>
      </c>
      <c r="FE9" s="12">
        <f>IF('Données projet'!$A$218&gt;35,FE8+FD9-FM8,IF(A9&lt;'Données projet'!$A$218,$FB$205^A9,IF(A9='Données projet'!$A$218,'Données projet'!$B$218,FE8+FD9-FM8)))</f>
        <v>4.2391685997738069</v>
      </c>
      <c r="FF9" s="17">
        <f>FE9*VLOOKUP('Données projet'!$B$16,Paramètres!$A$1:$I$89,3,0)*VLOOKUP('Données projet'!$B$16,Paramètres!$A$1:$I$89,5,0)</f>
        <v>3.3726825379800407</v>
      </c>
      <c r="FG9" s="13">
        <f t="shared" si="47"/>
        <v>1.3491840083541735</v>
      </c>
      <c r="FH9" s="20">
        <f t="shared" si="22"/>
        <v>8.2239175681987557</v>
      </c>
      <c r="FI9" s="59">
        <f t="shared" si="23"/>
        <v>272.22391756819877</v>
      </c>
      <c r="FJ9" s="59">
        <f ca="1">AVERAGE(OFFSET($FI$3,0,0,'Données projet'!$E$16+1,1))-AVERAGE(OFFSET($H$3,0,0,'Données projet'!$E$16+1,1))</f>
        <v>299.10536994156814</v>
      </c>
      <c r="FK9" s="59">
        <f t="shared" si="48"/>
        <v>292.57799203101769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7.0512820512820511</v>
      </c>
      <c r="FZ9" s="12">
        <f>IF('Données projet'!$A$244&gt;35,FZ8+FY9-GH8,IF(A9&lt;'Données projet'!$A$244,$FW$205^A9,IF(A9='Données projet'!$A$244,'Données projet'!$B$244,FZ8+FY9-GH8)))</f>
        <v>22.435897435897438</v>
      </c>
      <c r="GA9" s="17">
        <f>FZ9*VLOOKUP('Données projet'!$B$17,Paramètres!$A$1:$I$89,3,0)*VLOOKUP('Données projet'!$B$17,Paramètres!$A$1:$I$89,5,0)</f>
        <v>20.3</v>
      </c>
      <c r="GB9" s="13">
        <f t="shared" si="49"/>
        <v>6.5895470611248994</v>
      </c>
      <c r="GC9" s="20">
        <f t="shared" si="25"/>
        <v>46.832627798125863</v>
      </c>
      <c r="GD9" s="59">
        <f t="shared" si="26"/>
        <v>310.83262779812588</v>
      </c>
      <c r="GE9" s="59">
        <f ca="1">AVERAGE(OFFSET($GD$3,0,0,'Données projet'!$E$17+1,1))-AVERAGE(OFFSET($H$3,0,0,'Données projet'!$E$17+1,1))</f>
        <v>204.78565758021779</v>
      </c>
      <c r="GF9" s="59">
        <f t="shared" si="50"/>
        <v>287.25131613242439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7.543197746438203E-2</v>
      </c>
      <c r="GM9" s="21">
        <f>EXP(-LN(2)/25)*GM8+(1-EXP(-LN(2)/25))/(LN(2)/25)*Calculateur!GH9*Calculateur!GJ9*VLOOKUP('Données projet'!$B$17,Paramètres!$A$1:$I$89,3,0)*0.475*44/12</f>
        <v>0.29816851568233738</v>
      </c>
      <c r="GN9" s="21">
        <f>EXP(-LN(2)/2)*GN8+(1-EXP(-LN(2)/2))/(LN(2)/2)*GH9*GK9*VLOOKUP('Données projet'!$B$17,Paramètres!$A$1:$I$89,3,0)*0.475*44/12</f>
        <v>0</v>
      </c>
      <c r="GO9" s="21">
        <f t="shared" si="27"/>
        <v>0.37360049314671939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2.6666666666666665</v>
      </c>
      <c r="GU9" s="12">
        <f>IF('Données projet'!$A$270&gt;35,GU8+GT9-HC8,IF(A9&lt;'Données projet'!$A$270,$GR$205^A9,IF(A9='Données projet'!$A$270,'Données projet'!$B$270,GU8+GT9-HC8)))</f>
        <v>4.3734482957731098</v>
      </c>
      <c r="GV9" s="17">
        <f>GU9*VLOOKUP('Données projet'!$B$18,Paramètres!$A$1:$I$89,3,0)*VLOOKUP('Données projet'!$B$18,Paramètres!$A$1:$I$89,5,0)</f>
        <v>3.4112896707030256</v>
      </c>
      <c r="GW9" s="13">
        <f t="shared" si="51"/>
        <v>1.3628213830192535</v>
      </c>
      <c r="GX9" s="20">
        <f t="shared" si="28"/>
        <v>8.3149100852329703</v>
      </c>
      <c r="GY9" s="59">
        <f t="shared" si="29"/>
        <v>272.31491008523295</v>
      </c>
      <c r="GZ9" s="59">
        <f ca="1">AVERAGE(OFFSET($GY$3,0,0,'Données projet'!$E$18+1,1))-AVERAGE(OFFSET($H$3,0,0,'Données projet'!$E$18+1,1))</f>
        <v>288.82868507674738</v>
      </c>
      <c r="HA9" s="59">
        <f t="shared" si="52"/>
        <v>283.48738729114024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5.8890909090909096</v>
      </c>
      <c r="N10" s="13">
        <f>IF('Données projet'!$A$36&gt;35,N9+M10-V9,IF(A10&lt;'Données projet'!$A$36,$K$205^A10,IF(A10='Données projet'!$A$36,'Données projet'!$B$36,N9+M10-V9)))</f>
        <v>4.7005626382803412</v>
      </c>
      <c r="O10" s="13">
        <f>N10*VLOOKUP('Données projet'!$B$9,Paramètres!$A$1:$I$89,3,0)*VLOOKUP('Données projet'!$B$9,Paramètres!$A$1:$I$89,5,0)</f>
        <v>2.8109364576916445</v>
      </c>
      <c r="P10" s="13">
        <f t="shared" si="33"/>
        <v>1.1485683204426194</v>
      </c>
      <c r="Q10" s="20">
        <f t="shared" si="2"/>
        <v>6.8961374885838422</v>
      </c>
      <c r="R10" s="59">
        <f t="shared" si="0"/>
        <v>272.11835971080609</v>
      </c>
      <c r="S10" s="59">
        <f ca="1">AVERAGE(OFFSET($R$3,0,0,'Données projet'!$E$9+1,1))-AVERAGE(OFFSET($H$3,0,0,'Données projet'!$E$9+1,1))</f>
        <v>349.71285006949597</v>
      </c>
      <c r="T10" s="59">
        <f t="shared" si="34"/>
        <v>258.51550516456842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4.016578947368421</v>
      </c>
      <c r="AI10" s="13">
        <f>IF('Données projet'!$A$62&gt;35,AI9+AH10-AQ9,IF(A10&lt;'Données projet'!$A$62,$AF$205^A10,IF(A10='Données projet'!$A$62,'Données projet'!$B$62,AI9+AH10-AQ9)))</f>
        <v>28.116052631578953</v>
      </c>
      <c r="AJ10" s="13">
        <f>AI10*VLOOKUP('Données projet'!$B$10,Paramètres!$A$1:$I$89,3,0)*VLOOKUP('Données projet'!$B$10,Paramètres!$A$1:$I$89,5,0)</f>
        <v>26.755235684210533</v>
      </c>
      <c r="AK10" s="13">
        <f t="shared" si="35"/>
        <v>8.4102801727490544</v>
      </c>
      <c r="AL10" s="20">
        <f t="shared" si="4"/>
        <v>61.246606784204609</v>
      </c>
      <c r="AM10" s="59">
        <f t="shared" si="5"/>
        <v>326.46882900642686</v>
      </c>
      <c r="AN10" s="59">
        <f ca="1">AVERAGE(OFFSET($AM$3,0,0,'Données projet'!$E$10+1,1))-AVERAGE(OFFSET($H$3,0,0,'Données projet'!$E$10+1,1))</f>
        <v>449.28947235329758</v>
      </c>
      <c r="AO10" s="59">
        <f t="shared" si="36"/>
        <v>289.36994109443964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25.931567999999999</v>
      </c>
      <c r="BF10" s="13">
        <f t="shared" si="37"/>
        <v>8.1810900516051337</v>
      </c>
      <c r="BG10" s="20">
        <f t="shared" si="7"/>
        <v>59.412879439878935</v>
      </c>
      <c r="BH10" s="59">
        <f t="shared" si="8"/>
        <v>324.63510166210119</v>
      </c>
      <c r="BI10" s="59">
        <f ca="1">AVERAGE(OFFSET($BH$3,0,0,'Données projet'!$E$11+1,1))-AVERAGE(OFFSET($H$3,0,0,'Données projet'!$E$11+1,1))</f>
        <v>635.71275911100679</v>
      </c>
      <c r="BJ10" s="59">
        <f t="shared" si="38"/>
        <v>281.7776857269169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3.3603333333333336</v>
      </c>
      <c r="BY10" s="12">
        <f>IF('Données projet'!$A$114&gt;35,BY9+BX10-CG9,IF(A10&lt;'Données projet'!$A$114,$BV$205^A10,IF(A10='Données projet'!$A$114,'Données projet'!$B$114,BY9+BX10-CG9)))</f>
        <v>23.522333333333336</v>
      </c>
      <c r="BZ10" s="13">
        <f>BY10*VLOOKUP('Données projet'!$B$12,Paramètres!$A$1:$I$89,3,0)*VLOOKUP('Données projet'!$B$12,Paramètres!$A$1:$I$89,5,0)</f>
        <v>26.787233200000003</v>
      </c>
      <c r="CA10" s="13">
        <f t="shared" si="39"/>
        <v>8.4191669324310805</v>
      </c>
      <c r="CB10" s="20">
        <f t="shared" si="10"/>
        <v>61.317813563984139</v>
      </c>
      <c r="CC10" s="59">
        <f t="shared" si="11"/>
        <v>326.54003578620637</v>
      </c>
      <c r="CD10" s="59">
        <f ca="1">AVERAGE(OFFSET($CC$3,0,0,'Données projet'!$E$12+1,1))-AVERAGE(OFFSET($H$3,0,0,'Données projet'!$E$12+1,1))</f>
        <v>593.28343396240075</v>
      </c>
      <c r="CE10" s="59">
        <f t="shared" si="40"/>
        <v>289.66477662068695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4.2307692307692308</v>
      </c>
      <c r="CT10" s="12">
        <f>IF('Données projet'!$A$140&gt;35,CT9+CS10-DB9,IF(A10&lt;'Données projet'!$A$140,$CQ$205^A10,IF(A10='Données projet'!$A$140,'Données projet'!$B$140,CT9+CS10-DB9)))</f>
        <v>4.7272358059073394</v>
      </c>
      <c r="CU10" s="17">
        <f>CT10*VLOOKUP('Données projet'!$B$13,Paramètres!$A$1:$I$89,3,0)*VLOOKUP('Données projet'!$B$13,Paramètres!$A$1:$I$89,5,0)</f>
        <v>4.9409068643343517</v>
      </c>
      <c r="CV10" s="13">
        <f t="shared" si="41"/>
        <v>1.8905999249582941</v>
      </c>
      <c r="CW10" s="20">
        <f t="shared" si="13"/>
        <v>11.898207658018023</v>
      </c>
      <c r="CX10" s="59">
        <f t="shared" si="14"/>
        <v>277.12042988024024</v>
      </c>
      <c r="CY10" s="59">
        <f ca="1">AVERAGE(OFFSET($CX$3,0,0,'Données projet'!$E$13+1,1))-AVERAGE(OFFSET($H$3,0,0,'Données projet'!$E$13+1,1))</f>
        <v>260.65406541614402</v>
      </c>
      <c r="CZ10" s="59">
        <f t="shared" si="42"/>
        <v>277.63456890196886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0.70512820512820507</v>
      </c>
      <c r="DO10" s="12">
        <f>IF('Données projet'!$A$166&gt;35,DO9+DN10-DW9,IF(A10&lt;'Données projet'!$A$166,$DL$205^A10,IF(A10='Données projet'!$A$166,'Données projet'!$B$166,DO9+DN10-DW9)))</f>
        <v>3.9245300676370634</v>
      </c>
      <c r="DP10" s="17">
        <f>DO10*VLOOKUP('Données projet'!$B$14,Paramètres!$A$1:$I$89,3,0)*VLOOKUP('Données projet'!$B$14,Paramètres!$A$1:$I$89,5,0)</f>
        <v>2.5713521003158037</v>
      </c>
      <c r="DQ10" s="13">
        <f t="shared" si="43"/>
        <v>1.0616242004791561</v>
      </c>
      <c r="DR10" s="20">
        <f t="shared" si="16"/>
        <v>6.3274337238845542</v>
      </c>
      <c r="DS10" s="59">
        <f t="shared" si="17"/>
        <v>271.54965594610678</v>
      </c>
      <c r="DT10" s="59">
        <f ca="1">AVERAGE(OFFSET($DS$3,0,0,'Données projet'!$E$14+1,1))-AVERAGE(OFFSET($H$3,0,0,'Données projet'!$E$14+1,1))</f>
        <v>181.4272795535777</v>
      </c>
      <c r="DU10" s="59">
        <f t="shared" si="44"/>
        <v>187.67131775419904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4.3269230769230766</v>
      </c>
      <c r="EJ10" s="12">
        <f>IF('Données projet'!$A$192&gt;35,EJ9+EI10-ER9,IF(A10&lt;'Données projet'!$A$192,$EG$205^A10,IF(A10='Données projet'!$A$192,'Données projet'!$B$192,EJ9+EI10-ER9)))</f>
        <v>10.014445605362116</v>
      </c>
      <c r="EK10" s="17">
        <f>EJ10*VLOOKUP('Données projet'!$B$15,Paramètres!$A$1:$I$89,3,0)*VLOOKUP('Données projet'!$B$15,Paramètres!$A$1:$I$89,5,0)</f>
        <v>8.1237182750697503</v>
      </c>
      <c r="EL10" s="13">
        <f t="shared" si="45"/>
        <v>2.933671311135023</v>
      </c>
      <c r="EM10" s="20">
        <f t="shared" si="19"/>
        <v>19.258286862639981</v>
      </c>
      <c r="EN10" s="59">
        <f t="shared" si="20"/>
        <v>284.48050908486221</v>
      </c>
      <c r="EO10" s="59">
        <f ca="1">AVERAGE(OFFSET($EN$3,0,0,'Données projet'!$E$15+1,1))-AVERAGE(OFFSET($H$3,0,0,'Données projet'!$E$15+1,1))</f>
        <v>159.68591355116837</v>
      </c>
      <c r="EP10" s="59">
        <f t="shared" si="46"/>
        <v>284.32631786390112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2.4666666666666668</v>
      </c>
      <c r="FE10" s="12">
        <f>IF('Données projet'!$A$218&gt;35,FE9+FD10-FM9,IF(A10&lt;'Données projet'!$A$218,$FB$205^A10,IF(A10='Données projet'!$A$218,'Données projet'!$B$218,FE9+FD10-FM9)))</f>
        <v>5.3929633792034757</v>
      </c>
      <c r="FF10" s="17">
        <f>FE10*VLOOKUP('Données projet'!$B$16,Paramètres!$A$1:$I$89,3,0)*VLOOKUP('Données projet'!$B$16,Paramètres!$A$1:$I$89,5,0)</f>
        <v>4.2906416644942853</v>
      </c>
      <c r="FG10" s="13">
        <f t="shared" si="47"/>
        <v>1.6689707336887791</v>
      </c>
      <c r="FH10" s="20">
        <f t="shared" si="22"/>
        <v>10.379658260168837</v>
      </c>
      <c r="FI10" s="59">
        <f t="shared" si="23"/>
        <v>275.60188048239104</v>
      </c>
      <c r="FJ10" s="59">
        <f ca="1">AVERAGE(OFFSET($FI$3,0,0,'Données projet'!$E$16+1,1))-AVERAGE(OFFSET($H$3,0,0,'Données projet'!$E$16+1,1))</f>
        <v>299.10536994156814</v>
      </c>
      <c r="FK10" s="59">
        <f t="shared" si="48"/>
        <v>292.57799203101769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7.0512820512820511</v>
      </c>
      <c r="FZ10" s="12">
        <f>IF('Données projet'!$A$244&gt;35,FZ9+FY10-GH9,IF(A10&lt;'Données projet'!$A$244,$FW$205^A10,IF(A10='Données projet'!$A$244,'Données projet'!$B$244,FZ9+FY10-GH9)))</f>
        <v>29.487179487179489</v>
      </c>
      <c r="GA10" s="17">
        <f>FZ10*VLOOKUP('Données projet'!$B$17,Paramètres!$A$1:$I$89,3,0)*VLOOKUP('Données projet'!$B$17,Paramètres!$A$1:$I$89,5,0)</f>
        <v>26.68</v>
      </c>
      <c r="GB10" s="13">
        <f t="shared" si="49"/>
        <v>8.3893798780684392</v>
      </c>
      <c r="GC10" s="20">
        <f t="shared" si="25"/>
        <v>61.079169954302529</v>
      </c>
      <c r="GD10" s="59">
        <f t="shared" si="26"/>
        <v>326.30139217652476</v>
      </c>
      <c r="GE10" s="59">
        <f ca="1">AVERAGE(OFFSET($GD$3,0,0,'Données projet'!$E$17+1,1))-AVERAGE(OFFSET($H$3,0,0,'Données projet'!$E$17+1,1))</f>
        <v>204.78565758021779</v>
      </c>
      <c r="GF10" s="59">
        <f t="shared" si="50"/>
        <v>287.25131613242439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7.3952802395268746E-2</v>
      </c>
      <c r="GM10" s="21">
        <f>EXP(-LN(2)/25)*GM9+(1-EXP(-LN(2)/25))/(LN(2)/25)*Calculateur!GH10*Calculateur!GJ10*VLOOKUP('Données projet'!$B$17,Paramètres!$A$1:$I$89,3,0)*0.475*44/12</f>
        <v>0.29001508194100312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0.36396788433627186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2.6666666666666665</v>
      </c>
      <c r="GU10" s="12">
        <f>IF('Données projet'!$A$270&gt;35,GU9+GT10-HC9,IF(A10&lt;'Données projet'!$A$270,$GR$205^A10,IF(A10='Données projet'!$A$270,'Données projet'!$B$270,GU9+GT10-HC9)))</f>
        <v>5.5927833467405659</v>
      </c>
      <c r="GV10" s="17">
        <f>GU10*VLOOKUP('Données projet'!$B$18,Paramètres!$A$1:$I$89,3,0)*VLOOKUP('Données projet'!$B$18,Paramètres!$A$1:$I$89,5,0)</f>
        <v>4.3623710104576414</v>
      </c>
      <c r="GW10" s="13">
        <f t="shared" si="51"/>
        <v>1.6936004212396314</v>
      </c>
      <c r="GX10" s="20">
        <f t="shared" si="28"/>
        <v>10.54748357687275</v>
      </c>
      <c r="GY10" s="59">
        <f t="shared" si="29"/>
        <v>275.76970579909499</v>
      </c>
      <c r="GZ10" s="59">
        <f ca="1">AVERAGE(OFFSET($GY$3,0,0,'Données projet'!$E$18+1,1))-AVERAGE(OFFSET($H$3,0,0,'Données projet'!$E$18+1,1))</f>
        <v>288.82868507674738</v>
      </c>
      <c r="HA10" s="59">
        <f t="shared" si="52"/>
        <v>283.48738729114024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5.8890909090909096</v>
      </c>
      <c r="N11" s="13">
        <f>IF('Données projet'!$A$36&gt;35,N10+M11-V10,IF(A11&lt;'Données projet'!$A$36,$K$205^A11,IF(A11='Données projet'!$A$36,'Données projet'!$B$36,N10+M11-V10)))</f>
        <v>5.8636933564201668</v>
      </c>
      <c r="O11" s="13">
        <f>N11*VLOOKUP('Données projet'!$B$9,Paramètres!$A$1:$I$89,3,0)*VLOOKUP('Données projet'!$B$9,Paramètres!$A$1:$I$89,5,0)</f>
        <v>3.5064886271392601</v>
      </c>
      <c r="P11" s="13">
        <f t="shared" si="33"/>
        <v>1.3963726956545126</v>
      </c>
      <c r="Q11" s="20">
        <f t="shared" si="2"/>
        <v>8.5391501371991527</v>
      </c>
      <c r="R11" s="59">
        <f t="shared" si="0"/>
        <v>274.98359458164362</v>
      </c>
      <c r="S11" s="59">
        <f ca="1">AVERAGE(OFFSET($R$3,0,0,'Données projet'!$E$9+1,1))-AVERAGE(OFFSET($H$3,0,0,'Données projet'!$E$9+1,1))</f>
        <v>349.71285006949597</v>
      </c>
      <c r="T11" s="59">
        <f t="shared" si="34"/>
        <v>258.51550516456842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4.016578947368421</v>
      </c>
      <c r="AI11" s="13">
        <f>IF('Données projet'!$A$62&gt;35,AI10+AH11-AQ10,IF(A11&lt;'Données projet'!$A$62,$AF$205^A11,IF(A11='Données projet'!$A$62,'Données projet'!$B$62,AI10+AH11-AQ10)))</f>
        <v>32.132631578947375</v>
      </c>
      <c r="AJ11" s="13">
        <f>AI11*VLOOKUP('Données projet'!$B$10,Paramètres!$A$1:$I$89,3,0)*VLOOKUP('Données projet'!$B$10,Paramètres!$A$1:$I$89,5,0)</f>
        <v>30.577412210526322</v>
      </c>
      <c r="AK11" s="13">
        <f t="shared" si="35"/>
        <v>9.4635078802126973</v>
      </c>
      <c r="AL11" s="20">
        <f t="shared" si="4"/>
        <v>69.737935824703797</v>
      </c>
      <c r="AM11" s="59">
        <f t="shared" si="5"/>
        <v>336.18238026914827</v>
      </c>
      <c r="AN11" s="59">
        <f ca="1">AVERAGE(OFFSET($AM$3,0,0,'Données projet'!$E$10+1,1))-AVERAGE(OFFSET($H$3,0,0,'Données projet'!$E$10+1,1))</f>
        <v>449.28947235329758</v>
      </c>
      <c r="AO11" s="59">
        <f t="shared" si="36"/>
        <v>289.36994109443964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29.636077714285712</v>
      </c>
      <c r="BF11" s="13">
        <f t="shared" si="37"/>
        <v>9.205616053429063</v>
      </c>
      <c r="BG11" s="20">
        <f t="shared" si="7"/>
        <v>67.649283312103222</v>
      </c>
      <c r="BH11" s="59">
        <f t="shared" si="8"/>
        <v>334.09372775654765</v>
      </c>
      <c r="BI11" s="59">
        <f ca="1">AVERAGE(OFFSET($BH$3,0,0,'Données projet'!$E$11+1,1))-AVERAGE(OFFSET($H$3,0,0,'Données projet'!$E$11+1,1))</f>
        <v>635.71275911100679</v>
      </c>
      <c r="BJ11" s="59">
        <f t="shared" si="38"/>
        <v>281.7776857269169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3.3603333333333336</v>
      </c>
      <c r="BY11" s="12">
        <f>IF('Données projet'!$A$114&gt;35,BY10+BX11-CG10,IF(A11&lt;'Données projet'!$A$114,$BV$205^A11,IF(A11='Données projet'!$A$114,'Données projet'!$B$114,BY10+BX11-CG10)))</f>
        <v>26.882666666666669</v>
      </c>
      <c r="BZ11" s="13">
        <f>BY11*VLOOKUP('Données projet'!$B$12,Paramètres!$A$1:$I$89,3,0)*VLOOKUP('Données projet'!$B$12,Paramètres!$A$1:$I$89,5,0)</f>
        <v>30.613980800000004</v>
      </c>
      <c r="CA11" s="13">
        <f t="shared" si="39"/>
        <v>9.473507537602579</v>
      </c>
      <c r="CB11" s="20">
        <f t="shared" si="10"/>
        <v>69.819042187991144</v>
      </c>
      <c r="CC11" s="59">
        <f t="shared" si="11"/>
        <v>336.26348663243562</v>
      </c>
      <c r="CD11" s="59">
        <f ca="1">AVERAGE(OFFSET($CC$3,0,0,'Données projet'!$E$12+1,1))-AVERAGE(OFFSET($H$3,0,0,'Données projet'!$E$12+1,1))</f>
        <v>593.28343396240075</v>
      </c>
      <c r="CE11" s="59">
        <f t="shared" si="40"/>
        <v>289.66477662068695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4.2307692307692308</v>
      </c>
      <c r="CT11" s="12">
        <f>IF('Données projet'!$A$140&gt;35,CT10+CS11-DB10,IF(A11&lt;'Données projet'!$A$140,$CQ$205^A11,IF(A11='Données projet'!$A$140,'Données projet'!$B$140,CT10+CS11-DB10)))</f>
        <v>5.9017353839146409</v>
      </c>
      <c r="CU11" s="17">
        <f>CT11*VLOOKUP('Données projet'!$B$13,Paramètres!$A$1:$I$89,3,0)*VLOOKUP('Données projet'!$B$13,Paramètres!$A$1:$I$89,5,0)</f>
        <v>6.1684938232675837</v>
      </c>
      <c r="CV11" s="13">
        <f t="shared" si="41"/>
        <v>2.300140409484372</v>
      </c>
      <c r="CW11" s="20">
        <f t="shared" si="13"/>
        <v>14.749537955376324</v>
      </c>
      <c r="CX11" s="59">
        <f t="shared" si="14"/>
        <v>281.19398239982075</v>
      </c>
      <c r="CY11" s="59">
        <f ca="1">AVERAGE(OFFSET($CX$3,0,0,'Données projet'!$E$13+1,1))-AVERAGE(OFFSET($H$3,0,0,'Données projet'!$E$13+1,1))</f>
        <v>260.65406541614402</v>
      </c>
      <c r="CZ11" s="59">
        <f t="shared" si="42"/>
        <v>277.63456890196886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0.70512820512820507</v>
      </c>
      <c r="DO11" s="12">
        <f>IF('Données projet'!$A$166&gt;35,DO10+DN11-DW10,IF(A11&lt;'Données projet'!$A$166,$DL$205^A11,IF(A11='Données projet'!$A$166,'Données projet'!$B$166,DO10+DN11-DW10)))</f>
        <v>4.7710555094554774</v>
      </c>
      <c r="DP11" s="17">
        <f>DO11*VLOOKUP('Données projet'!$B$14,Paramètres!$A$1:$I$89,3,0)*VLOOKUP('Données projet'!$B$14,Paramètres!$A$1:$I$89,5,0)</f>
        <v>3.1259955697952284</v>
      </c>
      <c r="DQ11" s="13">
        <f t="shared" si="43"/>
        <v>1.2616060941463305</v>
      </c>
      <c r="DR11" s="20">
        <f t="shared" si="16"/>
        <v>7.6417395646982156</v>
      </c>
      <c r="DS11" s="59">
        <f t="shared" si="17"/>
        <v>274.0861840091427</v>
      </c>
      <c r="DT11" s="59">
        <f ca="1">AVERAGE(OFFSET($DS$3,0,0,'Données projet'!$E$14+1,1))-AVERAGE(OFFSET($H$3,0,0,'Données projet'!$E$14+1,1))</f>
        <v>181.4272795535777</v>
      </c>
      <c r="DU11" s="59">
        <f t="shared" si="44"/>
        <v>187.67131775419904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4.3269230769230766</v>
      </c>
      <c r="EJ11" s="12">
        <f>IF('Données projet'!$A$192&gt;35,EJ10+EI11-ER10,IF(A11&lt;'Données projet'!$A$192,$EG$205^A11,IF(A11='Données projet'!$A$192,'Données projet'!$B$192,EJ10+EI11-ER10)))</f>
        <v>13.917896856654441</v>
      </c>
      <c r="EK11" s="17">
        <f>EJ11*VLOOKUP('Données projet'!$B$15,Paramètres!$A$1:$I$89,3,0)*VLOOKUP('Données projet'!$B$15,Paramètres!$A$1:$I$89,5,0)</f>
        <v>11.290197930118083</v>
      </c>
      <c r="EL11" s="13">
        <f t="shared" si="45"/>
        <v>3.9239111000308502</v>
      </c>
      <c r="EM11" s="20">
        <f t="shared" si="19"/>
        <v>26.497906560842722</v>
      </c>
      <c r="EN11" s="59">
        <f t="shared" si="20"/>
        <v>292.94235100528715</v>
      </c>
      <c r="EO11" s="59">
        <f ca="1">AVERAGE(OFFSET($EN$3,0,0,'Données projet'!$E$15+1,1))-AVERAGE(OFFSET($H$3,0,0,'Données projet'!$E$15+1,1))</f>
        <v>159.68591355116837</v>
      </c>
      <c r="EP11" s="59">
        <f t="shared" si="46"/>
        <v>284.32631786390112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2.4666666666666668</v>
      </c>
      <c r="FE11" s="12">
        <f>IF('Données projet'!$A$218&gt;35,FE10+FD11-FM10,IF(A11&lt;'Données projet'!$A$218,$FB$205^A11,IF(A11='Données projet'!$A$218,'Données projet'!$B$218,FE10+FD11-FM10)))</f>
        <v>6.8607919984549888</v>
      </c>
      <c r="FF11" s="17">
        <f>FE11*VLOOKUP('Données projet'!$B$16,Paramètres!$A$1:$I$89,3,0)*VLOOKUP('Données projet'!$B$16,Paramètres!$A$1:$I$89,5,0)</f>
        <v>5.4584461139707896</v>
      </c>
      <c r="FG11" s="13">
        <f t="shared" si="47"/>
        <v>2.0645540509389519</v>
      </c>
      <c r="FH11" s="20">
        <f t="shared" si="22"/>
        <v>13.102558620551131</v>
      </c>
      <c r="FI11" s="59">
        <f t="shared" si="23"/>
        <v>279.54700306499558</v>
      </c>
      <c r="FJ11" s="59">
        <f ca="1">AVERAGE(OFFSET($FI$3,0,0,'Données projet'!$E$16+1,1))-AVERAGE(OFFSET($H$3,0,0,'Données projet'!$E$16+1,1))</f>
        <v>299.10536994156814</v>
      </c>
      <c r="FK11" s="59">
        <f t="shared" si="48"/>
        <v>292.57799203101769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7.0512820512820511</v>
      </c>
      <c r="FZ11" s="12">
        <f>IF('Données projet'!$A$244&gt;35,FZ10+FY11-GH10,IF(A11&lt;'Données projet'!$A$244,$FW$205^A11,IF(A11='Données projet'!$A$244,'Données projet'!$B$244,FZ10+FY11-GH10)))</f>
        <v>36.53846153846154</v>
      </c>
      <c r="GA11" s="17">
        <f>FZ11*VLOOKUP('Données projet'!$B$17,Paramètres!$A$1:$I$89,3,0)*VLOOKUP('Données projet'!$B$17,Paramètres!$A$1:$I$89,5,0)</f>
        <v>33.06</v>
      </c>
      <c r="GB11" s="13">
        <f t="shared" si="49"/>
        <v>10.139302086554652</v>
      </c>
      <c r="GC11" s="20">
        <f t="shared" si="25"/>
        <v>75.238784467416025</v>
      </c>
      <c r="GD11" s="59">
        <f t="shared" si="26"/>
        <v>341.68322891186051</v>
      </c>
      <c r="GE11" s="59">
        <f ca="1">AVERAGE(OFFSET($GD$3,0,0,'Données projet'!$E$17+1,1))-AVERAGE(OFFSET($H$3,0,0,'Données projet'!$E$17+1,1))</f>
        <v>204.78565758021779</v>
      </c>
      <c r="GF11" s="59">
        <f t="shared" si="50"/>
        <v>287.25131613242439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7.2502633047053067E-2</v>
      </c>
      <c r="GM11" s="21">
        <f>EXP(-LN(2)/25)*GM10+(1-EXP(-LN(2)/25))/(LN(2)/25)*Calculateur!GH11*Calculateur!GJ11*VLOOKUP('Données projet'!$B$17,Paramètres!$A$1:$I$89,3,0)*0.475*44/12</f>
        <v>0.28208460427409604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0.35458723732114911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2.6666666666666665</v>
      </c>
      <c r="GU11" s="12">
        <f>IF('Données projet'!$A$270&gt;35,GU10+GT11-HC10,IF(A11&lt;'Données projet'!$A$270,$GR$205^A11,IF(A11='Données projet'!$A$270,'Données projet'!$B$270,GU10+GT11-HC10)))</f>
        <v>7.1520739352994367</v>
      </c>
      <c r="GV11" s="17">
        <f>GU11*VLOOKUP('Données projet'!$B$18,Paramètres!$A$1:$I$89,3,0)*VLOOKUP('Données projet'!$B$18,Paramètres!$A$1:$I$89,5,0)</f>
        <v>5.5786176695335605</v>
      </c>
      <c r="GW11" s="13">
        <f t="shared" si="51"/>
        <v>2.1046649418345189</v>
      </c>
      <c r="GX11" s="20">
        <f t="shared" si="28"/>
        <v>13.381717214799407</v>
      </c>
      <c r="GY11" s="59">
        <f t="shared" si="29"/>
        <v>279.82616165924384</v>
      </c>
      <c r="GZ11" s="59">
        <f ca="1">AVERAGE(OFFSET($GY$3,0,0,'Données projet'!$E$18+1,1))-AVERAGE(OFFSET($H$3,0,0,'Données projet'!$E$18+1,1))</f>
        <v>288.82868507674738</v>
      </c>
      <c r="HA11" s="59">
        <f t="shared" si="52"/>
        <v>283.48738729114024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5.8890909090909096</v>
      </c>
      <c r="N12" s="13">
        <f>IF('Données projet'!$A$36&gt;35,N11+M12-V11,IF(A12&lt;'Données projet'!$A$36,$K$205^A12,IF(A12='Données projet'!$A$36,'Données projet'!$B$36,N11+M12-V11)))</f>
        <v>7.3146349541476745</v>
      </c>
      <c r="O12" s="13">
        <f>N12*VLOOKUP('Données projet'!$B$9,Paramètres!$A$1:$I$89,3,0)*VLOOKUP('Données projet'!$B$9,Paramètres!$A$1:$I$89,5,0)</f>
        <v>4.3741517025803098</v>
      </c>
      <c r="P12" s="13">
        <f t="shared" si="33"/>
        <v>1.6976410288053578</v>
      </c>
      <c r="Q12" s="20">
        <f t="shared" si="2"/>
        <v>10.575039007163371</v>
      </c>
      <c r="R12" s="59">
        <f t="shared" si="0"/>
        <v>278.24170567383004</v>
      </c>
      <c r="S12" s="59">
        <f ca="1">AVERAGE(OFFSET($R$3,0,0,'Données projet'!$E$9+1,1))-AVERAGE(OFFSET($H$3,0,0,'Données projet'!$E$9+1,1))</f>
        <v>349.71285006949597</v>
      </c>
      <c r="T12" s="59">
        <f t="shared" si="34"/>
        <v>258.51550516456842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4.016578947368421</v>
      </c>
      <c r="AI12" s="13">
        <f>IF('Données projet'!$A$62&gt;35,AI11+AH12-AQ11,IF(A12&lt;'Données projet'!$A$62,$AF$205^A12,IF(A12='Données projet'!$A$62,'Données projet'!$B$62,AI11+AH12-AQ11)))</f>
        <v>36.149210526315798</v>
      </c>
      <c r="AJ12" s="13">
        <f>AI12*VLOOKUP('Données projet'!$B$10,Paramètres!$A$1:$I$89,3,0)*VLOOKUP('Données projet'!$B$10,Paramètres!$A$1:$I$89,5,0)</f>
        <v>34.399588736842112</v>
      </c>
      <c r="AK12" s="13">
        <f t="shared" si="35"/>
        <v>10.501480177330832</v>
      </c>
      <c r="AL12" s="20">
        <f t="shared" si="4"/>
        <v>78.202695025517883</v>
      </c>
      <c r="AM12" s="59">
        <f t="shared" si="5"/>
        <v>345.86936169218455</v>
      </c>
      <c r="AN12" s="59">
        <f ca="1">AVERAGE(OFFSET($AM$3,0,0,'Données projet'!$E$10+1,1))-AVERAGE(OFFSET($H$3,0,0,'Données projet'!$E$10+1,1))</f>
        <v>449.28947235329758</v>
      </c>
      <c r="AO12" s="59">
        <f t="shared" si="36"/>
        <v>289.36994109443964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33.340587428571432</v>
      </c>
      <c r="BF12" s="13">
        <f t="shared" si="37"/>
        <v>10.215302372953809</v>
      </c>
      <c r="BG12" s="20">
        <f t="shared" si="7"/>
        <v>75.85984140432312</v>
      </c>
      <c r="BH12" s="59">
        <f t="shared" si="8"/>
        <v>343.52650807098979</v>
      </c>
      <c r="BI12" s="59">
        <f ca="1">AVERAGE(OFFSET($BH$3,0,0,'Données projet'!$E$11+1,1))-AVERAGE(OFFSET($H$3,0,0,'Données projet'!$E$11+1,1))</f>
        <v>635.71275911100679</v>
      </c>
      <c r="BJ12" s="59">
        <f t="shared" si="38"/>
        <v>281.7776857269169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3.3603333333333336</v>
      </c>
      <c r="BY12" s="12">
        <f>IF('Données projet'!$A$114&gt;35,BY11+BX12-CG11,IF(A12&lt;'Données projet'!$A$114,$BV$205^A12,IF(A12='Données projet'!$A$114,'Données projet'!$B$114,BY11+BX12-CG11)))</f>
        <v>30.243000000000002</v>
      </c>
      <c r="BZ12" s="13">
        <f>BY12*VLOOKUP('Données projet'!$B$12,Paramètres!$A$1:$I$89,3,0)*VLOOKUP('Données projet'!$B$12,Paramètres!$A$1:$I$89,5,0)</f>
        <v>34.440728400000005</v>
      </c>
      <c r="CA12" s="13">
        <f t="shared" si="39"/>
        <v>10.512576612731865</v>
      </c>
      <c r="CB12" s="20">
        <f t="shared" si="10"/>
        <v>78.293672897174659</v>
      </c>
      <c r="CC12" s="59">
        <f t="shared" si="11"/>
        <v>345.96033956384133</v>
      </c>
      <c r="CD12" s="59">
        <f ca="1">AVERAGE(OFFSET($CC$3,0,0,'Données projet'!$E$12+1,1))-AVERAGE(OFFSET($H$3,0,0,'Données projet'!$E$12+1,1))</f>
        <v>593.28343396240075</v>
      </c>
      <c r="CE12" s="59">
        <f t="shared" si="40"/>
        <v>289.66477662068695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4.2307692307692308</v>
      </c>
      <c r="CT12" s="12">
        <f>IF('Données projet'!$A$140&gt;35,CT11+CS12-DB11,IF(A12&lt;'Données projet'!$A$140,$CQ$205^A12,IF(A12='Données projet'!$A$140,'Données projet'!$B$140,CT11+CS12-DB11)))</f>
        <v>7.3680438149974572</v>
      </c>
      <c r="CU12" s="17">
        <f>CT12*VLOOKUP('Données projet'!$B$13,Paramètres!$A$1:$I$89,3,0)*VLOOKUP('Données projet'!$B$13,Paramètres!$A$1:$I$89,5,0)</f>
        <v>7.7010793954353423</v>
      </c>
      <c r="CV12" s="13">
        <f t="shared" si="41"/>
        <v>2.7983952783980159</v>
      </c>
      <c r="CW12" s="20">
        <f t="shared" si="13"/>
        <v>18.28658505692643</v>
      </c>
      <c r="CX12" s="59">
        <f t="shared" si="14"/>
        <v>285.9532517235931</v>
      </c>
      <c r="CY12" s="59">
        <f ca="1">AVERAGE(OFFSET($CX$3,0,0,'Données projet'!$E$13+1,1))-AVERAGE(OFFSET($H$3,0,0,'Données projet'!$E$13+1,1))</f>
        <v>260.65406541614402</v>
      </c>
      <c r="CZ12" s="59">
        <f t="shared" si="42"/>
        <v>277.63456890196886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0.70512820512820507</v>
      </c>
      <c r="DO12" s="12">
        <f>IF('Données projet'!$A$166&gt;35,DO11+DN12-DW11,IF(A12&lt;'Données projet'!$A$166,$DL$205^A12,IF(A12='Données projet'!$A$166,'Données projet'!$B$166,DO11+DN12-DW11)))</f>
        <v>5.8001774179324652</v>
      </c>
      <c r="DP12" s="17">
        <f>DO12*VLOOKUP('Données projet'!$B$14,Paramètres!$A$1:$I$89,3,0)*VLOOKUP('Données projet'!$B$14,Paramètres!$A$1:$I$89,5,0)</f>
        <v>3.8002762442293512</v>
      </c>
      <c r="DQ12" s="13">
        <f t="shared" si="43"/>
        <v>1.4992592822100139</v>
      </c>
      <c r="DR12" s="20">
        <f t="shared" si="16"/>
        <v>9.230024375215228</v>
      </c>
      <c r="DS12" s="59">
        <f t="shared" si="17"/>
        <v>276.89669104188192</v>
      </c>
      <c r="DT12" s="59">
        <f ca="1">AVERAGE(OFFSET($DS$3,0,0,'Données projet'!$E$14+1,1))-AVERAGE(OFFSET($H$3,0,0,'Données projet'!$E$14+1,1))</f>
        <v>181.4272795535777</v>
      </c>
      <c r="DU12" s="59">
        <f t="shared" si="44"/>
        <v>187.67131775419904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4.3269230769230766</v>
      </c>
      <c r="EJ12" s="12">
        <f>IF('Données projet'!$A$192&gt;35,EJ11+EI12-ER11,IF(A12&lt;'Données projet'!$A$192,$EG$205^A12,IF(A12='Données projet'!$A$192,'Données projet'!$B$192,EJ11+EI12-ER11)))</f>
        <v>19.342843383037899</v>
      </c>
      <c r="EK12" s="17">
        <f>EJ12*VLOOKUP('Données projet'!$B$15,Paramètres!$A$1:$I$89,3,0)*VLOOKUP('Données projet'!$B$15,Paramètres!$A$1:$I$89,5,0)</f>
        <v>15.690914552320345</v>
      </c>
      <c r="EL12" s="13">
        <f t="shared" si="45"/>
        <v>5.2483992540351334</v>
      </c>
      <c r="EM12" s="20">
        <f t="shared" si="19"/>
        <v>36.469304879402451</v>
      </c>
      <c r="EN12" s="59">
        <f t="shared" si="20"/>
        <v>304.13597154606913</v>
      </c>
      <c r="EO12" s="59">
        <f ca="1">AVERAGE(OFFSET($EN$3,0,0,'Données projet'!$E$15+1,1))-AVERAGE(OFFSET($H$3,0,0,'Données projet'!$E$15+1,1))</f>
        <v>159.68591355116837</v>
      </c>
      <c r="EP12" s="59">
        <f t="shared" si="46"/>
        <v>284.32631786390112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2.4666666666666668</v>
      </c>
      <c r="FE12" s="12">
        <f>IF('Données projet'!$A$218&gt;35,FE11+FD12-FM11,IF(A12&lt;'Données projet'!$A$218,$FB$205^A12,IF(A12='Données projet'!$A$218,'Données projet'!$B$218,FE11+FD12-FM11)))</f>
        <v>8.7281265486761299</v>
      </c>
      <c r="FF12" s="17">
        <f>FE12*VLOOKUP('Données projet'!$B$16,Paramètres!$A$1:$I$89,3,0)*VLOOKUP('Données projet'!$B$16,Paramètres!$A$1:$I$89,5,0)</f>
        <v>6.9440974821267289</v>
      </c>
      <c r="FG12" s="13">
        <f t="shared" si="47"/>
        <v>2.5538994442566798</v>
      </c>
      <c r="FH12" s="20">
        <f t="shared" si="22"/>
        <v>16.542344646784436</v>
      </c>
      <c r="FI12" s="59">
        <f t="shared" si="23"/>
        <v>284.20901131345113</v>
      </c>
      <c r="FJ12" s="59">
        <f ca="1">AVERAGE(OFFSET($FI$3,0,0,'Données projet'!$E$16+1,1))-AVERAGE(OFFSET($H$3,0,0,'Données projet'!$E$16+1,1))</f>
        <v>299.10536994156814</v>
      </c>
      <c r="FK12" s="59">
        <f t="shared" si="48"/>
        <v>292.57799203101769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7.0512820512820511</v>
      </c>
      <c r="FZ12" s="12">
        <f>IF('Données projet'!$A$244&gt;35,FZ11+FY12-GH11,IF(A12&lt;'Données projet'!$A$244,$FW$205^A12,IF(A12='Données projet'!$A$244,'Données projet'!$B$244,FZ11+FY12-GH11)))</f>
        <v>43.589743589743591</v>
      </c>
      <c r="GA12" s="17">
        <f>FZ12*VLOOKUP('Données projet'!$B$17,Paramètres!$A$1:$I$89,3,0)*VLOOKUP('Données projet'!$B$17,Paramètres!$A$1:$I$89,5,0)</f>
        <v>39.44</v>
      </c>
      <c r="GB12" s="13">
        <f t="shared" si="49"/>
        <v>11.850097271031869</v>
      </c>
      <c r="GC12" s="20">
        <f t="shared" si="25"/>
        <v>89.330252747047155</v>
      </c>
      <c r="GD12" s="59">
        <f t="shared" si="26"/>
        <v>356.99691941371384</v>
      </c>
      <c r="GE12" s="59">
        <f ca="1">AVERAGE(OFFSET($GD$3,0,0,'Données projet'!$E$17+1,1))-AVERAGE(OFFSET($H$3,0,0,'Données projet'!$E$17+1,1))</f>
        <v>204.78565758021779</v>
      </c>
      <c r="GF12" s="59">
        <f t="shared" si="50"/>
        <v>287.25131613242439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7.1080900635239933E-2</v>
      </c>
      <c r="GM12" s="21">
        <f>EXP(-LN(2)/25)*GM11+(1-EXP(-LN(2)/25))/(LN(2)/25)*Calculateur!GH12*Calculateur!GJ12*VLOOKUP('Données projet'!$B$17,Paramètres!$A$1:$I$89,3,0)*0.475*44/12</f>
        <v>0.27437098593603626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0.34545188657127618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2.6666666666666665</v>
      </c>
      <c r="GU12" s="12">
        <f>IF('Données projet'!$A$270&gt;35,GU11+GT12-HC11,IF(A12&lt;'Données projet'!$A$270,$GR$205^A12,IF(A12='Données projet'!$A$270,'Données projet'!$B$270,GU11+GT12-HC11)))</f>
        <v>9.1461010385465205</v>
      </c>
      <c r="GV12" s="17">
        <f>GU12*VLOOKUP('Données projet'!$B$18,Paramètres!$A$1:$I$89,3,0)*VLOOKUP('Données projet'!$B$18,Paramètres!$A$1:$I$89,5,0)</f>
        <v>7.1339588100662858</v>
      </c>
      <c r="GW12" s="13">
        <f t="shared" si="51"/>
        <v>2.6155015444227643</v>
      </c>
      <c r="GX12" s="20">
        <f t="shared" si="28"/>
        <v>16.980310117401761</v>
      </c>
      <c r="GY12" s="59">
        <f t="shared" si="29"/>
        <v>284.64697678406844</v>
      </c>
      <c r="GZ12" s="59">
        <f ca="1">AVERAGE(OFFSET($GY$3,0,0,'Données projet'!$E$18+1,1))-AVERAGE(OFFSET($H$3,0,0,'Données projet'!$E$18+1,1))</f>
        <v>288.82868507674738</v>
      </c>
      <c r="HA12" s="59">
        <f t="shared" si="52"/>
        <v>283.48738729114024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5.8890909090909096</v>
      </c>
      <c r="N13" s="13">
        <f>IF('Données projet'!$A$36&gt;35,N12+M13-V12,IF(A13&lt;'Données projet'!$A$36,$K$205^A13,IF(A13='Données projet'!$A$36,'Données projet'!$B$36,N12+M13-V12)))</f>
        <v>9.1246047943242932</v>
      </c>
      <c r="O13" s="13">
        <f>N13*VLOOKUP('Données projet'!$B$9,Paramètres!$A$1:$I$89,3,0)*VLOOKUP('Données projet'!$B$9,Paramètres!$A$1:$I$89,5,0)</f>
        <v>5.456513667005928</v>
      </c>
      <c r="P13" s="13">
        <f t="shared" si="33"/>
        <v>2.0639082042007839</v>
      </c>
      <c r="Q13" s="20">
        <f t="shared" si="2"/>
        <v>13.098068092351689</v>
      </c>
      <c r="R13" s="59">
        <f t="shared" si="0"/>
        <v>281.98695698124055</v>
      </c>
      <c r="S13" s="59">
        <f ca="1">AVERAGE(OFFSET($R$3,0,0,'Données projet'!$E$9+1,1))-AVERAGE(OFFSET($H$3,0,0,'Données projet'!$E$9+1,1))</f>
        <v>349.71285006949597</v>
      </c>
      <c r="T13" s="59">
        <f t="shared" si="34"/>
        <v>258.51550516456842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4.016578947368421</v>
      </c>
      <c r="AI13" s="13">
        <f>IF('Données projet'!$A$62&gt;35,AI12+AH13-AQ12,IF(A13&lt;'Données projet'!$A$62,$AF$205^A13,IF(A13='Données projet'!$A$62,'Données projet'!$B$62,AI12+AH13-AQ12)))</f>
        <v>40.165789473684221</v>
      </c>
      <c r="AJ13" s="13">
        <f>AI13*VLOOKUP('Données projet'!$B$10,Paramètres!$A$1:$I$89,3,0)*VLOOKUP('Données projet'!$B$10,Paramètres!$A$1:$I$89,5,0)</f>
        <v>38.221765263157906</v>
      </c>
      <c r="AK13" s="13">
        <f t="shared" si="35"/>
        <v>11.52608546697418</v>
      </c>
      <c r="AL13" s="20">
        <f t="shared" si="4"/>
        <v>86.644173354980055</v>
      </c>
      <c r="AM13" s="59">
        <f t="shared" si="5"/>
        <v>355.53306224386893</v>
      </c>
      <c r="AN13" s="59">
        <f ca="1">AVERAGE(OFFSET($AM$3,0,0,'Données projet'!$E$10+1,1))-AVERAGE(OFFSET($H$3,0,0,'Données projet'!$E$10+1,1))</f>
        <v>449.28947235329758</v>
      </c>
      <c r="AO13" s="59">
        <f t="shared" si="36"/>
        <v>289.36994109443964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37.045097142857145</v>
      </c>
      <c r="BF13" s="13">
        <f t="shared" si="37"/>
        <v>11.211985951829543</v>
      </c>
      <c r="BG13" s="20">
        <f t="shared" si="7"/>
        <v>84.04775305657931</v>
      </c>
      <c r="BH13" s="59">
        <f t="shared" si="8"/>
        <v>352.93664194546818</v>
      </c>
      <c r="BI13" s="59">
        <f ca="1">AVERAGE(OFFSET($BH$3,0,0,'Données projet'!$E$11+1,1))-AVERAGE(OFFSET($H$3,0,0,'Données projet'!$E$11+1,1))</f>
        <v>635.71275911100679</v>
      </c>
      <c r="BJ13" s="59">
        <f t="shared" si="38"/>
        <v>281.7776857269169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3.3603333333333336</v>
      </c>
      <c r="BY13" s="12">
        <f>IF('Données projet'!$A$114&gt;35,BY12+BX13-CG12,IF(A13&lt;'Données projet'!$A$114,$BV$205^A13,IF(A13='Données projet'!$A$114,'Données projet'!$B$114,BY12+BX13-CG12)))</f>
        <v>33.603333333333339</v>
      </c>
      <c r="BZ13" s="13">
        <f>BY13*VLOOKUP('Données projet'!$B$12,Paramètres!$A$1:$I$89,3,0)*VLOOKUP('Données projet'!$B$12,Paramètres!$A$1:$I$89,5,0)</f>
        <v>38.267476000000009</v>
      </c>
      <c r="CA13" s="13">
        <f t="shared" si="39"/>
        <v>11.538264556078891</v>
      </c>
      <c r="CB13" s="20">
        <f t="shared" si="10"/>
        <v>86.744998135170761</v>
      </c>
      <c r="CC13" s="59">
        <f t="shared" si="11"/>
        <v>355.63388702405962</v>
      </c>
      <c r="CD13" s="59">
        <f ca="1">AVERAGE(OFFSET($CC$3,0,0,'Données projet'!$E$12+1,1))-AVERAGE(OFFSET($H$3,0,0,'Données projet'!$E$12+1,1))</f>
        <v>593.28343396240075</v>
      </c>
      <c r="CE13" s="59">
        <f t="shared" si="40"/>
        <v>289.66477662068695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4.2307692307692308</v>
      </c>
      <c r="CT13" s="12">
        <f>IF('Données projet'!$A$140&gt;35,CT12+CS13-DB12,IF(A13&lt;'Données projet'!$A$140,$CQ$205^A13,IF(A13='Données projet'!$A$140,'Données projet'!$B$140,CT12+CS13-DB12)))</f>
        <v>9.1986621100780059</v>
      </c>
      <c r="CU13" s="17">
        <f>CT13*VLOOKUP('Données projet'!$B$13,Paramètres!$A$1:$I$89,3,0)*VLOOKUP('Données projet'!$B$13,Paramètres!$A$1:$I$89,5,0)</f>
        <v>9.6144416374535329</v>
      </c>
      <c r="CV13" s="13">
        <f t="shared" si="41"/>
        <v>3.4045817819946955</v>
      </c>
      <c r="CW13" s="20">
        <f t="shared" si="13"/>
        <v>22.674799122205659</v>
      </c>
      <c r="CX13" s="59">
        <f t="shared" si="14"/>
        <v>291.56368801109454</v>
      </c>
      <c r="CY13" s="59">
        <f ca="1">AVERAGE(OFFSET($CX$3,0,0,'Données projet'!$E$13+1,1))-AVERAGE(OFFSET($H$3,0,0,'Données projet'!$E$13+1,1))</f>
        <v>260.65406541614402</v>
      </c>
      <c r="CZ13" s="59">
        <f t="shared" si="42"/>
        <v>277.63456890196886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7.0512820512820511</v>
      </c>
      <c r="DM13" s="12">
        <f>VLOOKUP(A13,'Données projet'!$A$165:$I$185,9,0)</f>
        <v>0.70512820512820507</v>
      </c>
      <c r="DN13" s="12">
        <f t="array" ref="DN13">INDEX(DM:DM,MIN(IF(ISNUMBER(DM13:DM209),ROW(DM13:DM209),"")))</f>
        <v>0.70512820512820507</v>
      </c>
      <c r="DO13" s="12">
        <f>IF('Données projet'!$A$166&gt;35,DO12+DN13-DW12,IF(A13&lt;'Données projet'!$A$166,$DL$205^A13,IF(A13='Données projet'!$A$166,'Données projet'!$B$166,DO12+DN13-DW12)))</f>
        <v>7.0512820512820511</v>
      </c>
      <c r="DP13" s="17">
        <f>DO13*VLOOKUP('Données projet'!$B$14,Paramètres!$A$1:$I$89,3,0)*VLOOKUP('Données projet'!$B$14,Paramètres!$A$1:$I$89,5,0)</f>
        <v>4.62</v>
      </c>
      <c r="DQ13" s="13">
        <f t="shared" si="43"/>
        <v>1.7816800392152941</v>
      </c>
      <c r="DR13" s="20">
        <f t="shared" si="16"/>
        <v>11.149592734966637</v>
      </c>
      <c r="DS13" s="59">
        <f t="shared" si="17"/>
        <v>280.03848162385549</v>
      </c>
      <c r="DT13" s="59">
        <f ca="1">AVERAGE(OFFSET($DS$3,0,0,'Données projet'!$E$14+1,1))-AVERAGE(OFFSET($H$3,0,0,'Données projet'!$E$14+1,1))</f>
        <v>181.4272795535777</v>
      </c>
      <c r="DU13" s="59">
        <f t="shared" si="44"/>
        <v>187.67131775419904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0.64102564102564097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0.1075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4.9715465122631836E-2</v>
      </c>
      <c r="EC13" s="21">
        <f>EXP(-LN(2)/2)*EC12+(1-EXP(-LN(2)/2))/(LN(2)/2)*DW13*DZ13*VLOOKUP('Données projet'!$B$14,Paramètres!$A$1:$I$89,3,0)*0.475*44/12</f>
        <v>9.9070326033565748E-2</v>
      </c>
      <c r="ED13" s="22">
        <f t="shared" si="18"/>
        <v>0.14878579115619758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4.3269230769230766</v>
      </c>
      <c r="EJ13" s="12">
        <f>IF('Données projet'!$A$192&gt;35,EJ12+EI13-ER12,IF(A13&lt;'Données projet'!$A$192,$EG$205^A13,IF(A13='Données projet'!$A$192,'Données projet'!$B$192,EJ12+EI13-ER12)))</f>
        <v>26.882336749165237</v>
      </c>
      <c r="EK13" s="17">
        <f>EJ13*VLOOKUP('Données projet'!$B$15,Paramètres!$A$1:$I$89,3,0)*VLOOKUP('Données projet'!$B$15,Paramètres!$A$1:$I$89,5,0)</f>
        <v>21.806951570922841</v>
      </c>
      <c r="EL13" s="13">
        <f t="shared" si="45"/>
        <v>7.0199589204607564</v>
      </c>
      <c r="EM13" s="20">
        <f t="shared" si="19"/>
        <v>50.206869105826428</v>
      </c>
      <c r="EN13" s="59">
        <f t="shared" si="20"/>
        <v>319.09575799471531</v>
      </c>
      <c r="EO13" s="59">
        <f ca="1">AVERAGE(OFFSET($EN$3,0,0,'Données projet'!$E$15+1,1))-AVERAGE(OFFSET($H$3,0,0,'Données projet'!$E$15+1,1))</f>
        <v>159.68591355116837</v>
      </c>
      <c r="EP13" s="59">
        <f t="shared" si="46"/>
        <v>284.32631786390112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2.4666666666666668</v>
      </c>
      <c r="FE13" s="12">
        <f>IF('Données projet'!$A$218&gt;35,FE12+FD13-FM12,IF(A13&lt;'Données projet'!$A$218,$FB$205^A13,IF(A13='Données projet'!$A$218,'Données projet'!$B$218,FE12+FD13-FM12)))</f>
        <v>11.103702468586782</v>
      </c>
      <c r="FF13" s="17">
        <f>FE13*VLOOKUP('Données projet'!$B$16,Paramètres!$A$1:$I$89,3,0)*VLOOKUP('Données projet'!$B$16,Paramètres!$A$1:$I$89,5,0)</f>
        <v>8.8341056840076444</v>
      </c>
      <c r="FG13" s="13">
        <f t="shared" si="47"/>
        <v>3.1592306185484516</v>
      </c>
      <c r="FH13" s="20">
        <f t="shared" si="22"/>
        <v>20.888394060285197</v>
      </c>
      <c r="FI13" s="59">
        <f t="shared" si="23"/>
        <v>289.77728294917404</v>
      </c>
      <c r="FJ13" s="59">
        <f ca="1">AVERAGE(OFFSET($FI$3,0,0,'Données projet'!$E$16+1,1))-AVERAGE(OFFSET($H$3,0,0,'Données projet'!$E$16+1,1))</f>
        <v>299.10536994156814</v>
      </c>
      <c r="FK13" s="59">
        <f t="shared" si="48"/>
        <v>292.57799203101769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50.641025641025642</v>
      </c>
      <c r="FX13" s="12">
        <f>VLOOKUP(A13,'Données projet'!$A$243:$I$263,9,0)</f>
        <v>7.0512820512820511</v>
      </c>
      <c r="FY13" s="12">
        <f t="array" ref="FY13">INDEX(FX:FX,MIN(IF(ISNUMBER(FX13:FX209),ROW(FX13:FX209),"")))</f>
        <v>7.0512820512820511</v>
      </c>
      <c r="FZ13" s="12">
        <f>IF('Données projet'!$A$244&gt;35,FZ12+FY13-GH12,IF(A13&lt;'Données projet'!$A$244,$FW$205^A13,IF(A13='Données projet'!$A$244,'Données projet'!$B$244,FZ12+FY13-GH12)))</f>
        <v>50.641025641025642</v>
      </c>
      <c r="GA13" s="17">
        <f>FZ13*VLOOKUP('Données projet'!$B$17,Paramètres!$A$1:$I$89,3,0)*VLOOKUP('Données projet'!$B$17,Paramètres!$A$1:$I$89,5,0)</f>
        <v>45.82</v>
      </c>
      <c r="GB13" s="13">
        <f t="shared" si="49"/>
        <v>13.528833061265388</v>
      </c>
      <c r="GC13" s="20">
        <f t="shared" si="25"/>
        <v>103.36588424837055</v>
      </c>
      <c r="GD13" s="59">
        <f t="shared" si="26"/>
        <v>372.25477313725941</v>
      </c>
      <c r="GE13" s="59">
        <f ca="1">AVERAGE(OFFSET($GD$3,0,0,'Données projet'!$E$17+1,1))-AVERAGE(OFFSET($H$3,0,0,'Données projet'!$E$17+1,1))</f>
        <v>204.78565758021779</v>
      </c>
      <c r="GF13" s="59">
        <f t="shared" si="50"/>
        <v>287.25131613242439</v>
      </c>
      <c r="GG13" s="15">
        <f>IF(ISNA(VLOOKUP(A13,'Données projet'!$A$243:$I$263,3,0)),0,VLOOKUP(A13,'Données projet'!$A$243:$I$263,3,0))</f>
        <v>2</v>
      </c>
      <c r="GH13" s="15">
        <f>IF(ISNA(VLOOKUP(A13,'Données projet'!$A$243:$I$263,4,0)),0,VLOOKUP(A13,'Données projet'!$A$243:$I$263,4,0))</f>
        <v>13.461538461538462</v>
      </c>
      <c r="GI13" s="16">
        <f>IF(ISNA(VLOOKUP(A13,'Données projet'!$A$243:$I$263,5,0)),0%,VLOOKUP(A13,'Données projet'!$A$243:$I$263,5,0)*VLOOKUP('Données projet'!$B$17,Paramètres!$A$1:$I$89,7,0))</f>
        <v>0.03</v>
      </c>
      <c r="GJ13" s="16">
        <f>IF(ISNA(VLOOKUP(A13,'Données projet'!$A$243:$I$263,6,0)),0%,VLOOKUP(A13,'Données projet'!$A$243:$I$263,6,0)*VLOOKUP('Données projet'!$B$17,Paramètres!$A$1:$I$89,7,0))</f>
        <v>0.12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0.47362592421019123</v>
      </c>
      <c r="GM13" s="21">
        <f>EXP(-LN(2)/25)*GM12+(1-EXP(-LN(2)/25))/(LN(2)/25)*Calculateur!GH13*Calculateur!GJ13*VLOOKUP('Données projet'!$B$17,Paramètres!$A$1:$I$89,3,0)*0.475*44/12</f>
        <v>1.87626195854134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2.3498878827515313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2.6666666666666665</v>
      </c>
      <c r="GU13" s="12">
        <f>IF('Données projet'!$A$270&gt;35,GU12+GT13-HC12,IF(A13&lt;'Données projet'!$A$270,$GR$205^A13,IF(A13='Données projet'!$A$270,'Données projet'!$B$270,GU12+GT13-HC12)))</f>
        <v>11.696070952851455</v>
      </c>
      <c r="GV13" s="17">
        <f>GU13*VLOOKUP('Données projet'!$B$18,Paramètres!$A$1:$I$89,3,0)*VLOOKUP('Données projet'!$B$18,Paramètres!$A$1:$I$89,5,0)</f>
        <v>9.1229353432241354</v>
      </c>
      <c r="GW13" s="13">
        <f t="shared" si="51"/>
        <v>3.2503265450485803</v>
      </c>
      <c r="GX13" s="20">
        <f t="shared" si="28"/>
        <v>21.550097788741649</v>
      </c>
      <c r="GY13" s="59">
        <f t="shared" si="29"/>
        <v>290.43898667763051</v>
      </c>
      <c r="GZ13" s="59">
        <f ca="1">AVERAGE(OFFSET($GY$3,0,0,'Données projet'!$E$18+1,1))-AVERAGE(OFFSET($H$3,0,0,'Données projet'!$E$18+1,1))</f>
        <v>288.82868507674738</v>
      </c>
      <c r="HA13" s="59">
        <f t="shared" si="52"/>
        <v>283.48738729114024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5.8890909090909096</v>
      </c>
      <c r="N14" s="13">
        <f>IF('Données projet'!$A$36&gt;35,N13+M14-V13,IF(A14&lt;'Données projet'!$A$36,$K$205^A14,IF(A14='Données projet'!$A$36,'Données projet'!$B$36,N13+M14-V13)))</f>
        <v>11.382442620105763</v>
      </c>
      <c r="O14" s="13">
        <f>N14*VLOOKUP('Données projet'!$B$9,Paramètres!$A$1:$I$89,3,0)*VLOOKUP('Données projet'!$B$9,Paramètres!$A$1:$I$89,5,0)</f>
        <v>6.8067006868232474</v>
      </c>
      <c r="P14" s="13">
        <f t="shared" si="33"/>
        <v>2.5091977650686839</v>
      </c>
      <c r="Q14" s="20">
        <f t="shared" si="2"/>
        <v>16.225189803711778</v>
      </c>
      <c r="R14" s="59">
        <f t="shared" si="0"/>
        <v>286.33630091482291</v>
      </c>
      <c r="S14" s="59">
        <f ca="1">AVERAGE(OFFSET($R$3,0,0,'Données projet'!$E$9+1,1))-AVERAGE(OFFSET($H$3,0,0,'Données projet'!$E$9+1,1))</f>
        <v>349.71285006949597</v>
      </c>
      <c r="T14" s="59">
        <f t="shared" si="34"/>
        <v>258.51550516456842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4.016578947368421</v>
      </c>
      <c r="AI14" s="13">
        <f>IF('Données projet'!$A$62&gt;35,AI13+AH14-AQ13,IF(A14&lt;'Données projet'!$A$62,$AF$205^A14,IF(A14='Données projet'!$A$62,'Données projet'!$B$62,AI13+AH14-AQ13)))</f>
        <v>44.182368421052644</v>
      </c>
      <c r="AJ14" s="13">
        <f>AI14*VLOOKUP('Données projet'!$B$10,Paramètres!$A$1:$I$89,3,0)*VLOOKUP('Données projet'!$B$10,Paramètres!$A$1:$I$89,5,0)</f>
        <v>42.043941789473699</v>
      </c>
      <c r="AK14" s="13">
        <f t="shared" si="35"/>
        <v>12.538812616073887</v>
      </c>
      <c r="AL14" s="20">
        <f t="shared" si="4"/>
        <v>95.064963922995389</v>
      </c>
      <c r="AM14" s="59">
        <f t="shared" si="5"/>
        <v>365.17607503410653</v>
      </c>
      <c r="AN14" s="59">
        <f ca="1">AVERAGE(OFFSET($AM$3,0,0,'Données projet'!$E$10+1,1))-AVERAGE(OFFSET($H$3,0,0,'Données projet'!$E$10+1,1))</f>
        <v>449.28947235329758</v>
      </c>
      <c r="AO14" s="59">
        <f t="shared" si="36"/>
        <v>289.36994109443964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40.749606857142865</v>
      </c>
      <c r="BF14" s="13">
        <f t="shared" si="37"/>
        <v>12.197115083595657</v>
      </c>
      <c r="BG14" s="20">
        <f t="shared" si="7"/>
        <v>92.215540713452924</v>
      </c>
      <c r="BH14" s="59">
        <f t="shared" si="8"/>
        <v>362.32665182456407</v>
      </c>
      <c r="BI14" s="59">
        <f ca="1">AVERAGE(OFFSET($BH$3,0,0,'Données projet'!$E$11+1,1))-AVERAGE(OFFSET($H$3,0,0,'Données projet'!$E$11+1,1))</f>
        <v>635.71275911100679</v>
      </c>
      <c r="BJ14" s="59">
        <f t="shared" si="38"/>
        <v>281.7776857269169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3.3603333333333336</v>
      </c>
      <c r="BY14" s="12">
        <f>IF('Données projet'!$A$114&gt;35,BY13+BX14-CG13,IF(A14&lt;'Données projet'!$A$114,$BV$205^A14,IF(A14='Données projet'!$A$114,'Données projet'!$B$114,BY13+BX14-CG13)))</f>
        <v>36.963666666666676</v>
      </c>
      <c r="BZ14" s="13">
        <f>BY14*VLOOKUP('Données projet'!$B$12,Paramètres!$A$1:$I$89,3,0)*VLOOKUP('Données projet'!$B$12,Paramètres!$A$1:$I$89,5,0)</f>
        <v>42.094223600000007</v>
      </c>
      <c r="CA14" s="13">
        <f t="shared" si="39"/>
        <v>12.552061807792626</v>
      </c>
      <c r="CB14" s="20">
        <f t="shared" si="10"/>
        <v>95.175613751905487</v>
      </c>
      <c r="CC14" s="59">
        <f t="shared" si="11"/>
        <v>365.28672486301662</v>
      </c>
      <c r="CD14" s="59">
        <f ca="1">AVERAGE(OFFSET($CC$3,0,0,'Données projet'!$E$12+1,1))-AVERAGE(OFFSET($H$3,0,0,'Données projet'!$E$12+1,1))</f>
        <v>593.28343396240075</v>
      </c>
      <c r="CE14" s="59">
        <f t="shared" si="40"/>
        <v>289.66477662068695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4.2307692307692308</v>
      </c>
      <c r="CT14" s="12">
        <f>IF('Données projet'!$A$140&gt;35,CT13+CS14-DB13,IF(A14&lt;'Données projet'!$A$140,$CQ$205^A14,IF(A14='Données projet'!$A$140,'Données projet'!$B$140,CT13+CS14-DB13)))</f>
        <v>11.484104429883056</v>
      </c>
      <c r="CU14" s="17">
        <f>CT14*VLOOKUP('Données projet'!$B$13,Paramètres!$A$1:$I$89,3,0)*VLOOKUP('Données projet'!$B$13,Paramètres!$A$1:$I$89,5,0)</f>
        <v>12.003185950113771</v>
      </c>
      <c r="CV14" s="13">
        <f t="shared" si="41"/>
        <v>4.1420799984074144</v>
      </c>
      <c r="CW14" s="20">
        <f t="shared" si="13"/>
        <v>28.119671527007728</v>
      </c>
      <c r="CX14" s="59">
        <f t="shared" si="14"/>
        <v>298.23078263811885</v>
      </c>
      <c r="CY14" s="59">
        <f ca="1">AVERAGE(OFFSET($CX$3,0,0,'Données projet'!$E$13+1,1))-AVERAGE(OFFSET($H$3,0,0,'Données projet'!$E$13+1,1))</f>
        <v>260.65406541614402</v>
      </c>
      <c r="CZ14" s="59">
        <f t="shared" si="42"/>
        <v>277.63456890196886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4.3589743589743595</v>
      </c>
      <c r="DO14" s="12">
        <f>IF('Données projet'!$A$166&gt;35,DO13+DN14-DW13,IF(A14&lt;'Données projet'!$A$166,$DL$205^A14,IF(A14='Données projet'!$A$166,'Données projet'!$B$166,DO13+DN14-DW13)))</f>
        <v>10.76923076923077</v>
      </c>
      <c r="DP14" s="17">
        <f>DO14*VLOOKUP('Données projet'!$B$14,Paramètres!$A$1:$I$89,3,0)*VLOOKUP('Données projet'!$B$14,Paramètres!$A$1:$I$89,5,0)</f>
        <v>7.056</v>
      </c>
      <c r="DQ14" s="13">
        <f t="shared" si="43"/>
        <v>2.590230537601772</v>
      </c>
      <c r="DR14" s="20">
        <f t="shared" si="16"/>
        <v>16.800518186323085</v>
      </c>
      <c r="DS14" s="59">
        <f t="shared" si="17"/>
        <v>286.91162929743422</v>
      </c>
      <c r="DT14" s="59">
        <f ca="1">AVERAGE(OFFSET($DS$3,0,0,'Données projet'!$E$14+1,1))-AVERAGE(OFFSET($H$3,0,0,'Données projet'!$E$14+1,1))</f>
        <v>181.4272795535777</v>
      </c>
      <c r="DU14" s="59">
        <f t="shared" si="44"/>
        <v>187.67131775419904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4.8355993114430784E-2</v>
      </c>
      <c r="EC14" s="21">
        <f>EXP(-LN(2)/2)*EC13+(1-EXP(-LN(2)/2))/(LN(2)/2)*DW14*DZ14*VLOOKUP('Données projet'!$B$14,Paramètres!$A$1:$I$89,3,0)*0.475*44/12</f>
        <v>7.0053299352696496E-2</v>
      </c>
      <c r="ED14" s="22">
        <f t="shared" si="18"/>
        <v>0.11840929246712728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4.3269230769230766</v>
      </c>
      <c r="EJ14" s="12">
        <f>IF('Données projet'!$A$192&gt;35,EJ13+EI14-ER13,IF(A14&lt;'Données projet'!$A$192,$EG$205^A14,IF(A14='Données projet'!$A$192,'Données projet'!$B$192,EJ13+EI14-ER13)))</f>
        <v>37.360589381043837</v>
      </c>
      <c r="EK14" s="17">
        <f>EJ14*VLOOKUP('Données projet'!$B$15,Paramètres!$A$1:$I$89,3,0)*VLOOKUP('Données projet'!$B$15,Paramètres!$A$1:$I$89,5,0)</f>
        <v>30.306910105902762</v>
      </c>
      <c r="EL14" s="13">
        <f t="shared" si="45"/>
        <v>9.3894958938325139</v>
      </c>
      <c r="EM14" s="20">
        <f t="shared" si="19"/>
        <v>69.137907116205596</v>
      </c>
      <c r="EN14" s="59">
        <f t="shared" si="20"/>
        <v>339.24901822731675</v>
      </c>
      <c r="EO14" s="59">
        <f ca="1">AVERAGE(OFFSET($EN$3,0,0,'Données projet'!$E$15+1,1))-AVERAGE(OFFSET($H$3,0,0,'Données projet'!$E$15+1,1))</f>
        <v>159.68591355116837</v>
      </c>
      <c r="EP14" s="59">
        <f t="shared" si="46"/>
        <v>284.32631786390112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2.4666666666666668</v>
      </c>
      <c r="FE14" s="12">
        <f>IF('Données projet'!$A$218&gt;35,FE13+FD14-FM13,IF(A14&lt;'Données projet'!$A$218,$FB$205^A14,IF(A14='Données projet'!$A$218,'Données projet'!$B$218,FE13+FD14-FM13)))</f>
        <v>14.125850240977657</v>
      </c>
      <c r="FF14" s="17">
        <f>FE14*VLOOKUP('Données projet'!$B$16,Paramètres!$A$1:$I$89,3,0)*VLOOKUP('Données projet'!$B$16,Paramètres!$A$1:$I$89,5,0)</f>
        <v>11.238526451721825</v>
      </c>
      <c r="FG14" s="13">
        <f t="shared" si="47"/>
        <v>3.9080387928425129</v>
      </c>
      <c r="FH14" s="20">
        <f t="shared" si="22"/>
        <v>26.380267800949554</v>
      </c>
      <c r="FI14" s="59">
        <f t="shared" si="23"/>
        <v>296.49137891206067</v>
      </c>
      <c r="FJ14" s="59">
        <f ca="1">AVERAGE(OFFSET($FI$3,0,0,'Données projet'!$E$16+1,1))-AVERAGE(OFFSET($H$3,0,0,'Données projet'!$E$16+1,1))</f>
        <v>299.10536994156814</v>
      </c>
      <c r="FK14" s="59">
        <f t="shared" si="48"/>
        <v>292.57799203101769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7.0512820512820493</v>
      </c>
      <c r="FZ14" s="12">
        <f>IF('Données projet'!$A$244&gt;35,FZ13+FY14-GH13,IF(A14&lt;'Données projet'!$A$244,$FW$205^A14,IF(A14='Données projet'!$A$244,'Données projet'!$B$244,FZ13+FY14-GH13)))</f>
        <v>44.230769230769234</v>
      </c>
      <c r="GA14" s="17">
        <f>FZ14*VLOOKUP('Données projet'!$B$17,Paramètres!$A$1:$I$89,3,0)*VLOOKUP('Données projet'!$B$17,Paramètres!$A$1:$I$89,5,0)</f>
        <v>40.020000000000003</v>
      </c>
      <c r="GB14" s="13">
        <f t="shared" si="49"/>
        <v>12.003947754669428</v>
      </c>
      <c r="GC14" s="20">
        <f t="shared" si="25"/>
        <v>90.608375672715923</v>
      </c>
      <c r="GD14" s="59">
        <f t="shared" si="26"/>
        <v>360.71948678382705</v>
      </c>
      <c r="GE14" s="59">
        <f ca="1">AVERAGE(OFFSET($GD$3,0,0,'Données projet'!$E$17+1,1))-AVERAGE(OFFSET($H$3,0,0,'Données projet'!$E$17+1,1))</f>
        <v>204.78565758021779</v>
      </c>
      <c r="GF14" s="59">
        <f t="shared" si="50"/>
        <v>287.25131613242439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0.46433840871971827</v>
      </c>
      <c r="GM14" s="21">
        <f>EXP(-LN(2)/25)*GM13+(1-EXP(-LN(2)/25))/(LN(2)/25)*Calculateur!GH14*Calculateur!GJ14*VLOOKUP('Données projet'!$B$17,Paramètres!$A$1:$I$89,3,0)*0.475*44/12</f>
        <v>1.8249554766166989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2.2892938853364173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2.6666666666666665</v>
      </c>
      <c r="GU14" s="12">
        <f>IF('Données projet'!$A$270&gt;35,GU13+GT14-HC13,IF(A14&lt;'Données projet'!$A$270,$GR$205^A14,IF(A14='Données projet'!$A$270,'Données projet'!$B$270,GU13+GT14-HC13)))</f>
        <v>14.956982779612416</v>
      </c>
      <c r="GV14" s="17">
        <f>GU14*VLOOKUP('Données projet'!$B$18,Paramètres!$A$1:$I$89,3,0)*VLOOKUP('Données projet'!$B$18,Paramètres!$A$1:$I$89,5,0)</f>
        <v>11.666446568097685</v>
      </c>
      <c r="GW14" s="13">
        <f t="shared" si="51"/>
        <v>4.0392339557111736</v>
      </c>
      <c r="GX14" s="20">
        <f t="shared" si="28"/>
        <v>27.354060245633761</v>
      </c>
      <c r="GY14" s="59">
        <f t="shared" si="29"/>
        <v>297.46517135674492</v>
      </c>
      <c r="GZ14" s="59">
        <f ca="1">AVERAGE(OFFSET($GY$3,0,0,'Données projet'!$E$18+1,1))-AVERAGE(OFFSET($H$3,0,0,'Données projet'!$E$18+1,1))</f>
        <v>288.82868507674738</v>
      </c>
      <c r="HA14" s="59">
        <f t="shared" si="52"/>
        <v>283.48738729114024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5.8890909090909096</v>
      </c>
      <c r="N15" s="13">
        <f>IF('Données projet'!$A$36&gt;35,N14+M15-V14,IF(A15&lt;'Données projet'!$A$36,$K$205^A15,IF(A15='Données projet'!$A$36,'Données projet'!$B$36,N14+M15-V14)))</f>
        <v>14.198971124819497</v>
      </c>
      <c r="O15" s="13">
        <f>N15*VLOOKUP('Données projet'!$B$9,Paramètres!$A$1:$I$89,3,0)*VLOOKUP('Données projet'!$B$9,Paramètres!$A$1:$I$89,5,0)</f>
        <v>8.49098473264206</v>
      </c>
      <c r="P15" s="13">
        <f t="shared" si="33"/>
        <v>3.0505588433685857</v>
      </c>
      <c r="Q15" s="20">
        <f t="shared" si="2"/>
        <v>20.10152172821854</v>
      </c>
      <c r="R15" s="59">
        <f t="shared" si="0"/>
        <v>291.43485506155184</v>
      </c>
      <c r="S15" s="59">
        <f ca="1">AVERAGE(OFFSET($R$3,0,0,'Données projet'!$E$9+1,1))-AVERAGE(OFFSET($H$3,0,0,'Données projet'!$E$9+1,1))</f>
        <v>349.71285006949597</v>
      </c>
      <c r="T15" s="59">
        <f t="shared" si="34"/>
        <v>258.51550516456842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4.016578947368421</v>
      </c>
      <c r="AI15" s="13">
        <f>IF('Données projet'!$A$62&gt;35,AI14+AH15-AQ14,IF(A15&lt;'Données projet'!$A$62,$AF$205^A15,IF(A15='Données projet'!$A$62,'Données projet'!$B$62,AI14+AH15-AQ14)))</f>
        <v>48.198947368421067</v>
      </c>
      <c r="AJ15" s="13">
        <f>AI15*VLOOKUP('Données projet'!$B$10,Paramètres!$A$1:$I$89,3,0)*VLOOKUP('Données projet'!$B$10,Paramètres!$A$1:$I$89,5,0)</f>
        <v>45.866118315789485</v>
      </c>
      <c r="AK15" s="13">
        <f t="shared" si="35"/>
        <v>13.540864261844654</v>
      </c>
      <c r="AL15" s="20">
        <f t="shared" si="4"/>
        <v>103.4671613227128</v>
      </c>
      <c r="AM15" s="59">
        <f t="shared" si="5"/>
        <v>374.80049465604611</v>
      </c>
      <c r="AN15" s="59">
        <f ca="1">AVERAGE(OFFSET($AM$3,0,0,'Données projet'!$E$10+1,1))-AVERAGE(OFFSET($H$3,0,0,'Données projet'!$E$10+1,1))</f>
        <v>449.28947235329758</v>
      </c>
      <c r="AO15" s="59">
        <f t="shared" si="36"/>
        <v>289.36994109443964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44.454116571428585</v>
      </c>
      <c r="BF15" s="13">
        <f t="shared" si="37"/>
        <v>13.17185963217473</v>
      </c>
      <c r="BG15" s="20">
        <f t="shared" si="7"/>
        <v>100.36524188794243</v>
      </c>
      <c r="BH15" s="59">
        <f t="shared" si="8"/>
        <v>371.69857522127575</v>
      </c>
      <c r="BI15" s="59">
        <f ca="1">AVERAGE(OFFSET($BH$3,0,0,'Données projet'!$E$11+1,1))-AVERAGE(OFFSET($H$3,0,0,'Données projet'!$E$11+1,1))</f>
        <v>635.71275911100679</v>
      </c>
      <c r="BJ15" s="59">
        <f t="shared" si="38"/>
        <v>281.7776857269169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3.3603333333333336</v>
      </c>
      <c r="BY15" s="12">
        <f>IF('Données projet'!$A$114&gt;35,BY14+BX15-CG14,IF(A15&lt;'Données projet'!$A$114,$BV$205^A15,IF(A15='Données projet'!$A$114,'Données projet'!$B$114,BY14+BX15-CG14)))</f>
        <v>40.324000000000012</v>
      </c>
      <c r="BZ15" s="13">
        <f>BY15*VLOOKUP('Données projet'!$B$12,Paramètres!$A$1:$I$89,3,0)*VLOOKUP('Données projet'!$B$12,Paramètres!$A$1:$I$89,5,0)</f>
        <v>45.920971200000018</v>
      </c>
      <c r="CA15" s="13">
        <f t="shared" si="39"/>
        <v>13.555172275859681</v>
      </c>
      <c r="CB15" s="20">
        <f t="shared" si="10"/>
        <v>103.58761655378898</v>
      </c>
      <c r="CC15" s="59">
        <f t="shared" si="11"/>
        <v>374.92094988712228</v>
      </c>
      <c r="CD15" s="59">
        <f ca="1">AVERAGE(OFFSET($CC$3,0,0,'Données projet'!$E$12+1,1))-AVERAGE(OFFSET($H$3,0,0,'Données projet'!$E$12+1,1))</f>
        <v>593.28343396240075</v>
      </c>
      <c r="CE15" s="59">
        <f t="shared" si="40"/>
        <v>289.66477662068695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4.2307692307692308</v>
      </c>
      <c r="CT15" s="12">
        <f>IF('Données projet'!$A$140&gt;35,CT14+CS15-DB14,IF(A15&lt;'Données projet'!$A$140,$CQ$205^A15,IF(A15='Données projet'!$A$140,'Données projet'!$B$140,CT14+CS15-DB14)))</f>
        <v>14.337373519999991</v>
      </c>
      <c r="CU15" s="17">
        <f>CT15*VLOOKUP('Données projet'!$B$13,Paramètres!$A$1:$I$89,3,0)*VLOOKUP('Données projet'!$B$13,Paramètres!$A$1:$I$89,5,0)</f>
        <v>14.985422803103992</v>
      </c>
      <c r="CV15" s="13">
        <f t="shared" si="41"/>
        <v>5.039334582573848</v>
      </c>
      <c r="CW15" s="20">
        <f t="shared" si="13"/>
        <v>34.876452446722233</v>
      </c>
      <c r="CX15" s="59">
        <f t="shared" si="14"/>
        <v>306.20978578005554</v>
      </c>
      <c r="CY15" s="59">
        <f ca="1">AVERAGE(OFFSET($CX$3,0,0,'Données projet'!$E$13+1,1))-AVERAGE(OFFSET($H$3,0,0,'Données projet'!$E$13+1,1))</f>
        <v>260.65406541614402</v>
      </c>
      <c r="CZ15" s="59">
        <f t="shared" si="42"/>
        <v>277.63456890196886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4.3589743589743595</v>
      </c>
      <c r="DO15" s="12">
        <f>IF('Données projet'!$A$166&gt;35,DO14+DN15-DW14,IF(A15&lt;'Données projet'!$A$166,$DL$205^A15,IF(A15='Données projet'!$A$166,'Données projet'!$B$166,DO14+DN15-DW14)))</f>
        <v>15.12820512820513</v>
      </c>
      <c r="DP15" s="17">
        <f>DO15*VLOOKUP('Données projet'!$B$14,Paramètres!$A$1:$I$89,3,0)*VLOOKUP('Données projet'!$B$14,Paramètres!$A$1:$I$89,5,0)</f>
        <v>9.9120000000000008</v>
      </c>
      <c r="DQ15" s="13">
        <f t="shared" si="43"/>
        <v>3.4975198153861511</v>
      </c>
      <c r="DR15" s="20">
        <f t="shared" si="16"/>
        <v>23.354913678464214</v>
      </c>
      <c r="DS15" s="59">
        <f t="shared" si="17"/>
        <v>294.68824701179756</v>
      </c>
      <c r="DT15" s="59">
        <f ca="1">AVERAGE(OFFSET($DS$3,0,0,'Données projet'!$E$14+1,1))-AVERAGE(OFFSET($H$3,0,0,'Données projet'!$E$14+1,1))</f>
        <v>181.4272795535777</v>
      </c>
      <c r="DU15" s="59">
        <f t="shared" si="44"/>
        <v>187.67131775419904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4.7033695939785514E-2</v>
      </c>
      <c r="EC15" s="21">
        <f>EXP(-LN(2)/2)*EC14+(1-EXP(-LN(2)/2))/(LN(2)/2)*DW15*DZ15*VLOOKUP('Données projet'!$B$14,Paramètres!$A$1:$I$89,3,0)*0.475*44/12</f>
        <v>4.9535163016782874E-2</v>
      </c>
      <c r="ED15" s="22">
        <f t="shared" si="18"/>
        <v>9.6568858956568387E-2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>
        <f>VLOOKUP(A15,'Données projet'!$A$191:$I$211,2,0)</f>
        <v>51.92307692307692</v>
      </c>
      <c r="EH15" s="12">
        <f>VLOOKUP(A15,'Données projet'!$A$191:$I$211,9,0)</f>
        <v>4.3269230769230766</v>
      </c>
      <c r="EI15" s="12">
        <f t="array" ref="EI15">INDEX(EH:EH,MIN(IF(ISNUMBER(EH15:EH211),ROW(EH15:EH211),"")))</f>
        <v>4.3269230769230766</v>
      </c>
      <c r="EJ15" s="12">
        <f>IF('Données projet'!$A$192&gt;35,EJ14+EI15-ER14,IF(A15&lt;'Données projet'!$A$192,$EG$205^A15,IF(A15='Données projet'!$A$192,'Données projet'!$B$192,EJ14+EI15-ER14)))</f>
        <v>51.92307692307692</v>
      </c>
      <c r="EK15" s="17">
        <f>EJ15*VLOOKUP('Données projet'!$B$15,Paramètres!$A$1:$I$89,3,0)*VLOOKUP('Données projet'!$B$15,Paramètres!$A$1:$I$89,5,0)</f>
        <v>42.120000000000005</v>
      </c>
      <c r="EL15" s="13">
        <f t="shared" si="45"/>
        <v>12.558853141338753</v>
      </c>
      <c r="EM15" s="20">
        <f t="shared" si="19"/>
        <v>95.232335887831667</v>
      </c>
      <c r="EN15" s="59">
        <f t="shared" si="20"/>
        <v>366.56566922116497</v>
      </c>
      <c r="EO15" s="59">
        <f ca="1">AVERAGE(OFFSET($EN$3,0,0,'Données projet'!$E$15+1,1))-AVERAGE(OFFSET($H$3,0,0,'Données projet'!$E$15+1,1))</f>
        <v>159.68591355116837</v>
      </c>
      <c r="EP15" s="59">
        <f t="shared" si="46"/>
        <v>284.32631786390112</v>
      </c>
      <c r="EQ15" s="15">
        <f>IF(ISNA(VLOOKUP(A15,'Données projet'!$A$191:$I$211,3,0)),0,VLOOKUP(A15,'Données projet'!$A$191:$I$211,3,0))</f>
        <v>1</v>
      </c>
      <c r="ER15" s="15">
        <f>IF(ISNA(VLOOKUP(A15,'Données projet'!$A$191:$I$211,4,0)),0,VLOOKUP(A15,'Données projet'!$A$191:$I$211,4,0))</f>
        <v>14.743589743589743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0.1075</v>
      </c>
      <c r="EU15" s="16">
        <f>IF(ISNA(VLOOKUP(A15,'Données projet'!$A$191:$I$211,7,0)),0%,VLOOKUP(A15,'Données projet'!$A$191:$I$211,7,0))</f>
        <v>0.25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1.4157070544444685</v>
      </c>
      <c r="EX15" s="21">
        <f>EXP(-LN(2)/2)*EX14+(1-EXP(-LN(2)/2))/(LN(2)/2)*ER15*EU15*VLOOKUP('Données projet'!$B$15,Paramètres!$A$1:$I$89,3,0)*0.475*44/12</f>
        <v>2.8211454746701103</v>
      </c>
      <c r="EY15" s="22">
        <f t="shared" si="21"/>
        <v>4.2368525291145787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2.4666666666666668</v>
      </c>
      <c r="FE15" s="12">
        <f>IF('Données projet'!$A$218&gt;35,FE14+FD15-FM14,IF(A15&lt;'Données projet'!$A$218,$FB$205^A15,IF(A15='Données projet'!$A$218,'Données projet'!$B$218,FE14+FD15-FM14)))</f>
        <v>17.970550417308221</v>
      </c>
      <c r="FF15" s="17">
        <f>FE15*VLOOKUP('Données projet'!$B$16,Paramètres!$A$1:$I$89,3,0)*VLOOKUP('Données projet'!$B$16,Paramètres!$A$1:$I$89,5,0)</f>
        <v>14.297369912010421</v>
      </c>
      <c r="FG15" s="13">
        <f t="shared" si="47"/>
        <v>4.8343312187127445</v>
      </c>
      <c r="FH15" s="20">
        <f t="shared" si="22"/>
        <v>33.321046136009507</v>
      </c>
      <c r="FI15" s="59">
        <f t="shared" si="23"/>
        <v>304.65437946934281</v>
      </c>
      <c r="FJ15" s="59">
        <f ca="1">AVERAGE(OFFSET($FI$3,0,0,'Données projet'!$E$16+1,1))-AVERAGE(OFFSET($H$3,0,0,'Données projet'!$E$16+1,1))</f>
        <v>299.10536994156814</v>
      </c>
      <c r="FK15" s="59">
        <f t="shared" si="48"/>
        <v>292.57799203101769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7.0512820512820493</v>
      </c>
      <c r="FZ15" s="12">
        <f>IF('Données projet'!$A$244&gt;35,FZ14+FY15-GH14,IF(A15&lt;'Données projet'!$A$244,$FW$205^A15,IF(A15='Données projet'!$A$244,'Données projet'!$B$244,FZ14+FY15-GH14)))</f>
        <v>51.282051282051285</v>
      </c>
      <c r="GA15" s="17">
        <f>FZ15*VLOOKUP('Données projet'!$B$17,Paramètres!$A$1:$I$89,3,0)*VLOOKUP('Données projet'!$B$17,Paramètres!$A$1:$I$89,5,0)</f>
        <v>46.400000000000006</v>
      </c>
      <c r="GB15" s="13">
        <f t="shared" si="49"/>
        <v>13.680039535026978</v>
      </c>
      <c r="GC15" s="20">
        <f t="shared" si="25"/>
        <v>104.63940219017199</v>
      </c>
      <c r="GD15" s="59">
        <f t="shared" si="26"/>
        <v>375.97273552350532</v>
      </c>
      <c r="GE15" s="59">
        <f ca="1">AVERAGE(OFFSET($GD$3,0,0,'Données projet'!$E$17+1,1))-AVERAGE(OFFSET($H$3,0,0,'Données projet'!$E$17+1,1))</f>
        <v>204.78565758021779</v>
      </c>
      <c r="GF15" s="59">
        <f t="shared" si="50"/>
        <v>287.25131613242439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0.45523301574318842</v>
      </c>
      <c r="GM15" s="21">
        <f>EXP(-LN(2)/25)*GM14+(1-EXP(-LN(2)/25))/(LN(2)/25)*Calculateur!GH15*Calculateur!GJ15*VLOOKUP('Données projet'!$B$17,Paramètres!$A$1:$I$89,3,0)*0.475*44/12</f>
        <v>1.7750519731383778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2.2302849888815661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2.6666666666666665</v>
      </c>
      <c r="GU15" s="12">
        <f>IF('Données projet'!$A$270&gt;35,GU14+GT15-HC14,IF(A15&lt;'Données projet'!$A$270,$GR$205^A15,IF(A15='Données projet'!$A$270,'Données projet'!$B$270,GU14+GT15-HC14)))</f>
        <v>19.127049995800721</v>
      </c>
      <c r="GV15" s="17">
        <f>GU15*VLOOKUP('Données projet'!$B$18,Paramètres!$A$1:$I$89,3,0)*VLOOKUP('Données projet'!$B$18,Paramètres!$A$1:$I$89,5,0)</f>
        <v>14.919098996724562</v>
      </c>
      <c r="GW15" s="13">
        <f t="shared" si="51"/>
        <v>5.019622097301081</v>
      </c>
      <c r="GX15" s="20">
        <f t="shared" si="28"/>
        <v>34.726605905427995</v>
      </c>
      <c r="GY15" s="59">
        <f t="shared" si="29"/>
        <v>306.05993923876133</v>
      </c>
      <c r="GZ15" s="59">
        <f ca="1">AVERAGE(OFFSET($GY$3,0,0,'Données projet'!$E$18+1,1))-AVERAGE(OFFSET($H$3,0,0,'Données projet'!$E$18+1,1))</f>
        <v>288.82868507674738</v>
      </c>
      <c r="HA15" s="59">
        <f t="shared" si="52"/>
        <v>283.48738729114024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5.8890909090909096</v>
      </c>
      <c r="N16" s="13">
        <f>IF('Données projet'!$A$36&gt;35,N15+M16-V15,IF(A16&lt;'Données projet'!$A$36,$K$205^A16,IF(A16='Données projet'!$A$36,'Données projet'!$B$36,N15+M16-V15)))</f>
        <v>17.712435523051596</v>
      </c>
      <c r="O16" s="13">
        <f>N16*VLOOKUP('Données projet'!$B$9,Paramètres!$A$1:$I$89,3,0)*VLOOKUP('Données projet'!$B$9,Paramètres!$A$1:$I$89,5,0)</f>
        <v>10.592036442784856</v>
      </c>
      <c r="P16" s="13">
        <f t="shared" si="33"/>
        <v>3.708718932562717</v>
      </c>
      <c r="Q16" s="20">
        <f t="shared" si="2"/>
        <v>24.907148945397026</v>
      </c>
      <c r="R16" s="59">
        <f t="shared" si="0"/>
        <v>297.46270450095255</v>
      </c>
      <c r="S16" s="59">
        <f ca="1">AVERAGE(OFFSET($R$3,0,0,'Données projet'!$E$9+1,1))-AVERAGE(OFFSET($H$3,0,0,'Données projet'!$E$9+1,1))</f>
        <v>349.71285006949597</v>
      </c>
      <c r="T16" s="59">
        <f t="shared" si="34"/>
        <v>258.51550516456842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4.016578947368421</v>
      </c>
      <c r="AI16" s="13">
        <f>IF('Données projet'!$A$62&gt;35,AI15+AH16-AQ15,IF(A16&lt;'Données projet'!$A$62,$AF$205^A16,IF(A16='Données projet'!$A$62,'Données projet'!$B$62,AI15+AH16-AQ15)))</f>
        <v>52.215526315789489</v>
      </c>
      <c r="AJ16" s="13">
        <f>AI16*VLOOKUP('Données projet'!$B$10,Paramètres!$A$1:$I$89,3,0)*VLOOKUP('Données projet'!$B$10,Paramètres!$A$1:$I$89,5,0)</f>
        <v>49.688294842105279</v>
      </c>
      <c r="AK16" s="13">
        <f t="shared" si="35"/>
        <v>14.533231172057361</v>
      </c>
      <c r="AL16" s="20">
        <f t="shared" si="4"/>
        <v>111.85249114133325</v>
      </c>
      <c r="AM16" s="59">
        <f t="shared" si="5"/>
        <v>384.40804669688879</v>
      </c>
      <c r="AN16" s="59">
        <f ca="1">AVERAGE(OFFSET($AM$3,0,0,'Données projet'!$E$10+1,1))-AVERAGE(OFFSET($H$3,0,0,'Données projet'!$E$10+1,1))</f>
        <v>449.28947235329758</v>
      </c>
      <c r="AO16" s="59">
        <f t="shared" si="36"/>
        <v>289.36994109443964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48.158626285714305</v>
      </c>
      <c r="BF16" s="13">
        <f t="shared" si="37"/>
        <v>14.137183365739432</v>
      </c>
      <c r="BG16" s="20">
        <f t="shared" si="7"/>
        <v>108.4985351429486</v>
      </c>
      <c r="BH16" s="59">
        <f t="shared" si="8"/>
        <v>381.05409069850413</v>
      </c>
      <c r="BI16" s="59">
        <f ca="1">AVERAGE(OFFSET($BH$3,0,0,'Données projet'!$E$11+1,1))-AVERAGE(OFFSET($H$3,0,0,'Données projet'!$E$11+1,1))</f>
        <v>635.71275911100679</v>
      </c>
      <c r="BJ16" s="59">
        <f t="shared" si="38"/>
        <v>281.7776857269169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3.3603333333333336</v>
      </c>
      <c r="BY16" s="12">
        <f>IF('Données projet'!$A$114&gt;35,BY15+BX16-CG15,IF(A16&lt;'Données projet'!$A$114,$BV$205^A16,IF(A16='Données projet'!$A$114,'Données projet'!$B$114,BY15+BX16-CG15)))</f>
        <v>43.684333333333349</v>
      </c>
      <c r="BZ16" s="13">
        <f>BY16*VLOOKUP('Données projet'!$B$12,Paramètres!$A$1:$I$89,3,0)*VLOOKUP('Données projet'!$B$12,Paramètres!$A$1:$I$89,5,0)</f>
        <v>49.747718800000023</v>
      </c>
      <c r="CA16" s="13">
        <f t="shared" si="39"/>
        <v>14.548587774950079</v>
      </c>
      <c r="CB16" s="20">
        <f t="shared" si="10"/>
        <v>111.98273395137143</v>
      </c>
      <c r="CC16" s="59">
        <f t="shared" si="11"/>
        <v>384.53828950692696</v>
      </c>
      <c r="CD16" s="59">
        <f ca="1">AVERAGE(OFFSET($CC$3,0,0,'Données projet'!$E$12+1,1))-AVERAGE(OFFSET($H$3,0,0,'Données projet'!$E$12+1,1))</f>
        <v>593.28343396240075</v>
      </c>
      <c r="CE16" s="59">
        <f t="shared" si="40"/>
        <v>289.66477662068695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4.2307692307692308</v>
      </c>
      <c r="CT16" s="12">
        <f>IF('Données projet'!$A$140&gt;35,CT15+CS16-DB15,IF(A16&lt;'Données projet'!$A$140,$CQ$205^A16,IF(A16='Données projet'!$A$140,'Données projet'!$B$140,CT15+CS16-DB15)))</f>
        <v>17.8995480846642</v>
      </c>
      <c r="CU16" s="17">
        <f>CT16*VLOOKUP('Données projet'!$B$13,Paramètres!$A$1:$I$89,3,0)*VLOOKUP('Données projet'!$B$13,Paramètres!$A$1:$I$89,5,0)</f>
        <v>18.708607658091022</v>
      </c>
      <c r="CV16" s="13">
        <f t="shared" si="41"/>
        <v>6.1309518514584012</v>
      </c>
      <c r="CW16" s="20">
        <f t="shared" si="13"/>
        <v>43.262232812465243</v>
      </c>
      <c r="CX16" s="59">
        <f t="shared" si="14"/>
        <v>315.81778836802079</v>
      </c>
      <c r="CY16" s="59">
        <f ca="1">AVERAGE(OFFSET($CX$3,0,0,'Données projet'!$E$13+1,1))-AVERAGE(OFFSET($H$3,0,0,'Données projet'!$E$13+1,1))</f>
        <v>260.65406541614402</v>
      </c>
      <c r="CZ16" s="59">
        <f t="shared" si="42"/>
        <v>277.63456890196886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4.3589743589743595</v>
      </c>
      <c r="DO16" s="12">
        <f>IF('Données projet'!$A$166&gt;35,DO15+DN16-DW15,IF(A16&lt;'Données projet'!$A$166,$DL$205^A16,IF(A16='Données projet'!$A$166,'Données projet'!$B$166,DO15+DN16-DW15)))</f>
        <v>19.487179487179489</v>
      </c>
      <c r="DP16" s="17">
        <f>DO16*VLOOKUP('Données projet'!$B$14,Paramètres!$A$1:$I$89,3,0)*VLOOKUP('Données projet'!$B$14,Paramètres!$A$1:$I$89,5,0)</f>
        <v>12.768000000000002</v>
      </c>
      <c r="DQ16" s="13">
        <f t="shared" si="43"/>
        <v>4.3744377058352857</v>
      </c>
      <c r="DR16" s="20">
        <f t="shared" si="16"/>
        <v>29.856412337663127</v>
      </c>
      <c r="DS16" s="59">
        <f t="shared" si="17"/>
        <v>302.41196789321867</v>
      </c>
      <c r="DT16" s="59">
        <f ca="1">AVERAGE(OFFSET($DS$3,0,0,'Données projet'!$E$14+1,1))-AVERAGE(OFFSET($H$3,0,0,'Données projet'!$E$14+1,1))</f>
        <v>181.4272795535777</v>
      </c>
      <c r="DU16" s="59">
        <f t="shared" si="44"/>
        <v>187.67131775419904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4.5747557050917508E-2</v>
      </c>
      <c r="EC16" s="21">
        <f>EXP(-LN(2)/2)*EC15+(1-EXP(-LN(2)/2))/(LN(2)/2)*DW16*DZ16*VLOOKUP('Données projet'!$B$14,Paramètres!$A$1:$I$89,3,0)*0.475*44/12</f>
        <v>3.5026649676348248E-2</v>
      </c>
      <c r="ED16" s="22">
        <f t="shared" si="18"/>
        <v>8.0774206727265763E-2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7.3717948717948714</v>
      </c>
      <c r="EJ16" s="12">
        <f>IF('Données projet'!$A$192&gt;35,EJ15+EI16-ER15,IF(A16&lt;'Données projet'!$A$192,$EG$205^A16,IF(A16='Données projet'!$A$192,'Données projet'!$B$192,EJ15+EI16-ER15)))</f>
        <v>44.551282051282044</v>
      </c>
      <c r="EK16" s="17">
        <f>EJ16*VLOOKUP('Données projet'!$B$15,Paramètres!$A$1:$I$89,3,0)*VLOOKUP('Données projet'!$B$15,Paramètres!$A$1:$I$89,5,0)</f>
        <v>36.14</v>
      </c>
      <c r="EL16" s="13">
        <f t="shared" si="45"/>
        <v>10.969589923656621</v>
      </c>
      <c r="EM16" s="20">
        <f t="shared" si="19"/>
        <v>82.049202450368611</v>
      </c>
      <c r="EN16" s="59">
        <f t="shared" si="20"/>
        <v>354.60475800592417</v>
      </c>
      <c r="EO16" s="59">
        <f ca="1">AVERAGE(OFFSET($EN$3,0,0,'Données projet'!$E$15+1,1))-AVERAGE(OFFSET($H$3,0,0,'Données projet'!$E$15+1,1))</f>
        <v>159.68591355116837</v>
      </c>
      <c r="EP16" s="59">
        <f t="shared" si="46"/>
        <v>284.32631786390112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1.3769944705918862</v>
      </c>
      <c r="EX16" s="21">
        <f>EXP(-LN(2)/2)*EX15+(1-EXP(-LN(2)/2))/(LN(2)/2)*ER16*EU16*VLOOKUP('Données projet'!$B$15,Paramètres!$A$1:$I$89,3,0)*0.475*44/12</f>
        <v>1.9948510958529766</v>
      </c>
      <c r="EY16" s="22">
        <f t="shared" si="21"/>
        <v>3.371845566444863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2.4666666666666668</v>
      </c>
      <c r="FE16" s="12">
        <f>IF('Données projet'!$A$218&gt;35,FE15+FD16-FM15,IF(A16&lt;'Données projet'!$A$218,$FB$205^A16,IF(A16='Données projet'!$A$218,'Données projet'!$B$218,FE15+FD16-FM15)))</f>
        <v>22.86168101684942</v>
      </c>
      <c r="FF16" s="17">
        <f>FE16*VLOOKUP('Données projet'!$B$16,Paramètres!$A$1:$I$89,3,0)*VLOOKUP('Données projet'!$B$16,Paramètres!$A$1:$I$89,5,0)</f>
        <v>18.188753417005401</v>
      </c>
      <c r="FG16" s="13">
        <f t="shared" si="47"/>
        <v>5.9801756254374139</v>
      </c>
      <c r="FH16" s="20">
        <f t="shared" si="22"/>
        <v>42.094218082254564</v>
      </c>
      <c r="FI16" s="59">
        <f t="shared" si="23"/>
        <v>314.64977363781009</v>
      </c>
      <c r="FJ16" s="59">
        <f ca="1">AVERAGE(OFFSET($FI$3,0,0,'Données projet'!$E$16+1,1))-AVERAGE(OFFSET($H$3,0,0,'Données projet'!$E$16+1,1))</f>
        <v>299.10536994156814</v>
      </c>
      <c r="FK16" s="59">
        <f t="shared" si="48"/>
        <v>292.57799203101769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7.0512820512820493</v>
      </c>
      <c r="FZ16" s="12">
        <f>IF('Données projet'!$A$244&gt;35,FZ15+FY16-GH15,IF(A16&lt;'Données projet'!$A$244,$FW$205^A16,IF(A16='Données projet'!$A$244,'Données projet'!$B$244,FZ15+FY16-GH15)))</f>
        <v>58.333333333333336</v>
      </c>
      <c r="GA16" s="17">
        <f>FZ16*VLOOKUP('Données projet'!$B$17,Paramètres!$A$1:$I$89,3,0)*VLOOKUP('Données projet'!$B$17,Paramètres!$A$1:$I$89,5,0)</f>
        <v>52.780000000000008</v>
      </c>
      <c r="GB16" s="13">
        <f t="shared" si="49"/>
        <v>15.329430268903632</v>
      </c>
      <c r="GC16" s="20">
        <f t="shared" si="25"/>
        <v>118.62392438500717</v>
      </c>
      <c r="GD16" s="59">
        <f t="shared" si="26"/>
        <v>391.17947994056271</v>
      </c>
      <c r="GE16" s="59">
        <f ca="1">AVERAGE(OFFSET($GD$3,0,0,'Données projet'!$E$17+1,1))-AVERAGE(OFFSET($H$3,0,0,'Données projet'!$E$17+1,1))</f>
        <v>204.78565758021779</v>
      </c>
      <c r="GF16" s="59">
        <f t="shared" si="50"/>
        <v>287.25131613242439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0.44630617396918698</v>
      </c>
      <c r="GM16" s="21">
        <f>EXP(-LN(2)/25)*GM15+(1-EXP(-LN(2)/25))/(LN(2)/25)*Calculateur!GH16*Calculateur!GJ16*VLOOKUP('Données projet'!$B$17,Paramètres!$A$1:$I$89,3,0)*0.475*44/12</f>
        <v>1.7265130835869826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2.1728192575561698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2.6666666666666665</v>
      </c>
      <c r="GU16" s="12">
        <f>IF('Données projet'!$A$270&gt;35,GU15+GT16-HC15,IF(A16&lt;'Données projet'!$A$270,$GR$205^A16,IF(A16='Données projet'!$A$270,'Données projet'!$B$270,GU15+GT16-HC15)))</f>
        <v>24.459748796430759</v>
      </c>
      <c r="GV16" s="17">
        <f>GU16*VLOOKUP('Données projet'!$B$18,Paramètres!$A$1:$I$89,3,0)*VLOOKUP('Données projet'!$B$18,Paramètres!$A$1:$I$89,5,0)</f>
        <v>19.078604061215994</v>
      </c>
      <c r="GW16" s="13">
        <f t="shared" si="51"/>
        <v>6.2379664748280286</v>
      </c>
      <c r="GX16" s="20">
        <f t="shared" si="28"/>
        <v>44.093027016943331</v>
      </c>
      <c r="GY16" s="59">
        <f t="shared" si="29"/>
        <v>316.64858257249887</v>
      </c>
      <c r="GZ16" s="59">
        <f ca="1">AVERAGE(OFFSET($GY$3,0,0,'Données projet'!$E$18+1,1))-AVERAGE(OFFSET($H$3,0,0,'Données projet'!$E$18+1,1))</f>
        <v>288.82868507674738</v>
      </c>
      <c r="HA16" s="59">
        <f t="shared" si="52"/>
        <v>283.48738729114024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5.8890909090909096</v>
      </c>
      <c r="N17" s="13">
        <f>IF('Données projet'!$A$36&gt;35,N16+M17-V16,IF(A17&lt;'Données projet'!$A$36,$K$205^A17,IF(A17='Données projet'!$A$36,'Données projet'!$B$36,N16+M17-V16)))</f>
        <v>22.095289116397044</v>
      </c>
      <c r="O17" s="13">
        <f>N17*VLOOKUP('Données projet'!$B$9,Paramètres!$A$1:$I$89,3,0)*VLOOKUP('Données projet'!$B$9,Paramètres!$A$1:$I$89,5,0)</f>
        <v>13.212982891605433</v>
      </c>
      <c r="P17" s="13">
        <f t="shared" si="33"/>
        <v>4.508877496544403</v>
      </c>
      <c r="Q17" s="20">
        <f t="shared" si="2"/>
        <v>30.86557350936096</v>
      </c>
      <c r="R17" s="59">
        <f t="shared" si="0"/>
        <v>304.64335128713873</v>
      </c>
      <c r="S17" s="59">
        <f ca="1">AVERAGE(OFFSET($R$3,0,0,'Données projet'!$E$9+1,1))-AVERAGE(OFFSET($H$3,0,0,'Données projet'!$E$9+1,1))</f>
        <v>349.71285006949597</v>
      </c>
      <c r="T17" s="59">
        <f t="shared" si="34"/>
        <v>258.51550516456842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4.016578947368421</v>
      </c>
      <c r="AI17" s="13">
        <f>IF('Données projet'!$A$62&gt;35,AI16+AH17-AQ16,IF(A17&lt;'Données projet'!$A$62,$AF$205^A17,IF(A17='Données projet'!$A$62,'Données projet'!$B$62,AI16+AH17-AQ16)))</f>
        <v>56.232105263157912</v>
      </c>
      <c r="AJ17" s="13">
        <f>AI17*VLOOKUP('Données projet'!$B$10,Paramètres!$A$1:$I$89,3,0)*VLOOKUP('Données projet'!$B$10,Paramètres!$A$1:$I$89,5,0)</f>
        <v>53.510471368421072</v>
      </c>
      <c r="AK17" s="13">
        <f t="shared" si="35"/>
        <v>15.516743029905101</v>
      </c>
      <c r="AL17" s="20">
        <f t="shared" si="4"/>
        <v>120.22239841041811</v>
      </c>
      <c r="AM17" s="59">
        <f t="shared" si="5"/>
        <v>394.00017618819589</v>
      </c>
      <c r="AN17" s="59">
        <f ca="1">AVERAGE(OFFSET($AM$3,0,0,'Données projet'!$E$10+1,1))-AVERAGE(OFFSET($H$3,0,0,'Données projet'!$E$10+1,1))</f>
        <v>449.28947235329758</v>
      </c>
      <c r="AO17" s="59">
        <f t="shared" si="36"/>
        <v>289.36994109443964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51.863136000000019</v>
      </c>
      <c r="BF17" s="13">
        <f t="shared" si="37"/>
        <v>15.093893357630675</v>
      </c>
      <c r="BG17" s="20">
        <f t="shared" si="7"/>
        <v>116.61682613120678</v>
      </c>
      <c r="BH17" s="59">
        <f t="shared" si="8"/>
        <v>390.39460390898455</v>
      </c>
      <c r="BI17" s="59">
        <f ca="1">AVERAGE(OFFSET($BH$3,0,0,'Données projet'!$E$11+1,1))-AVERAGE(OFFSET($H$3,0,0,'Données projet'!$E$11+1,1))</f>
        <v>635.71275911100679</v>
      </c>
      <c r="BJ17" s="59">
        <f t="shared" si="38"/>
        <v>281.7776857269169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3.3603333333333336</v>
      </c>
      <c r="BY17" s="12">
        <f>IF('Données projet'!$A$114&gt;35,BY16+BX17-CG16,IF(A17&lt;'Données projet'!$A$114,$BV$205^A17,IF(A17='Données projet'!$A$114,'Données projet'!$B$114,BY16+BX17-CG16)))</f>
        <v>47.044666666666686</v>
      </c>
      <c r="BZ17" s="13">
        <f>BY17*VLOOKUP('Données projet'!$B$12,Paramètres!$A$1:$I$89,3,0)*VLOOKUP('Données projet'!$B$12,Paramètres!$A$1:$I$89,5,0)</f>
        <v>53.574466400000027</v>
      </c>
      <c r="CA17" s="13">
        <f t="shared" si="39"/>
        <v>15.533138864945339</v>
      </c>
      <c r="CB17" s="20">
        <f t="shared" si="10"/>
        <v>120.36241250311315</v>
      </c>
      <c r="CC17" s="59">
        <f t="shared" si="11"/>
        <v>394.14019028089092</v>
      </c>
      <c r="CD17" s="59">
        <f ca="1">AVERAGE(OFFSET($CC$3,0,0,'Données projet'!$E$12+1,1))-AVERAGE(OFFSET($H$3,0,0,'Données projet'!$E$12+1,1))</f>
        <v>593.28343396240075</v>
      </c>
      <c r="CE17" s="59">
        <f t="shared" si="40"/>
        <v>289.66477662068695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4.2307692307692308</v>
      </c>
      <c r="CT17" s="12">
        <f>IF('Données projet'!$A$140&gt;35,CT16+CS17-DB16,IF(A17&lt;'Données projet'!$A$140,$CQ$205^A17,IF(A17='Données projet'!$A$140,'Données projet'!$B$140,CT16+CS17-DB16)))</f>
        <v>22.346758364652416</v>
      </c>
      <c r="CU17" s="17">
        <f>CT17*VLOOKUP('Données projet'!$B$13,Paramètres!$A$1:$I$89,3,0)*VLOOKUP('Données projet'!$B$13,Paramètres!$A$1:$I$89,5,0)</f>
        <v>23.356831842734707</v>
      </c>
      <c r="CV17" s="13">
        <f t="shared" si="41"/>
        <v>7.4590345191373961</v>
      </c>
      <c r="CW17" s="20">
        <f t="shared" si="13"/>
        <v>53.670967246927241</v>
      </c>
      <c r="CX17" s="59">
        <f t="shared" si="14"/>
        <v>327.44874502470503</v>
      </c>
      <c r="CY17" s="59">
        <f ca="1">AVERAGE(OFFSET($CX$3,0,0,'Données projet'!$E$13+1,1))-AVERAGE(OFFSET($H$3,0,0,'Données projet'!$E$13+1,1))</f>
        <v>260.65406541614402</v>
      </c>
      <c r="CZ17" s="59">
        <f t="shared" si="42"/>
        <v>277.63456890196886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4.3589743589743595</v>
      </c>
      <c r="DO17" s="12">
        <f>IF('Données projet'!$A$166&gt;35,DO16+DN17-DW16,IF(A17&lt;'Données projet'!$A$166,$DL$205^A17,IF(A17='Données projet'!$A$166,'Données projet'!$B$166,DO16+DN17-DW16)))</f>
        <v>23.846153846153847</v>
      </c>
      <c r="DP17" s="17">
        <f>DO17*VLOOKUP('Données projet'!$B$14,Paramètres!$A$1:$I$89,3,0)*VLOOKUP('Données projet'!$B$14,Paramètres!$A$1:$I$89,5,0)</f>
        <v>15.624000000000001</v>
      </c>
      <c r="DQ17" s="13">
        <f t="shared" si="43"/>
        <v>5.2286175891674</v>
      </c>
      <c r="DR17" s="20">
        <f t="shared" si="16"/>
        <v>36.318308967799886</v>
      </c>
      <c r="DS17" s="59">
        <f t="shared" si="17"/>
        <v>310.09608674557768</v>
      </c>
      <c r="DT17" s="59">
        <f ca="1">AVERAGE(OFFSET($DS$3,0,0,'Données projet'!$E$14+1,1))-AVERAGE(OFFSET($H$3,0,0,'Données projet'!$E$14+1,1))</f>
        <v>181.4272795535777</v>
      </c>
      <c r="DU17" s="59">
        <f t="shared" si="44"/>
        <v>187.67131775419904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4.4496587697600704E-2</v>
      </c>
      <c r="EC17" s="21">
        <f>EXP(-LN(2)/2)*EC16+(1-EXP(-LN(2)/2))/(LN(2)/2)*DW17*DZ17*VLOOKUP('Données projet'!$B$14,Paramètres!$A$1:$I$89,3,0)*0.475*44/12</f>
        <v>2.4767581508391437E-2</v>
      </c>
      <c r="ED17" s="22">
        <f t="shared" si="18"/>
        <v>6.926416920599214E-2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7.3717948717948714</v>
      </c>
      <c r="EJ17" s="12">
        <f>IF('Données projet'!$A$192&gt;35,EJ16+EI17-ER16,IF(A17&lt;'Données projet'!$A$192,$EG$205^A17,IF(A17='Données projet'!$A$192,'Données projet'!$B$192,EJ16+EI17-ER16)))</f>
        <v>51.923076923076913</v>
      </c>
      <c r="EK17" s="17">
        <f>EJ17*VLOOKUP('Données projet'!$B$15,Paramètres!$A$1:$I$89,3,0)*VLOOKUP('Données projet'!$B$15,Paramètres!$A$1:$I$89,5,0)</f>
        <v>42.12</v>
      </c>
      <c r="EL17" s="13">
        <f t="shared" si="45"/>
        <v>12.558853141338753</v>
      </c>
      <c r="EM17" s="20">
        <f t="shared" si="19"/>
        <v>95.232335887831653</v>
      </c>
      <c r="EN17" s="59">
        <f t="shared" si="20"/>
        <v>369.01011366560942</v>
      </c>
      <c r="EO17" s="59">
        <f ca="1">AVERAGE(OFFSET($EN$3,0,0,'Données projet'!$E$15+1,1))-AVERAGE(OFFSET($H$3,0,0,'Données projet'!$E$15+1,1))</f>
        <v>159.68591355116837</v>
      </c>
      <c r="EP17" s="59">
        <f t="shared" si="46"/>
        <v>284.32631786390112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1.339340484380559</v>
      </c>
      <c r="EX17" s="21">
        <f>EXP(-LN(2)/2)*EX16+(1-EXP(-LN(2)/2))/(LN(2)/2)*ER17*EU17*VLOOKUP('Données projet'!$B$15,Paramètres!$A$1:$I$89,3,0)*0.475*44/12</f>
        <v>1.4105727373350554</v>
      </c>
      <c r="EY17" s="22">
        <f t="shared" si="21"/>
        <v>2.7499132217156141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2.4666666666666668</v>
      </c>
      <c r="FE17" s="12">
        <f>IF('Données projet'!$A$218&gt;35,FE16+FD17-FM16,IF(A17&lt;'Données projet'!$A$218,$FB$205^A17,IF(A17='Données projet'!$A$218,'Données projet'!$B$218,FE16+FD17-FM16)))</f>
        <v>29.084054009429774</v>
      </c>
      <c r="FF17" s="17">
        <f>FE17*VLOOKUP('Données projet'!$B$16,Paramètres!$A$1:$I$89,3,0)*VLOOKUP('Données projet'!$B$16,Paramètres!$A$1:$I$89,5,0)</f>
        <v>23.13927336990233</v>
      </c>
      <c r="FG17" s="13">
        <f t="shared" si="47"/>
        <v>7.3976107331343286</v>
      </c>
      <c r="FH17" s="20">
        <f t="shared" si="22"/>
        <v>53.185073146122171</v>
      </c>
      <c r="FI17" s="59">
        <f t="shared" si="23"/>
        <v>326.96285092389996</v>
      </c>
      <c r="FJ17" s="59">
        <f ca="1">AVERAGE(OFFSET($FI$3,0,0,'Données projet'!$E$16+1,1))-AVERAGE(OFFSET($H$3,0,0,'Données projet'!$E$16+1,1))</f>
        <v>299.10536994156814</v>
      </c>
      <c r="FK17" s="59">
        <f t="shared" si="48"/>
        <v>292.57799203101769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7.0512820512820493</v>
      </c>
      <c r="FZ17" s="12">
        <f>IF('Données projet'!$A$244&gt;35,FZ16+FY17-GH16,IF(A17&lt;'Données projet'!$A$244,$FW$205^A17,IF(A17='Données projet'!$A$244,'Données projet'!$B$244,FZ16+FY17-GH16)))</f>
        <v>65.384615384615387</v>
      </c>
      <c r="GA17" s="17">
        <f>FZ17*VLOOKUP('Données projet'!$B$17,Paramètres!$A$1:$I$89,3,0)*VLOOKUP('Données projet'!$B$17,Paramètres!$A$1:$I$89,5,0)</f>
        <v>59.16</v>
      </c>
      <c r="GB17" s="13">
        <f t="shared" si="49"/>
        <v>16.955716703338535</v>
      </c>
      <c r="GC17" s="20">
        <f t="shared" si="25"/>
        <v>132.56820659164794</v>
      </c>
      <c r="GD17" s="59">
        <f t="shared" si="26"/>
        <v>406.34598436942571</v>
      </c>
      <c r="GE17" s="59">
        <f ca="1">AVERAGE(OFFSET($GD$3,0,0,'Données projet'!$E$17+1,1))-AVERAGE(OFFSET($H$3,0,0,'Données projet'!$E$17+1,1))</f>
        <v>204.78565758021779</v>
      </c>
      <c r="GF17" s="59">
        <f t="shared" si="50"/>
        <v>287.25131613242439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0.43755438211753789</v>
      </c>
      <c r="GM17" s="21">
        <f>EXP(-LN(2)/25)*GM16+(1-EXP(-LN(2)/25))/(LN(2)/25)*Calculateur!GH17*Calculateur!GJ17*VLOOKUP('Données projet'!$B$17,Paramètres!$A$1:$I$89,3,0)*0.475*44/12</f>
        <v>1.6793014925229195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2.1168558746404575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2.6666666666666665</v>
      </c>
      <c r="GU17" s="12">
        <f>IF('Données projet'!$A$270&gt;35,GU16+GT17-HC16,IF(A17&lt;'Données projet'!$A$270,$GR$205^A17,IF(A17='Données projet'!$A$270,'Données projet'!$B$270,GU16+GT17-HC16)))</f>
        <v>31.279225563578599</v>
      </c>
      <c r="GV17" s="17">
        <f>GU17*VLOOKUP('Données projet'!$B$18,Paramètres!$A$1:$I$89,3,0)*VLOOKUP('Données projet'!$B$18,Paramètres!$A$1:$I$89,5,0)</f>
        <v>24.397795939591308</v>
      </c>
      <c r="GW17" s="13">
        <f t="shared" si="51"/>
        <v>7.75202295846145</v>
      </c>
      <c r="GX17" s="20">
        <f t="shared" si="28"/>
        <v>55.994267914108548</v>
      </c>
      <c r="GY17" s="59">
        <f t="shared" si="29"/>
        <v>329.77204569188632</v>
      </c>
      <c r="GZ17" s="59">
        <f ca="1">AVERAGE(OFFSET($GY$3,0,0,'Données projet'!$E$18+1,1))-AVERAGE(OFFSET($H$3,0,0,'Données projet'!$E$18+1,1))</f>
        <v>288.82868507674738</v>
      </c>
      <c r="HA17" s="59">
        <f t="shared" si="52"/>
        <v>283.48738729114024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5.8890909090909096</v>
      </c>
      <c r="N18" s="13">
        <f>IF('Données projet'!$A$36&gt;35,N17+M18-V17,IF(A18&lt;'Données projet'!$A$36,$K$205^A18,IF(A18='Données projet'!$A$36,'Données projet'!$B$36,N17+M18-V17)))</f>
        <v>27.562657913521289</v>
      </c>
      <c r="O18" s="13">
        <f>N18*VLOOKUP('Données projet'!$B$9,Paramètres!$A$1:$I$89,3,0)*VLOOKUP('Données projet'!$B$9,Paramètres!$A$1:$I$89,5,0)</f>
        <v>16.482469432285733</v>
      </c>
      <c r="P18" s="13">
        <f t="shared" si="33"/>
        <v>5.4816708002179473</v>
      </c>
      <c r="Q18" s="20">
        <f t="shared" si="2"/>
        <v>38.254210904943911</v>
      </c>
      <c r="R18" s="59">
        <f t="shared" si="0"/>
        <v>313.25421090494393</v>
      </c>
      <c r="S18" s="59">
        <f ca="1">AVERAGE(OFFSET($R$3,0,0,'Données projet'!$E$9+1,1))-AVERAGE(OFFSET($H$3,0,0,'Données projet'!$E$9+1,1))</f>
        <v>349.71285006949597</v>
      </c>
      <c r="T18" s="59">
        <f t="shared" si="34"/>
        <v>258.51550516456842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4.016578947368421</v>
      </c>
      <c r="AI18" s="13">
        <f>IF('Données projet'!$A$62&gt;35,AI17+AH18-AQ17,IF(A18&lt;'Données projet'!$A$62,$AF$205^A18,IF(A18='Données projet'!$A$62,'Données projet'!$B$62,AI17+AH18-AQ17)))</f>
        <v>60.248684210526335</v>
      </c>
      <c r="AJ18" s="13">
        <f>AI18*VLOOKUP('Données projet'!$B$10,Paramètres!$A$1:$I$89,3,0)*VLOOKUP('Données projet'!$B$10,Paramètres!$A$1:$I$89,5,0)</f>
        <v>57.332647894736859</v>
      </c>
      <c r="AK18" s="13">
        <f t="shared" si="35"/>
        <v>16.492104276158738</v>
      </c>
      <c r="AL18" s="20">
        <f t="shared" si="4"/>
        <v>128.57811003097649</v>
      </c>
      <c r="AM18" s="59">
        <f t="shared" si="5"/>
        <v>403.57811003097652</v>
      </c>
      <c r="AN18" s="59">
        <f ca="1">AVERAGE(OFFSET($AM$3,0,0,'Données projet'!$E$10+1,1))-AVERAGE(OFFSET($H$3,0,0,'Données projet'!$E$10+1,1))</f>
        <v>449.28947235329758</v>
      </c>
      <c r="AO18" s="59">
        <f t="shared" si="36"/>
        <v>289.36994109443964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55.567645714285739</v>
      </c>
      <c r="BF18" s="13">
        <f t="shared" si="37"/>
        <v>16.042674851771864</v>
      </c>
      <c r="BG18" s="20">
        <f t="shared" si="7"/>
        <v>124.72130831921697</v>
      </c>
      <c r="BH18" s="59">
        <f t="shared" si="8"/>
        <v>399.72130831921697</v>
      </c>
      <c r="BI18" s="59">
        <f ca="1">AVERAGE(OFFSET($BH$3,0,0,'Données projet'!$E$11+1,1))-AVERAGE(OFFSET($H$3,0,0,'Données projet'!$E$11+1,1))</f>
        <v>635.71275911100679</v>
      </c>
      <c r="BJ18" s="59">
        <f t="shared" si="38"/>
        <v>281.7776857269169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3.3603333333333336</v>
      </c>
      <c r="BY18" s="12">
        <f>IF('Données projet'!$A$114&gt;35,BY17+BX18-CG17,IF(A18&lt;'Données projet'!$A$114,$BV$205^A18,IF(A18='Données projet'!$A$114,'Données projet'!$B$114,BY17+BX18-CG17)))</f>
        <v>50.405000000000022</v>
      </c>
      <c r="BZ18" s="13">
        <f>BY18*VLOOKUP('Données projet'!$B$12,Paramètres!$A$1:$I$89,3,0)*VLOOKUP('Données projet'!$B$12,Paramètres!$A$1:$I$89,5,0)</f>
        <v>57.401214000000024</v>
      </c>
      <c r="CA18" s="13">
        <f t="shared" si="39"/>
        <v>16.509530730966755</v>
      </c>
      <c r="CB18" s="20">
        <f t="shared" si="10"/>
        <v>128.7278804064338</v>
      </c>
      <c r="CC18" s="59">
        <f t="shared" si="11"/>
        <v>403.72788040643377</v>
      </c>
      <c r="CD18" s="59">
        <f ca="1">AVERAGE(OFFSET($CC$3,0,0,'Données projet'!$E$12+1,1))-AVERAGE(OFFSET($H$3,0,0,'Données projet'!$E$12+1,1))</f>
        <v>593.28343396240075</v>
      </c>
      <c r="CE18" s="59">
        <f t="shared" si="40"/>
        <v>289.66477662068695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4.2307692307692308</v>
      </c>
      <c r="CT18" s="12">
        <f>IF('Données projet'!$A$140&gt;35,CT17+CS18-DB17,IF(A18&lt;'Données projet'!$A$140,$CQ$205^A18,IF(A18='Données projet'!$A$140,'Données projet'!$B$140,CT17+CS18-DB17)))</f>
        <v>27.89889482383159</v>
      </c>
      <c r="CU18" s="17">
        <f>CT18*VLOOKUP('Données projet'!$B$13,Paramètres!$A$1:$I$89,3,0)*VLOOKUP('Données projet'!$B$13,Paramètres!$A$1:$I$89,5,0)</f>
        <v>29.159924869868782</v>
      </c>
      <c r="CV18" s="13">
        <f t="shared" si="41"/>
        <v>9.0748055613009875</v>
      </c>
      <c r="CW18" s="20">
        <f t="shared" si="13"/>
        <v>66.592155500954007</v>
      </c>
      <c r="CX18" s="59">
        <f t="shared" si="14"/>
        <v>341.59215550095399</v>
      </c>
      <c r="CY18" s="59">
        <f ca="1">AVERAGE(OFFSET($CX$3,0,0,'Données projet'!$E$13+1,1))-AVERAGE(OFFSET($H$3,0,0,'Données projet'!$E$13+1,1))</f>
        <v>260.65406541614402</v>
      </c>
      <c r="CZ18" s="59">
        <f t="shared" si="42"/>
        <v>277.63456890196886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28.205128205128204</v>
      </c>
      <c r="DM18" s="12">
        <f>VLOOKUP(A18,'Données projet'!$A$165:$I$185,9,0)</f>
        <v>4.3589743589743595</v>
      </c>
      <c r="DN18" s="12">
        <f t="array" ref="DN18">INDEX(DM:DM,MIN(IF(ISNUMBER(DM18:DM214),ROW(DM18:DM214),"")))</f>
        <v>4.3589743589743595</v>
      </c>
      <c r="DO18" s="12">
        <f>IF('Données projet'!$A$166&gt;35,DO17+DN18-DW17,IF(A18&lt;'Données projet'!$A$166,$DL$205^A18,IF(A18='Données projet'!$A$166,'Données projet'!$B$166,DO17+DN18-DW17)))</f>
        <v>28.205128205128204</v>
      </c>
      <c r="DP18" s="17">
        <f>DO18*VLOOKUP('Données projet'!$B$14,Paramètres!$A$1:$I$89,3,0)*VLOOKUP('Données projet'!$B$14,Paramètres!$A$1:$I$89,5,0)</f>
        <v>18.48</v>
      </c>
      <c r="DQ18" s="13">
        <f t="shared" si="43"/>
        <v>6.0647083806458761</v>
      </c>
      <c r="DR18" s="20">
        <f t="shared" si="16"/>
        <v>42.748700429624904</v>
      </c>
      <c r="DS18" s="59">
        <f t="shared" si="17"/>
        <v>317.74870042962493</v>
      </c>
      <c r="DT18" s="59">
        <f ca="1">AVERAGE(OFFSET($DS$3,0,0,'Données projet'!$E$14+1,1))-AVERAGE(OFFSET($H$3,0,0,'Données projet'!$E$14+1,1))</f>
        <v>181.4272795535777</v>
      </c>
      <c r="DU18" s="59">
        <f t="shared" si="44"/>
        <v>187.67131775419904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2.5641025641025639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0.1075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0.2421416866575633</v>
      </c>
      <c r="EC18" s="21">
        <f>EXP(-LN(2)/2)*EC17+(1-EXP(-LN(2)/2))/(LN(2)/2)*DW18*DZ18*VLOOKUP('Données projet'!$B$14,Paramètres!$A$1:$I$89,3,0)*0.475*44/12</f>
        <v>0.41379462897243713</v>
      </c>
      <c r="ED18" s="22">
        <f t="shared" si="18"/>
        <v>0.65593631563000043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7.3717948717948714</v>
      </c>
      <c r="EJ18" s="12">
        <f>IF('Données projet'!$A$192&gt;35,EJ17+EI18-ER17,IF(A18&lt;'Données projet'!$A$192,$EG$205^A18,IF(A18='Données projet'!$A$192,'Données projet'!$B$192,EJ17+EI18-ER17)))</f>
        <v>59.294871794871781</v>
      </c>
      <c r="EK18" s="17">
        <f>EJ18*VLOOKUP('Données projet'!$B$15,Paramètres!$A$1:$I$89,3,0)*VLOOKUP('Données projet'!$B$15,Paramètres!$A$1:$I$89,5,0)</f>
        <v>48.099999999999994</v>
      </c>
      <c r="EL18" s="13">
        <f t="shared" si="45"/>
        <v>14.121975520971219</v>
      </c>
      <c r="EM18" s="20">
        <f t="shared" si="19"/>
        <v>108.36994069902487</v>
      </c>
      <c r="EN18" s="59">
        <f t="shared" si="20"/>
        <v>383.36994069902488</v>
      </c>
      <c r="EO18" s="59">
        <f ca="1">AVERAGE(OFFSET($EN$3,0,0,'Données projet'!$E$15+1,1))-AVERAGE(OFFSET($H$3,0,0,'Données projet'!$E$15+1,1))</f>
        <v>159.68591355116837</v>
      </c>
      <c r="EP18" s="59">
        <f t="shared" si="46"/>
        <v>284.32631786390112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1.3027161484023175</v>
      </c>
      <c r="EX18" s="21">
        <f>EXP(-LN(2)/2)*EX17+(1-EXP(-LN(2)/2))/(LN(2)/2)*ER18*EU18*VLOOKUP('Données projet'!$B$15,Paramètres!$A$1:$I$89,3,0)*0.475*44/12</f>
        <v>0.99742554792648841</v>
      </c>
      <c r="EY18" s="22">
        <f t="shared" si="21"/>
        <v>2.3001416963288062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37</v>
      </c>
      <c r="FC18" s="12">
        <f>VLOOKUP(A18,'Données projet'!$A$217:$I$237,9,0)</f>
        <v>2.4666666666666668</v>
      </c>
      <c r="FD18" s="12">
        <f t="array" ref="FD18">INDEX(FC:FC,MIN(IF(ISNUMBER(FC18:FC214),ROW(FC18:FC214),"")))</f>
        <v>2.4666666666666668</v>
      </c>
      <c r="FE18" s="12">
        <f>IF('Données projet'!$A$218&gt;35,FE17+FD18-FM17,IF(A18&lt;'Données projet'!$A$218,$FB$205^A18,IF(A18='Données projet'!$A$218,'Données projet'!$B$218,FE17+FD18-FM17)))</f>
        <v>37</v>
      </c>
      <c r="FF18" s="17">
        <f>FE18*VLOOKUP('Données projet'!$B$16,Paramètres!$A$1:$I$89,3,0)*VLOOKUP('Données projet'!$B$16,Paramètres!$A$1:$I$89,5,0)</f>
        <v>29.437200000000004</v>
      </c>
      <c r="FG18" s="13">
        <f t="shared" si="47"/>
        <v>9.1510096001539196</v>
      </c>
      <c r="FH18" s="20">
        <f t="shared" si="22"/>
        <v>67.207798386934755</v>
      </c>
      <c r="FI18" s="59">
        <f t="shared" si="23"/>
        <v>342.20779838693477</v>
      </c>
      <c r="FJ18" s="59">
        <f ca="1">AVERAGE(OFFSET($FI$3,0,0,'Données projet'!$E$16+1,1))-AVERAGE(OFFSET($H$3,0,0,'Données projet'!$E$16+1,1))</f>
        <v>299.10536994156814</v>
      </c>
      <c r="FK18" s="59">
        <f t="shared" si="48"/>
        <v>292.57799203101769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0.13250000000000001</v>
      </c>
      <c r="FP18" s="16">
        <f>IF(ISNA(VLOOKUP(A18,'Données projet'!$A$217:$I$237,7,0)),0%,VLOOKUP(A18,'Données projet'!$A$217:$I$237,7,0))</f>
        <v>0.25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1.7411479026021528</v>
      </c>
      <c r="FS18" s="21">
        <f>EXP(-LN(2)/2)*FS17+(1-EXP(-LN(2)/2))/(LN(2)/2)*FM18*FP18*VLOOKUP('Données projet'!$B$16,Paramètres!$A$1:$I$89,3,0)*0.475*44/12</f>
        <v>2.8150125497251763</v>
      </c>
      <c r="FT18" s="22">
        <f t="shared" si="24"/>
        <v>4.5561604523273296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72.435897435897431</v>
      </c>
      <c r="FX18" s="12">
        <f>VLOOKUP(A18,'Données projet'!$A$243:$I$263,9,0)</f>
        <v>7.0512820512820493</v>
      </c>
      <c r="FY18" s="12">
        <f t="array" ref="FY18">INDEX(FX:FX,MIN(IF(ISNUMBER(FX18:FX214),ROW(FX18:FX214),"")))</f>
        <v>7.0512820512820493</v>
      </c>
      <c r="FZ18" s="12">
        <f>IF('Données projet'!$A$244&gt;35,FZ17+FY18-GH17,IF(A18&lt;'Données projet'!$A$244,$FW$205^A18,IF(A18='Données projet'!$A$244,'Données projet'!$B$244,FZ17+FY18-GH17)))</f>
        <v>72.435897435897431</v>
      </c>
      <c r="GA18" s="17">
        <f>FZ18*VLOOKUP('Données projet'!$B$17,Paramètres!$A$1:$I$89,3,0)*VLOOKUP('Données projet'!$B$17,Paramètres!$A$1:$I$89,5,0)</f>
        <v>65.539999999999992</v>
      </c>
      <c r="GB18" s="13">
        <f t="shared" si="49"/>
        <v>18.561674503719694</v>
      </c>
      <c r="GC18" s="20">
        <f t="shared" si="25"/>
        <v>146.47708309397845</v>
      </c>
      <c r="GD18" s="59">
        <f t="shared" si="26"/>
        <v>421.47708309397842</v>
      </c>
      <c r="GE18" s="59">
        <f ca="1">AVERAGE(OFFSET($GD$3,0,0,'Données projet'!$E$17+1,1))-AVERAGE(OFFSET($H$3,0,0,'Données projet'!$E$17+1,1))</f>
        <v>204.78565758021779</v>
      </c>
      <c r="GF18" s="59">
        <f t="shared" si="50"/>
        <v>287.25131613242439</v>
      </c>
      <c r="GG18" s="15">
        <f>IF(ISNA(VLOOKUP(A18,'Données projet'!$A$243:$I$263,3,0)),0,VLOOKUP(A18,'Données projet'!$A$243:$I$263,3,0))</f>
        <v>3</v>
      </c>
      <c r="GH18" s="15">
        <f>IF(ISNA(VLOOKUP(A18,'Données projet'!$A$243:$I$263,4,0)),0,VLOOKUP(A18,'Données projet'!$A$243:$I$263,4,0))</f>
        <v>10.897435897435898</v>
      </c>
      <c r="GI18" s="16">
        <f>IF(ISNA(VLOOKUP(A18,'Données projet'!$A$243:$I$263,5,0)),0%,VLOOKUP(A18,'Données projet'!$A$243:$I$263,5,0)*VLOOKUP('Données projet'!$B$17,Paramètres!$A$1:$I$89,7,0))</f>
        <v>0.03</v>
      </c>
      <c r="GJ18" s="16">
        <f>IF(ISNA(VLOOKUP(A18,'Données projet'!$A$243:$I$263,6,0)),0%,VLOOKUP(A18,'Données projet'!$A$243:$I$263,6,0)*VLOOKUP('Données projet'!$B$17,Paramètres!$A$1:$I$89,7,0))</f>
        <v>0.12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0.75597234583188033</v>
      </c>
      <c r="GM18" s="21">
        <f>EXP(-LN(2)/25)*GM17+(1-EXP(-LN(2)/25))/(LN(2)/25)*Calculateur!GH18*Calculateur!GJ18*VLOOKUP('Données projet'!$B$17,Paramètres!$A$1:$I$89,3,0)*0.475*44/12</f>
        <v>2.9362233928969936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3.692195738728874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40</v>
      </c>
      <c r="GS18" s="12">
        <f>VLOOKUP(A18,'Données projet'!$A$269:$I$289,9,0)</f>
        <v>2.6666666666666665</v>
      </c>
      <c r="GT18" s="12">
        <f t="array" ref="GT18">INDEX(GS:GS,MIN(IF(ISNUMBER(GS18:GS214),ROW(GS18:GS214),"")))</f>
        <v>2.6666666666666665</v>
      </c>
      <c r="GU18" s="12">
        <f>IF('Données projet'!$A$270&gt;35,GU17+GT18-HC17,IF(A18&lt;'Données projet'!$A$270,$GR$205^A18,IF(A18='Données projet'!$A$270,'Données projet'!$B$270,GU17+GT18-HC17)))</f>
        <v>40</v>
      </c>
      <c r="GV18" s="17">
        <f>GU18*VLOOKUP('Données projet'!$B$18,Paramètres!$A$1:$I$89,3,0)*VLOOKUP('Données projet'!$B$18,Paramètres!$A$1:$I$89,5,0)</f>
        <v>31.200000000000003</v>
      </c>
      <c r="GW18" s="13">
        <f t="shared" si="51"/>
        <v>9.6335657126419925</v>
      </c>
      <c r="GX18" s="20">
        <f t="shared" si="28"/>
        <v>71.118460282851473</v>
      </c>
      <c r="GY18" s="59">
        <f t="shared" si="29"/>
        <v>346.11846028285146</v>
      </c>
      <c r="GZ18" s="59">
        <f ca="1">AVERAGE(OFFSET($GY$3,0,0,'Données projet'!$E$18+1,1))-AVERAGE(OFFSET($H$3,0,0,'Données projet'!$E$18+1,1))</f>
        <v>288.82868507674738</v>
      </c>
      <c r="HA18" s="59">
        <f t="shared" si="52"/>
        <v>283.48738729114024</v>
      </c>
      <c r="HB18" s="15">
        <f>IF(ISNA(VLOOKUP(A18,'Données projet'!$A$269:$I$289,3,0)),0,VLOOKUP(A18,'Données projet'!$A$269:$I$289,3,0))</f>
        <v>1</v>
      </c>
      <c r="HC18" s="15">
        <f>IF(ISNA(VLOOKUP(A18,'Données projet'!$A$269:$I$289,4,0)),0,VLOOKUP(A18,'Données projet'!$A$269:$I$289,4,0))</f>
        <v>3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0.1075</v>
      </c>
      <c r="HF18" s="16">
        <f>IF(ISNA(VLOOKUP(A18,'Données projet'!$A$269:$I$289,7,0)),0%,VLOOKUP(A18,'Données projet'!$A$269:$I$289,7,0))</f>
        <v>0.25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0.27698616282609173</v>
      </c>
      <c r="HI18" s="21">
        <f>EXP(-LN(2)/2)*HI17+(1-EXP(-LN(2)/2))/(LN(2)/2)*HC18*HF18*VLOOKUP('Données projet'!$B$18,Paramètres!$A$1:$I$89,3,0)*0.475*44/12</f>
        <v>0.55196324504415206</v>
      </c>
      <c r="HJ18" s="22">
        <f t="shared" si="30"/>
        <v>0.82894940787024374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5.8890909090909096</v>
      </c>
      <c r="N19" s="13">
        <f>IF('Données projet'!$A$36&gt;35,N18+M19-V18,IF(A19&lt;'Données projet'!$A$36,$K$205^A19,IF(A19='Données projet'!$A$36,'Données projet'!$B$36,N18+M19-V18)))</f>
        <v>34.382899778126003</v>
      </c>
      <c r="O19" s="13">
        <f>N19*VLOOKUP('Données projet'!$B$9,Paramètres!$A$1:$I$89,3,0)*VLOOKUP('Données projet'!$B$9,Paramètres!$A$1:$I$89,5,0)</f>
        <v>20.560974067319354</v>
      </c>
      <c r="P19" s="13">
        <f t="shared" si="33"/>
        <v>6.6643449029146105</v>
      </c>
      <c r="Q19" s="20">
        <f t="shared" si="2"/>
        <v>47.417430539824153</v>
      </c>
      <c r="R19" s="59">
        <f t="shared" si="0"/>
        <v>323.63965276204635</v>
      </c>
      <c r="S19" s="59">
        <f ca="1">AVERAGE(OFFSET($R$3,0,0,'Données projet'!$E$9+1,1))-AVERAGE(OFFSET($H$3,0,0,'Données projet'!$E$9+1,1))</f>
        <v>349.71285006949597</v>
      </c>
      <c r="T19" s="59">
        <f t="shared" si="34"/>
        <v>258.51550516456842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4.016578947368421</v>
      </c>
      <c r="AI19" s="13">
        <f>IF('Données projet'!$A$62&gt;35,AI18+AH19-AQ18,IF(A19&lt;'Données projet'!$A$62,$AF$205^A19,IF(A19='Données projet'!$A$62,'Données projet'!$B$62,AI18+AH19-AQ18)))</f>
        <v>64.265263157894751</v>
      </c>
      <c r="AJ19" s="13">
        <f>AI19*VLOOKUP('Données projet'!$B$10,Paramètres!$A$1:$I$89,3,0)*VLOOKUP('Données projet'!$B$10,Paramètres!$A$1:$I$89,5,0)</f>
        <v>61.154824421052645</v>
      </c>
      <c r="AK19" s="13">
        <f t="shared" si="35"/>
        <v>17.459920112357459</v>
      </c>
      <c r="AL19" s="20">
        <f t="shared" si="4"/>
        <v>136.92068006235593</v>
      </c>
      <c r="AM19" s="59">
        <f t="shared" si="5"/>
        <v>413.14290228457816</v>
      </c>
      <c r="AN19" s="59">
        <f ca="1">AVERAGE(OFFSET($AM$3,0,0,'Données projet'!$E$10+1,1))-AVERAGE(OFFSET($H$3,0,0,'Données projet'!$E$10+1,1))</f>
        <v>449.28947235329758</v>
      </c>
      <c r="AO19" s="59">
        <f t="shared" si="36"/>
        <v>289.36994109443964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59.272155428571445</v>
      </c>
      <c r="BF19" s="13">
        <f t="shared" si="37"/>
        <v>16.984116557241595</v>
      </c>
      <c r="BG19" s="20">
        <f t="shared" si="7"/>
        <v>132.81300704195772</v>
      </c>
      <c r="BH19" s="59">
        <f t="shared" si="8"/>
        <v>409.03522926417997</v>
      </c>
      <c r="BI19" s="59">
        <f ca="1">AVERAGE(OFFSET($BH$3,0,0,'Données projet'!$E$11+1,1))-AVERAGE(OFFSET($H$3,0,0,'Données projet'!$E$11+1,1))</f>
        <v>635.71275911100679</v>
      </c>
      <c r="BJ19" s="59">
        <f t="shared" si="38"/>
        <v>281.7776857269169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3.3603333333333336</v>
      </c>
      <c r="BY19" s="12">
        <f>IF('Données projet'!$A$114&gt;35,BY18+BX19-CG18,IF(A19&lt;'Données projet'!$A$114,$BV$205^A19,IF(A19='Données projet'!$A$114,'Données projet'!$B$114,BY18+BX19-CG18)))</f>
        <v>53.765333333333359</v>
      </c>
      <c r="BZ19" s="13">
        <f>BY19*VLOOKUP('Données projet'!$B$12,Paramètres!$A$1:$I$89,3,0)*VLOOKUP('Données projet'!$B$12,Paramètres!$A$1:$I$89,5,0)</f>
        <v>61.227961600000029</v>
      </c>
      <c r="CA19" s="13">
        <f t="shared" si="39"/>
        <v>17.478369214042406</v>
      </c>
      <c r="CB19" s="20">
        <f t="shared" si="10"/>
        <v>137.08019283445722</v>
      </c>
      <c r="CC19" s="59">
        <f t="shared" si="11"/>
        <v>413.30241505667948</v>
      </c>
      <c r="CD19" s="59">
        <f ca="1">AVERAGE(OFFSET($CC$3,0,0,'Données projet'!$E$12+1,1))-AVERAGE(OFFSET($H$3,0,0,'Données projet'!$E$12+1,1))</f>
        <v>593.28343396240075</v>
      </c>
      <c r="CE19" s="59">
        <f t="shared" si="40"/>
        <v>289.66477662068695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4.2307692307692308</v>
      </c>
      <c r="CT19" s="12">
        <f>IF('Données projet'!$A$140&gt;35,CT18+CS19-DB18,IF(A19&lt;'Données projet'!$A$140,$CQ$205^A19,IF(A19='Données projet'!$A$140,'Données projet'!$B$140,CT18+CS19-DB18)))</f>
        <v>34.830480541750092</v>
      </c>
      <c r="CU19" s="17">
        <f>CT19*VLOOKUP('Données projet'!$B$13,Paramètres!$A$1:$I$89,3,0)*VLOOKUP('Données projet'!$B$13,Paramètres!$A$1:$I$89,5,0)</f>
        <v>36.4048182622372</v>
      </c>
      <c r="CV19" s="13">
        <f t="shared" si="41"/>
        <v>11.040583840191552</v>
      </c>
      <c r="CW19" s="20">
        <f t="shared" si="13"/>
        <v>82.634075328396747</v>
      </c>
      <c r="CX19" s="59">
        <f t="shared" si="14"/>
        <v>358.85629755061899</v>
      </c>
      <c r="CY19" s="59">
        <f ca="1">AVERAGE(OFFSET($CX$3,0,0,'Données projet'!$E$13+1,1))-AVERAGE(OFFSET($H$3,0,0,'Données projet'!$E$13+1,1))</f>
        <v>260.65406541614402</v>
      </c>
      <c r="CZ19" s="59">
        <f t="shared" si="42"/>
        <v>277.63456890196886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7.6923076923076916</v>
      </c>
      <c r="DO19" s="12">
        <f>IF('Données projet'!$A$166&gt;35,DO18+DN19-DW18,IF(A19&lt;'Données projet'!$A$166,$DL$205^A19,IF(A19='Données projet'!$A$166,'Données projet'!$B$166,DO18+DN19-DW18)))</f>
        <v>33.333333333333336</v>
      </c>
      <c r="DP19" s="17">
        <f>DO19*VLOOKUP('Données projet'!$B$14,Paramètres!$A$1:$I$89,3,0)*VLOOKUP('Données projet'!$B$14,Paramètres!$A$1:$I$89,5,0)</f>
        <v>21.84</v>
      </c>
      <c r="DQ19" s="13">
        <f t="shared" si="43"/>
        <v>7.0293584875852613</v>
      </c>
      <c r="DR19" s="20">
        <f t="shared" si="16"/>
        <v>50.280799365877662</v>
      </c>
      <c r="DS19" s="59">
        <f t="shared" si="17"/>
        <v>326.5030215880999</v>
      </c>
      <c r="DT19" s="59">
        <f ca="1">AVERAGE(OFFSET($DS$3,0,0,'Données projet'!$E$14+1,1))-AVERAGE(OFFSET($H$3,0,0,'Données projet'!$E$14+1,1))</f>
        <v>181.4272795535777</v>
      </c>
      <c r="DU19" s="59">
        <f t="shared" si="44"/>
        <v>187.67131775419904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0.23552030950223435</v>
      </c>
      <c r="EC19" s="21">
        <f>EXP(-LN(2)/2)*EC18+(1-EXP(-LN(2)/2))/(LN(2)/2)*DW19*DZ19*VLOOKUP('Données projet'!$B$14,Paramètres!$A$1:$I$89,3,0)*0.475*44/12</f>
        <v>0.29259698816498175</v>
      </c>
      <c r="ED19" s="22">
        <f t="shared" si="18"/>
        <v>0.52811729766721616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7.3717948717948714</v>
      </c>
      <c r="EJ19" s="12">
        <f>IF('Données projet'!$A$192&gt;35,EJ18+EI19-ER18,IF(A19&lt;'Données projet'!$A$192,$EG$205^A19,IF(A19='Données projet'!$A$192,'Données projet'!$B$192,EJ18+EI19-ER18)))</f>
        <v>66.666666666666657</v>
      </c>
      <c r="EK19" s="17">
        <f>EJ19*VLOOKUP('Données projet'!$B$15,Paramètres!$A$1:$I$89,3,0)*VLOOKUP('Données projet'!$B$15,Paramètres!$A$1:$I$89,5,0)</f>
        <v>54.08</v>
      </c>
      <c r="EL19" s="13">
        <f t="shared" si="45"/>
        <v>15.662579121802704</v>
      </c>
      <c r="EM19" s="20">
        <f t="shared" si="19"/>
        <v>121.4683253038064</v>
      </c>
      <c r="EN19" s="59">
        <f t="shared" si="20"/>
        <v>397.69054752602864</v>
      </c>
      <c r="EO19" s="59">
        <f ca="1">AVERAGE(OFFSET($EN$3,0,0,'Données projet'!$E$15+1,1))-AVERAGE(OFFSET($H$3,0,0,'Données projet'!$E$15+1,1))</f>
        <v>159.68591355116837</v>
      </c>
      <c r="EP19" s="59">
        <f t="shared" si="46"/>
        <v>284.32631786390112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1.2670933068173913</v>
      </c>
      <c r="EX19" s="21">
        <f>EXP(-LN(2)/2)*EX18+(1-EXP(-LN(2)/2))/(LN(2)/2)*ER19*EU19*VLOOKUP('Données projet'!$B$15,Paramètres!$A$1:$I$89,3,0)*0.475*44/12</f>
        <v>0.70528636866752781</v>
      </c>
      <c r="EY19" s="22">
        <f t="shared" si="21"/>
        <v>1.9723796754849192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11.6</v>
      </c>
      <c r="FE19" s="12">
        <f>IF('Données projet'!$A$218&gt;35,FE18+FD19-FM18,IF(A19&lt;'Données projet'!$A$218,$FB$205^A19,IF(A19='Données projet'!$A$218,'Données projet'!$B$218,FE18+FD19-FM18)))</f>
        <v>33.6</v>
      </c>
      <c r="FF19" s="17">
        <f>FE19*VLOOKUP('Données projet'!$B$16,Paramètres!$A$1:$I$89,3,0)*VLOOKUP('Données projet'!$B$16,Paramètres!$A$1:$I$89,5,0)</f>
        <v>26.732160000000004</v>
      </c>
      <c r="FG19" s="13">
        <f t="shared" si="47"/>
        <v>8.4038705306032053</v>
      </c>
      <c r="FH19" s="20">
        <f t="shared" si="22"/>
        <v>61.195253174133917</v>
      </c>
      <c r="FI19" s="59">
        <f t="shared" si="23"/>
        <v>337.41747539635617</v>
      </c>
      <c r="FJ19" s="59">
        <f ca="1">AVERAGE(OFFSET($FI$3,0,0,'Données projet'!$E$16+1,1))-AVERAGE(OFFSET($H$3,0,0,'Données projet'!$E$16+1,1))</f>
        <v>299.10536994156814</v>
      </c>
      <c r="FK19" s="59">
        <f t="shared" si="48"/>
        <v>292.57799203101769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1.6935361216425082</v>
      </c>
      <c r="FS19" s="21">
        <f>EXP(-LN(2)/2)*FS18+(1-EXP(-LN(2)/2))/(LN(2)/2)*FM19*FP19*VLOOKUP('Données projet'!$B$16,Paramètres!$A$1:$I$89,3,0)*0.475*44/12</f>
        <v>1.9905144630359057</v>
      </c>
      <c r="FT19" s="22">
        <f t="shared" si="24"/>
        <v>3.6840505846784142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6.2820512820512819</v>
      </c>
      <c r="FZ19" s="12">
        <f>IF('Données projet'!$A$244&gt;35,FZ18+FY19-GH18,IF(A19&lt;'Données projet'!$A$244,$FW$205^A19,IF(A19='Données projet'!$A$244,'Données projet'!$B$244,FZ18+FY19-GH18)))</f>
        <v>67.820512820512818</v>
      </c>
      <c r="GA19" s="17">
        <f>FZ19*VLOOKUP('Données projet'!$B$17,Paramètres!$A$1:$I$89,3,0)*VLOOKUP('Données projet'!$B$17,Paramètres!$A$1:$I$89,5,0)</f>
        <v>61.36399999999999</v>
      </c>
      <c r="GB19" s="13">
        <f t="shared" si="49"/>
        <v>17.512678542245744</v>
      </c>
      <c r="GC19" s="20">
        <f t="shared" si="25"/>
        <v>137.37688179441133</v>
      </c>
      <c r="GD19" s="59">
        <f t="shared" si="26"/>
        <v>413.59910401663353</v>
      </c>
      <c r="GE19" s="59">
        <f ca="1">AVERAGE(OFFSET($GD$3,0,0,'Données projet'!$E$17+1,1))-AVERAGE(OFFSET($H$3,0,0,'Données projet'!$E$17+1,1))</f>
        <v>204.78565758021779</v>
      </c>
      <c r="GF19" s="59">
        <f t="shared" si="50"/>
        <v>287.25131613242439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0.74114818922771852</v>
      </c>
      <c r="GM19" s="21">
        <f>EXP(-LN(2)/25)*GM18+(1-EXP(-LN(2)/25))/(LN(2)/25)*Calculateur!GH19*Calculateur!GJ19*VLOOKUP('Données projet'!$B$17,Paramètres!$A$1:$I$89,3,0)*0.475*44/12</f>
        <v>2.8559322098089481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3.5970803990366669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9.6</v>
      </c>
      <c r="GU19" s="12">
        <f>IF('Données projet'!$A$270&gt;35,GU18+GT19-HC18,IF(A19&lt;'Données projet'!$A$270,$GR$205^A19,IF(A19='Données projet'!$A$270,'Données projet'!$B$270,GU18+GT19-HC18)))</f>
        <v>46.6</v>
      </c>
      <c r="GV19" s="17">
        <f>GU19*VLOOKUP('Données projet'!$B$18,Paramètres!$A$1:$I$89,3,0)*VLOOKUP('Données projet'!$B$18,Paramètres!$A$1:$I$89,5,0)</f>
        <v>36.347999999999999</v>
      </c>
      <c r="GW19" s="13">
        <f t="shared" si="51"/>
        <v>11.025356771848859</v>
      </c>
      <c r="GX19" s="20">
        <f t="shared" si="28"/>
        <v>82.508596377636763</v>
      </c>
      <c r="GY19" s="59">
        <f t="shared" si="29"/>
        <v>358.73081859985899</v>
      </c>
      <c r="GZ19" s="59">
        <f ca="1">AVERAGE(OFFSET($GY$3,0,0,'Données projet'!$E$18+1,1))-AVERAGE(OFFSET($H$3,0,0,'Données projet'!$E$18+1,1))</f>
        <v>288.82868507674738</v>
      </c>
      <c r="HA19" s="59">
        <f t="shared" si="52"/>
        <v>283.48738729114024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0.269411961637543</v>
      </c>
      <c r="HI19" s="21">
        <f>EXP(-LN(2)/2)*HI18+(1-EXP(-LN(2)/2))/(LN(2)/2)*HC19*HF19*VLOOKUP('Données projet'!$B$18,Paramètres!$A$1:$I$89,3,0)*0.475*44/12</f>
        <v>0.390296953536452</v>
      </c>
      <c r="HJ19" s="22">
        <f t="shared" si="30"/>
        <v>0.65970891517399499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5.8890909090909096</v>
      </c>
      <c r="N20" s="13">
        <f>IF('Données projet'!$A$36&gt;35,N19+M20-V19,IF(A20&lt;'Données projet'!$A$36,$K$205^A20,IF(A20='Données projet'!$A$36,'Données projet'!$B$36,N19+M20-V19)))</f>
        <v>42.890776385274457</v>
      </c>
      <c r="O20" s="13">
        <f>N20*VLOOKUP('Données projet'!$B$9,Paramètres!$A$1:$I$89,3,0)*VLOOKUP('Données projet'!$B$9,Paramètres!$A$1:$I$89,5,0)</f>
        <v>25.648684278394128</v>
      </c>
      <c r="P20" s="13">
        <f t="shared" si="33"/>
        <v>8.1021817259143134</v>
      </c>
      <c r="Q20" s="20">
        <f t="shared" si="2"/>
        <v>58.782758290837201</v>
      </c>
      <c r="R20" s="59">
        <f t="shared" si="0"/>
        <v>336.22720273528165</v>
      </c>
      <c r="S20" s="59">
        <f ca="1">AVERAGE(OFFSET($R$3,0,0,'Données projet'!$E$9+1,1))-AVERAGE(OFFSET($H$3,0,0,'Données projet'!$E$9+1,1))</f>
        <v>349.71285006949597</v>
      </c>
      <c r="T20" s="59">
        <f t="shared" si="34"/>
        <v>258.51550516456842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4.016578947368421</v>
      </c>
      <c r="AI20" s="13">
        <f>IF('Données projet'!$A$62&gt;35,AI19+AH20-AQ19,IF(A20&lt;'Données projet'!$A$62,$AF$205^A20,IF(A20='Données projet'!$A$62,'Données projet'!$B$62,AI19+AH20-AQ19)))</f>
        <v>68.281842105263166</v>
      </c>
      <c r="AJ20" s="13">
        <f>AI20*VLOOKUP('Données projet'!$B$10,Paramètres!$A$1:$I$89,3,0)*VLOOKUP('Données projet'!$B$10,Paramètres!$A$1:$I$89,5,0)</f>
        <v>64.977000947368424</v>
      </c>
      <c r="AK20" s="13">
        <f t="shared" si="35"/>
        <v>18.420715814085391</v>
      </c>
      <c r="AL20" s="20">
        <f t="shared" si="4"/>
        <v>145.25102335953207</v>
      </c>
      <c r="AM20" s="59">
        <f t="shared" si="5"/>
        <v>422.6954678039765</v>
      </c>
      <c r="AN20" s="59">
        <f ca="1">AVERAGE(OFFSET($AM$3,0,0,'Données projet'!$E$10+1,1))-AVERAGE(OFFSET($H$3,0,0,'Données projet'!$E$10+1,1))</f>
        <v>449.28947235329758</v>
      </c>
      <c r="AO20" s="59">
        <f t="shared" si="36"/>
        <v>289.36994109443964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62.976665142857165</v>
      </c>
      <c r="BF20" s="13">
        <f t="shared" si="37"/>
        <v>17.918729435240664</v>
      </c>
      <c r="BG20" s="20">
        <f t="shared" si="7"/>
        <v>140.89281222352039</v>
      </c>
      <c r="BH20" s="59">
        <f t="shared" si="8"/>
        <v>418.33725666796488</v>
      </c>
      <c r="BI20" s="59">
        <f ca="1">AVERAGE(OFFSET($BH$3,0,0,'Données projet'!$E$11+1,1))-AVERAGE(OFFSET($H$3,0,0,'Données projet'!$E$11+1,1))</f>
        <v>635.71275911100679</v>
      </c>
      <c r="BJ20" s="59">
        <f t="shared" si="38"/>
        <v>281.7776857269169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3.3603333333333336</v>
      </c>
      <c r="BY20" s="12">
        <f>IF('Données projet'!$A$114&gt;35,BY19+BX20-CG19,IF(A20&lt;'Données projet'!$A$114,$BV$205^A20,IF(A20='Données projet'!$A$114,'Données projet'!$B$114,BY19+BX20-CG19)))</f>
        <v>57.125666666666696</v>
      </c>
      <c r="BZ20" s="13">
        <f>BY20*VLOOKUP('Données projet'!$B$12,Paramètres!$A$1:$I$89,3,0)*VLOOKUP('Données projet'!$B$12,Paramètres!$A$1:$I$89,5,0)</f>
        <v>65.054709200000033</v>
      </c>
      <c r="CA20" s="13">
        <f t="shared" si="39"/>
        <v>18.440180144791182</v>
      </c>
      <c r="CB20" s="20">
        <f t="shared" si="10"/>
        <v>145.42026560884469</v>
      </c>
      <c r="CC20" s="59">
        <f t="shared" si="11"/>
        <v>422.86471005328917</v>
      </c>
      <c r="CD20" s="59">
        <f ca="1">AVERAGE(OFFSET($CC$3,0,0,'Données projet'!$E$12+1,1))-AVERAGE(OFFSET($H$3,0,0,'Données projet'!$E$12+1,1))</f>
        <v>593.28343396240075</v>
      </c>
      <c r="CE20" s="59">
        <f t="shared" si="40"/>
        <v>289.66477662068695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4.2307692307692308</v>
      </c>
      <c r="CT20" s="12">
        <f>IF('Données projet'!$A$140&gt;35,CT19+CS20-DB19,IF(A20&lt;'Données projet'!$A$140,$CQ$205^A20,IF(A20='Données projet'!$A$140,'Données projet'!$B$140,CT19+CS20-DB19)))</f>
        <v>43.484244893203908</v>
      </c>
      <c r="CU20" s="17">
        <f>CT20*VLOOKUP('Données projet'!$B$13,Paramètres!$A$1:$I$89,3,0)*VLOOKUP('Données projet'!$B$13,Paramètres!$A$1:$I$89,5,0)</f>
        <v>45.449732762376726</v>
      </c>
      <c r="CV20" s="13">
        <f t="shared" si="41"/>
        <v>13.432187688087911</v>
      </c>
      <c r="CW20" s="20">
        <f t="shared" si="13"/>
        <v>102.55267811789257</v>
      </c>
      <c r="CX20" s="59">
        <f t="shared" si="14"/>
        <v>379.99712256233704</v>
      </c>
      <c r="CY20" s="59">
        <f ca="1">AVERAGE(OFFSET($CX$3,0,0,'Données projet'!$E$13+1,1))-AVERAGE(OFFSET($H$3,0,0,'Données projet'!$E$13+1,1))</f>
        <v>260.65406541614402</v>
      </c>
      <c r="CZ20" s="59">
        <f t="shared" si="42"/>
        <v>277.63456890196886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7.6923076923076916</v>
      </c>
      <c r="DO20" s="12">
        <f>IF('Données projet'!$A$166&gt;35,DO19+DN20-DW19,IF(A20&lt;'Données projet'!$A$166,$DL$205^A20,IF(A20='Données projet'!$A$166,'Données projet'!$B$166,DO19+DN20-DW19)))</f>
        <v>41.025641025641029</v>
      </c>
      <c r="DP20" s="17">
        <f>DO20*VLOOKUP('Données projet'!$B$14,Paramètres!$A$1:$I$89,3,0)*VLOOKUP('Données projet'!$B$14,Paramètres!$A$1:$I$89,5,0)</f>
        <v>26.88</v>
      </c>
      <c r="DQ20" s="13">
        <f t="shared" si="43"/>
        <v>8.4449243379774988</v>
      </c>
      <c r="DR20" s="20">
        <f t="shared" si="16"/>
        <v>61.524243221977478</v>
      </c>
      <c r="DS20" s="59">
        <f t="shared" si="17"/>
        <v>338.96868766642194</v>
      </c>
      <c r="DT20" s="59">
        <f ca="1">AVERAGE(OFFSET($DS$3,0,0,'Données projet'!$E$14+1,1))-AVERAGE(OFFSET($H$3,0,0,'Données projet'!$E$14+1,1))</f>
        <v>181.4272795535777</v>
      </c>
      <c r="DU20" s="59">
        <f t="shared" si="44"/>
        <v>187.67131775419904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0.22907999425342096</v>
      </c>
      <c r="EC20" s="21">
        <f>EXP(-LN(2)/2)*EC19+(1-EXP(-LN(2)/2))/(LN(2)/2)*DW20*DZ20*VLOOKUP('Données projet'!$B$14,Paramètres!$A$1:$I$89,3,0)*0.475*44/12</f>
        <v>0.20689731448621859</v>
      </c>
      <c r="ED20" s="22">
        <f t="shared" si="18"/>
        <v>0.43597730873963958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7.3717948717948714</v>
      </c>
      <c r="EJ20" s="12">
        <f>IF('Données projet'!$A$192&gt;35,EJ19+EI20-ER19,IF(A20&lt;'Données projet'!$A$192,$EG$205^A20,IF(A20='Données projet'!$A$192,'Données projet'!$B$192,EJ19+EI20-ER19)))</f>
        <v>74.038461538461533</v>
      </c>
      <c r="EK20" s="17">
        <f>EJ20*VLOOKUP('Données projet'!$B$15,Paramètres!$A$1:$I$89,3,0)*VLOOKUP('Données projet'!$B$15,Paramètres!$A$1:$I$89,5,0)</f>
        <v>60.06</v>
      </c>
      <c r="EL20" s="13">
        <f t="shared" si="45"/>
        <v>17.183438012437968</v>
      </c>
      <c r="EM20" s="20">
        <f t="shared" si="19"/>
        <v>134.53232120499612</v>
      </c>
      <c r="EN20" s="59">
        <f t="shared" si="20"/>
        <v>411.97676564944061</v>
      </c>
      <c r="EO20" s="59">
        <f ca="1">AVERAGE(OFFSET($EN$3,0,0,'Données projet'!$E$15+1,1))-AVERAGE(OFFSET($H$3,0,0,'Données projet'!$E$15+1,1))</f>
        <v>159.68591355116837</v>
      </c>
      <c r="EP20" s="59">
        <f t="shared" si="46"/>
        <v>284.32631786390112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1.2324445737089287</v>
      </c>
      <c r="EX20" s="21">
        <f>EXP(-LN(2)/2)*EX19+(1-EXP(-LN(2)/2))/(LN(2)/2)*ER20*EU20*VLOOKUP('Données projet'!$B$15,Paramètres!$A$1:$I$89,3,0)*0.475*44/12</f>
        <v>0.49871277396324432</v>
      </c>
      <c r="EY20" s="22">
        <f t="shared" si="21"/>
        <v>1.7311573476721729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11.6</v>
      </c>
      <c r="FE20" s="12">
        <f>IF('Données projet'!$A$218&gt;35,FE19+FD20-FM19,IF(A20&lt;'Données projet'!$A$218,$FB$205^A20,IF(A20='Données projet'!$A$218,'Données projet'!$B$218,FE19+FD20-FM19)))</f>
        <v>45.2</v>
      </c>
      <c r="FF20" s="17">
        <f>FE20*VLOOKUP('Données projet'!$B$16,Paramètres!$A$1:$I$89,3,0)*VLOOKUP('Données projet'!$B$16,Paramètres!$A$1:$I$89,5,0)</f>
        <v>35.961120000000008</v>
      </c>
      <c r="FG20" s="13">
        <f t="shared" si="47"/>
        <v>10.921600552662685</v>
      </c>
      <c r="FH20" s="20">
        <f t="shared" si="22"/>
        <v>81.654071629220851</v>
      </c>
      <c r="FI20" s="59">
        <f t="shared" si="23"/>
        <v>359.09851607366534</v>
      </c>
      <c r="FJ20" s="59">
        <f ca="1">AVERAGE(OFFSET($FI$3,0,0,'Données projet'!$E$16+1,1))-AVERAGE(OFFSET($H$3,0,0,'Données projet'!$E$16+1,1))</f>
        <v>299.10536994156814</v>
      </c>
      <c r="FK20" s="59">
        <f t="shared" si="48"/>
        <v>292.57799203101769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1.6472262873369998</v>
      </c>
      <c r="FS20" s="21">
        <f>EXP(-LN(2)/2)*FS19+(1-EXP(-LN(2)/2))/(LN(2)/2)*FM20*FP20*VLOOKUP('Données projet'!$B$16,Paramètres!$A$1:$I$89,3,0)*0.475*44/12</f>
        <v>1.4075062748625884</v>
      </c>
      <c r="FT20" s="22">
        <f t="shared" si="24"/>
        <v>3.0547325621995882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6.2820512820512819</v>
      </c>
      <c r="FZ20" s="12">
        <f>IF('Données projet'!$A$244&gt;35,FZ19+FY20-GH19,IF(A20&lt;'Données projet'!$A$244,$FW$205^A20,IF(A20='Données projet'!$A$244,'Données projet'!$B$244,FZ19+FY20-GH19)))</f>
        <v>74.102564102564102</v>
      </c>
      <c r="GA20" s="17">
        <f>FZ20*VLOOKUP('Données projet'!$B$17,Paramètres!$A$1:$I$89,3,0)*VLOOKUP('Données projet'!$B$17,Paramètres!$A$1:$I$89,5,0)</f>
        <v>67.048000000000002</v>
      </c>
      <c r="GB20" s="13">
        <f t="shared" si="49"/>
        <v>18.938543777452278</v>
      </c>
      <c r="GC20" s="20">
        <f t="shared" si="25"/>
        <v>149.75989707906271</v>
      </c>
      <c r="GD20" s="59">
        <f t="shared" si="26"/>
        <v>427.2043415235072</v>
      </c>
      <c r="GE20" s="59">
        <f ca="1">AVERAGE(OFFSET($GD$3,0,0,'Données projet'!$E$17+1,1))-AVERAGE(OFFSET($H$3,0,0,'Données projet'!$E$17+1,1))</f>
        <v>204.78565758021779</v>
      </c>
      <c r="GF20" s="59">
        <f t="shared" si="50"/>
        <v>287.25131613242439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0.72661472529272164</v>
      </c>
      <c r="GM20" s="21">
        <f>EXP(-LN(2)/25)*GM19+(1-EXP(-LN(2)/25))/(LN(2)/25)*Calculateur!GH20*Calculateur!GJ20*VLOOKUP('Données projet'!$B$17,Paramètres!$A$1:$I$89,3,0)*0.475*44/12</f>
        <v>2.7778365933447748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3.5044513186374964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9.6</v>
      </c>
      <c r="GU20" s="12">
        <f>IF('Données projet'!$A$270&gt;35,GU19+GT20-HC19,IF(A20&lt;'Données projet'!$A$270,$GR$205^A20,IF(A20='Données projet'!$A$270,'Données projet'!$B$270,GU19+GT20-HC19)))</f>
        <v>56.2</v>
      </c>
      <c r="GV20" s="17">
        <f>GU20*VLOOKUP('Données projet'!$B$18,Paramètres!$A$1:$I$89,3,0)*VLOOKUP('Données projet'!$B$18,Paramètres!$A$1:$I$89,5,0)</f>
        <v>43.836000000000006</v>
      </c>
      <c r="GW20" s="13">
        <f t="shared" si="51"/>
        <v>13.009897179721728</v>
      </c>
      <c r="GX20" s="20">
        <f t="shared" si="28"/>
        <v>99.006604254682017</v>
      </c>
      <c r="GY20" s="59">
        <f t="shared" si="29"/>
        <v>376.45104869912649</v>
      </c>
      <c r="GZ20" s="59">
        <f ca="1">AVERAGE(OFFSET($GY$3,0,0,'Données projet'!$E$18+1,1))-AVERAGE(OFFSET($H$3,0,0,'Données projet'!$E$18+1,1))</f>
        <v>288.82868507674738</v>
      </c>
      <c r="HA20" s="59">
        <f t="shared" si="52"/>
        <v>283.48738729114024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0.26204487737880505</v>
      </c>
      <c r="HI20" s="21">
        <f>EXP(-LN(2)/2)*HI19+(1-EXP(-LN(2)/2))/(LN(2)/2)*HC20*HF20*VLOOKUP('Données projet'!$B$18,Paramètres!$A$1:$I$89,3,0)*0.475*44/12</f>
        <v>0.27598162252207609</v>
      </c>
      <c r="HJ20" s="22">
        <f t="shared" si="30"/>
        <v>0.53802649990088114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5.8890909090909096</v>
      </c>
      <c r="N21" s="13">
        <f>IF('Données projet'!$A$36&gt;35,N20+M21-V20,IF(A21&lt;'Données projet'!$A$36,$K$205^A21,IF(A21='Données projet'!$A$36,'Données projet'!$B$36,N20+M21-V20)))</f>
        <v>53.503884512438958</v>
      </c>
      <c r="O21" s="13">
        <f>N21*VLOOKUP('Données projet'!$B$9,Paramètres!$A$1:$I$89,3,0)*VLOOKUP('Données projet'!$B$9,Paramètres!$A$1:$I$89,5,0)</f>
        <v>31.995322938438498</v>
      </c>
      <c r="P21" s="13">
        <f t="shared" si="33"/>
        <v>9.8502327949788757</v>
      </c>
      <c r="Q21" s="20">
        <f t="shared" si="2"/>
        <v>72.881009569035243</v>
      </c>
      <c r="R21" s="59">
        <f t="shared" si="0"/>
        <v>351.54767623570194</v>
      </c>
      <c r="S21" s="59">
        <f ca="1">AVERAGE(OFFSET($R$3,0,0,'Données projet'!$E$9+1,1))-AVERAGE(OFFSET($H$3,0,0,'Données projet'!$E$9+1,1))</f>
        <v>349.71285006949597</v>
      </c>
      <c r="T21" s="59">
        <f t="shared" si="34"/>
        <v>258.51550516456842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4.016578947368421</v>
      </c>
      <c r="AI21" s="13">
        <f>IF('Données projet'!$A$62&gt;35,AI20+AH21-AQ20,IF(A21&lt;'Données projet'!$A$62,$AF$205^A21,IF(A21='Données projet'!$A$62,'Données projet'!$B$62,AI20+AH21-AQ20)))</f>
        <v>72.298421052631582</v>
      </c>
      <c r="AJ21" s="13">
        <f>AI21*VLOOKUP('Données projet'!$B$10,Paramètres!$A$1:$I$89,3,0)*VLOOKUP('Données projet'!$B$10,Paramètres!$A$1:$I$89,5,0)</f>
        <v>68.79917747368421</v>
      </c>
      <c r="AK21" s="13">
        <f t="shared" si="35"/>
        <v>19.37495136883436</v>
      </c>
      <c r="AL21" s="20">
        <f t="shared" si="4"/>
        <v>153.56994106738651</v>
      </c>
      <c r="AM21" s="59">
        <f t="shared" si="5"/>
        <v>432.23660773405322</v>
      </c>
      <c r="AN21" s="59">
        <f ca="1">AVERAGE(OFFSET($AM$3,0,0,'Données projet'!$E$10+1,1))-AVERAGE(OFFSET($H$3,0,0,'Données projet'!$E$10+1,1))</f>
        <v>449.28947235329758</v>
      </c>
      <c r="AO21" s="59">
        <f t="shared" si="36"/>
        <v>289.36994109443964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66.681174857142892</v>
      </c>
      <c r="BF21" s="13">
        <f t="shared" si="37"/>
        <v>18.846960938055496</v>
      </c>
      <c r="BG21" s="20">
        <f t="shared" si="7"/>
        <v>148.96150317663719</v>
      </c>
      <c r="BH21" s="59">
        <f t="shared" si="8"/>
        <v>427.62816984330391</v>
      </c>
      <c r="BI21" s="59">
        <f ca="1">AVERAGE(OFFSET($BH$3,0,0,'Données projet'!$E$11+1,1))-AVERAGE(OFFSET($H$3,0,0,'Données projet'!$E$11+1,1))</f>
        <v>635.71275911100679</v>
      </c>
      <c r="BJ21" s="59">
        <f t="shared" si="38"/>
        <v>281.7776857269169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3.3603333333333336</v>
      </c>
      <c r="BY21" s="12">
        <f>IF('Données projet'!$A$114&gt;35,BY20+BX21-CG20,IF(A21&lt;'Données projet'!$A$114,$BV$205^A21,IF(A21='Données projet'!$A$114,'Données projet'!$B$114,BY20+BX21-CG20)))</f>
        <v>60.486000000000033</v>
      </c>
      <c r="BZ21" s="13">
        <f>BY21*VLOOKUP('Données projet'!$B$12,Paramètres!$A$1:$I$89,3,0)*VLOOKUP('Données projet'!$B$12,Paramètres!$A$1:$I$89,5,0)</f>
        <v>68.881456800000038</v>
      </c>
      <c r="CA21" s="13">
        <f t="shared" si="39"/>
        <v>19.395423996752726</v>
      </c>
      <c r="CB21" s="20">
        <f t="shared" si="10"/>
        <v>153.74890072101104</v>
      </c>
      <c r="CC21" s="59">
        <f t="shared" si="11"/>
        <v>432.4155673876777</v>
      </c>
      <c r="CD21" s="59">
        <f ca="1">AVERAGE(OFFSET($CC$3,0,0,'Données projet'!$E$12+1,1))-AVERAGE(OFFSET($H$3,0,0,'Données projet'!$E$12+1,1))</f>
        <v>593.28343396240075</v>
      </c>
      <c r="CE21" s="59">
        <f t="shared" si="40"/>
        <v>289.66477662068695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4.2307692307692308</v>
      </c>
      <c r="CT21" s="12">
        <f>IF('Données projet'!$A$140&gt;35,CT20+CS21-DB20,IF(A21&lt;'Données projet'!$A$140,$CQ$205^A21,IF(A21='Données projet'!$A$140,'Données projet'!$B$140,CT20+CS21-DB20)))</f>
        <v>54.288069659722275</v>
      </c>
      <c r="CU21" s="17">
        <f>CT21*VLOOKUP('Données projet'!$B$13,Paramètres!$A$1:$I$89,3,0)*VLOOKUP('Données projet'!$B$13,Paramètres!$A$1:$I$89,5,0)</f>
        <v>56.741890408341732</v>
      </c>
      <c r="CV21" s="13">
        <f t="shared" si="41"/>
        <v>16.341859153427734</v>
      </c>
      <c r="CW21" s="20">
        <f t="shared" si="13"/>
        <v>127.28753048674848</v>
      </c>
      <c r="CX21" s="59">
        <f t="shared" si="14"/>
        <v>405.95419715341518</v>
      </c>
      <c r="CY21" s="59">
        <f ca="1">AVERAGE(OFFSET($CX$3,0,0,'Données projet'!$E$13+1,1))-AVERAGE(OFFSET($H$3,0,0,'Données projet'!$E$13+1,1))</f>
        <v>260.65406541614402</v>
      </c>
      <c r="CZ21" s="59">
        <f t="shared" si="42"/>
        <v>277.63456890196886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7.6923076923076916</v>
      </c>
      <c r="DO21" s="12">
        <f>IF('Données projet'!$A$166&gt;35,DO20+DN21-DW20,IF(A21&lt;'Données projet'!$A$166,$DL$205^A21,IF(A21='Données projet'!$A$166,'Données projet'!$B$166,DO20+DN21-DW20)))</f>
        <v>48.717948717948723</v>
      </c>
      <c r="DP21" s="17">
        <f>DO21*VLOOKUP('Données projet'!$B$14,Paramètres!$A$1:$I$89,3,0)*VLOOKUP('Données projet'!$B$14,Paramètres!$A$1:$I$89,5,0)</f>
        <v>31.920000000000005</v>
      </c>
      <c r="DQ21" s="13">
        <f t="shared" si="43"/>
        <v>9.8297399379525086</v>
      </c>
      <c r="DR21" s="20">
        <f t="shared" si="16"/>
        <v>72.714130391933963</v>
      </c>
      <c r="DS21" s="59">
        <f t="shared" si="17"/>
        <v>351.38079705860065</v>
      </c>
      <c r="DT21" s="59">
        <f ca="1">AVERAGE(OFFSET($DS$3,0,0,'Données projet'!$E$14+1,1))-AVERAGE(OFFSET($H$3,0,0,'Données projet'!$E$14+1,1))</f>
        <v>181.4272795535777</v>
      </c>
      <c r="DU21" s="59">
        <f t="shared" si="44"/>
        <v>187.67131775419904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0.22281578976376784</v>
      </c>
      <c r="EC21" s="21">
        <f>EXP(-LN(2)/2)*EC20+(1-EXP(-LN(2)/2))/(LN(2)/2)*DW21*DZ21*VLOOKUP('Données projet'!$B$14,Paramètres!$A$1:$I$89,3,0)*0.475*44/12</f>
        <v>0.14629849408249088</v>
      </c>
      <c r="ED21" s="22">
        <f t="shared" si="18"/>
        <v>0.36911428384625872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7.3717948717948714</v>
      </c>
      <c r="EJ21" s="12">
        <f>IF('Données projet'!$A$192&gt;35,EJ20+EI21-ER20,IF(A21&lt;'Données projet'!$A$192,$EG$205^A21,IF(A21='Données projet'!$A$192,'Données projet'!$B$192,EJ20+EI21-ER20)))</f>
        <v>81.410256410256409</v>
      </c>
      <c r="EK21" s="17">
        <f>EJ21*VLOOKUP('Données projet'!$B$15,Paramètres!$A$1:$I$89,3,0)*VLOOKUP('Données projet'!$B$15,Paramètres!$A$1:$I$89,5,0)</f>
        <v>66.040000000000006</v>
      </c>
      <c r="EL21" s="13">
        <f t="shared" si="45"/>
        <v>18.686741897950633</v>
      </c>
      <c r="EM21" s="20">
        <f t="shared" si="19"/>
        <v>147.56574213893069</v>
      </c>
      <c r="EN21" s="59">
        <f t="shared" si="20"/>
        <v>426.2324088055974</v>
      </c>
      <c r="EO21" s="59">
        <f ca="1">AVERAGE(OFFSET($EN$3,0,0,'Données projet'!$E$15+1,1))-AVERAGE(OFFSET($H$3,0,0,'Données projet'!$E$15+1,1))</f>
        <v>159.68591355116837</v>
      </c>
      <c r="EP21" s="59">
        <f t="shared" si="46"/>
        <v>284.32631786390112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1.1987433120294146</v>
      </c>
      <c r="EX21" s="21">
        <f>EXP(-LN(2)/2)*EX20+(1-EXP(-LN(2)/2))/(LN(2)/2)*ER21*EU21*VLOOKUP('Données projet'!$B$15,Paramètres!$A$1:$I$89,3,0)*0.475*44/12</f>
        <v>0.35264318433376396</v>
      </c>
      <c r="EY21" s="22">
        <f t="shared" si="21"/>
        <v>1.5513864963631785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11.6</v>
      </c>
      <c r="FE21" s="12">
        <f>IF('Données projet'!$A$218&gt;35,FE20+FD21-FM20,IF(A21&lt;'Données projet'!$A$218,$FB$205^A21,IF(A21='Données projet'!$A$218,'Données projet'!$B$218,FE20+FD21-FM20)))</f>
        <v>56.800000000000004</v>
      </c>
      <c r="FF21" s="17">
        <f>FE21*VLOOKUP('Données projet'!$B$16,Paramètres!$A$1:$I$89,3,0)*VLOOKUP('Données projet'!$B$16,Paramètres!$A$1:$I$89,5,0)</f>
        <v>45.190080000000009</v>
      </c>
      <c r="FG21" s="13">
        <f t="shared" si="47"/>
        <v>13.364359727915414</v>
      </c>
      <c r="FH21" s="20">
        <f t="shared" si="22"/>
        <v>101.98231585945268</v>
      </c>
      <c r="FI21" s="59">
        <f t="shared" si="23"/>
        <v>380.64898252611937</v>
      </c>
      <c r="FJ21" s="59">
        <f ca="1">AVERAGE(OFFSET($FI$3,0,0,'Données projet'!$E$16+1,1))-AVERAGE(OFFSET($H$3,0,0,'Données projet'!$E$16+1,1))</f>
        <v>299.10536994156814</v>
      </c>
      <c r="FK21" s="59">
        <f t="shared" si="48"/>
        <v>292.57799203101769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1.602182797885904</v>
      </c>
      <c r="FS21" s="21">
        <f>EXP(-LN(2)/2)*FS20+(1-EXP(-LN(2)/2))/(LN(2)/2)*FM21*FP21*VLOOKUP('Données projet'!$B$16,Paramètres!$A$1:$I$89,3,0)*0.475*44/12</f>
        <v>0.99525723151795298</v>
      </c>
      <c r="FT21" s="22">
        <f t="shared" si="24"/>
        <v>2.5974400294038569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6.2820512820512819</v>
      </c>
      <c r="FZ21" s="12">
        <f>IF('Données projet'!$A$244&gt;35,FZ20+FY21-GH20,IF(A21&lt;'Données projet'!$A$244,$FW$205^A21,IF(A21='Données projet'!$A$244,'Données projet'!$B$244,FZ20+FY21-GH20)))</f>
        <v>80.384615384615387</v>
      </c>
      <c r="GA21" s="17">
        <f>FZ21*VLOOKUP('Données projet'!$B$17,Paramètres!$A$1:$I$89,3,0)*VLOOKUP('Données projet'!$B$17,Paramètres!$A$1:$I$89,5,0)</f>
        <v>72.731999999999999</v>
      </c>
      <c r="GB21" s="13">
        <f t="shared" si="49"/>
        <v>20.35039031201395</v>
      </c>
      <c r="GC21" s="20">
        <f t="shared" si="25"/>
        <v>162.11849646009097</v>
      </c>
      <c r="GD21" s="59">
        <f t="shared" si="26"/>
        <v>440.78516312675765</v>
      </c>
      <c r="GE21" s="59">
        <f ca="1">AVERAGE(OFFSET($GD$3,0,0,'Données projet'!$E$17+1,1))-AVERAGE(OFFSET($H$3,0,0,'Données projet'!$E$17+1,1))</f>
        <v>204.78565758021779</v>
      </c>
      <c r="GF21" s="59">
        <f t="shared" si="50"/>
        <v>287.25131613242439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0.7123662537209523</v>
      </c>
      <c r="GM21" s="21">
        <f>EXP(-LN(2)/25)*GM20+(1-EXP(-LN(2)/25))/(LN(2)/25)*Calculateur!GH21*Calculateur!GJ21*VLOOKUP('Données projet'!$B$17,Paramètres!$A$1:$I$89,3,0)*0.475*44/12</f>
        <v>2.7018765056196843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3.4142427593406364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9.6</v>
      </c>
      <c r="GU21" s="12">
        <f>IF('Données projet'!$A$270&gt;35,GU20+GT21-HC20,IF(A21&lt;'Données projet'!$A$270,$GR$205^A21,IF(A21='Données projet'!$A$270,'Données projet'!$B$270,GU20+GT21-HC20)))</f>
        <v>65.8</v>
      </c>
      <c r="GV21" s="17">
        <f>GU21*VLOOKUP('Données projet'!$B$18,Paramètres!$A$1:$I$89,3,0)*VLOOKUP('Données projet'!$B$18,Paramètres!$A$1:$I$89,5,0)</f>
        <v>51.323999999999998</v>
      </c>
      <c r="GW21" s="13">
        <f t="shared" si="51"/>
        <v>14.95516659950003</v>
      </c>
      <c r="GX21" s="20">
        <f t="shared" si="28"/>
        <v>115.43621516079588</v>
      </c>
      <c r="GY21" s="59">
        <f t="shared" si="29"/>
        <v>394.10288182746257</v>
      </c>
      <c r="GZ21" s="59">
        <f ca="1">AVERAGE(OFFSET($GY$3,0,0,'Données projet'!$E$18+1,1))-AVERAGE(OFFSET($H$3,0,0,'Données projet'!$E$18+1,1))</f>
        <v>288.82868507674738</v>
      </c>
      <c r="HA21" s="59">
        <f t="shared" si="52"/>
        <v>283.48738729114024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0.25487924642654042</v>
      </c>
      <c r="HI21" s="21">
        <f>EXP(-LN(2)/2)*HI20+(1-EXP(-LN(2)/2))/(LN(2)/2)*HC21*HF21*VLOOKUP('Données projet'!$B$18,Paramètres!$A$1:$I$89,3,0)*0.475*44/12</f>
        <v>0.19514847676822603</v>
      </c>
      <c r="HJ21" s="22">
        <f t="shared" si="30"/>
        <v>0.45002772319476647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5.8890909090909096</v>
      </c>
      <c r="N22" s="13">
        <f>IF('Données projet'!$A$36&gt;35,N21+M22-V21,IF(A22&lt;'Données projet'!$A$36,$K$205^A22,IF(A22='Données projet'!$A$36,'Données projet'!$B$36,N21+M22-V21)))</f>
        <v>66.743153171347927</v>
      </c>
      <c r="O22" s="13">
        <f>N22*VLOOKUP('Données projet'!$B$9,Paramètres!$A$1:$I$89,3,0)*VLOOKUP('Données projet'!$B$9,Paramètres!$A$1:$I$89,5,0)</f>
        <v>39.912405596466066</v>
      </c>
      <c r="P22" s="13">
        <f t="shared" si="33"/>
        <v>11.975427038984135</v>
      </c>
      <c r="Q22" s="20">
        <f t="shared" si="2"/>
        <v>90.371308506742437</v>
      </c>
      <c r="R22" s="59">
        <f t="shared" si="0"/>
        <v>370.26019739563128</v>
      </c>
      <c r="S22" s="59">
        <f ca="1">AVERAGE(OFFSET($R$3,0,0,'Données projet'!$E$9+1,1))-AVERAGE(OFFSET($H$3,0,0,'Données projet'!$E$9+1,1))</f>
        <v>349.71285006949597</v>
      </c>
      <c r="T22" s="59">
        <f t="shared" si="34"/>
        <v>258.51550516456842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4.016578947368421</v>
      </c>
      <c r="AI22" s="13">
        <f>IF('Données projet'!$A$62&gt;35,AI21+AH22-AQ21,IF(A22&lt;'Données projet'!$A$62,$AF$205^A22,IF(A22='Données projet'!$A$62,'Données projet'!$B$62,AI21+AH22-AQ21)))</f>
        <v>76.314999999999998</v>
      </c>
      <c r="AJ22" s="13">
        <f>AI22*VLOOKUP('Données projet'!$B$10,Paramètres!$A$1:$I$89,3,0)*VLOOKUP('Données projet'!$B$10,Paramètres!$A$1:$I$89,5,0)</f>
        <v>72.621353999999997</v>
      </c>
      <c r="AK22" s="13">
        <f t="shared" si="35"/>
        <v>20.323032767751659</v>
      </c>
      <c r="AL22" s="20">
        <f t="shared" si="4"/>
        <v>161.87814028716744</v>
      </c>
      <c r="AM22" s="59">
        <f t="shared" si="5"/>
        <v>441.76702917605633</v>
      </c>
      <c r="AN22" s="59">
        <f ca="1">AVERAGE(OFFSET($AM$3,0,0,'Données projet'!$E$10+1,1))-AVERAGE(OFFSET($H$3,0,0,'Données projet'!$E$10+1,1))</f>
        <v>449.28947235329758</v>
      </c>
      <c r="AO22" s="59">
        <f t="shared" si="36"/>
        <v>289.36994109443964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70.385684571428612</v>
      </c>
      <c r="BF22" s="13">
        <f t="shared" si="37"/>
        <v>19.769205993092573</v>
      </c>
      <c r="BG22" s="20">
        <f t="shared" si="7"/>
        <v>157.01976773320771</v>
      </c>
      <c r="BH22" s="59">
        <f t="shared" si="8"/>
        <v>436.9086566220966</v>
      </c>
      <c r="BI22" s="59">
        <f ca="1">AVERAGE(OFFSET($BH$3,0,0,'Données projet'!$E$11+1,1))-AVERAGE(OFFSET($H$3,0,0,'Données projet'!$E$11+1,1))</f>
        <v>635.71275911100679</v>
      </c>
      <c r="BJ22" s="59">
        <f t="shared" si="38"/>
        <v>281.7776857269169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3.3603333333333336</v>
      </c>
      <c r="BY22" s="12">
        <f>IF('Données projet'!$A$114&gt;35,BY21+BX22-CG21,IF(A22&lt;'Données projet'!$A$114,$BV$205^A22,IF(A22='Données projet'!$A$114,'Données projet'!$B$114,BY21+BX22-CG21)))</f>
        <v>63.846333333333369</v>
      </c>
      <c r="BZ22" s="13">
        <f>BY22*VLOOKUP('Données projet'!$B$12,Paramètres!$A$1:$I$89,3,0)*VLOOKUP('Données projet'!$B$12,Paramètres!$A$1:$I$89,5,0)</f>
        <v>72.708204400000042</v>
      </c>
      <c r="CA22" s="13">
        <f t="shared" si="39"/>
        <v>20.344507190066661</v>
      </c>
      <c r="CB22" s="20">
        <f t="shared" si="10"/>
        <v>162.06680601936617</v>
      </c>
      <c r="CC22" s="59">
        <f t="shared" si="11"/>
        <v>441.95569490825505</v>
      </c>
      <c r="CD22" s="59">
        <f ca="1">AVERAGE(OFFSET($CC$3,0,0,'Données projet'!$E$12+1,1))-AVERAGE(OFFSET($H$3,0,0,'Données projet'!$E$12+1,1))</f>
        <v>593.28343396240075</v>
      </c>
      <c r="CE22" s="59">
        <f t="shared" si="40"/>
        <v>289.66477662068695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4.2307692307692308</v>
      </c>
      <c r="CT22" s="12">
        <f>IF('Données projet'!$A$140&gt;35,CT21+CS22-DB21,IF(A22&lt;'Données projet'!$A$140,$CQ$205^A22,IF(A22='Données projet'!$A$140,'Données projet'!$B$140,CT21+CS22-DB21)))</f>
        <v>67.776145466411705</v>
      </c>
      <c r="CU22" s="17">
        <f>CT22*VLOOKUP('Données projet'!$B$13,Paramètres!$A$1:$I$89,3,0)*VLOOKUP('Données projet'!$B$13,Paramètres!$A$1:$I$89,5,0)</f>
        <v>70.839627241493517</v>
      </c>
      <c r="CV22" s="13">
        <f t="shared" si="41"/>
        <v>19.881821695158678</v>
      </c>
      <c r="CW22" s="20">
        <f t="shared" si="13"/>
        <v>158.00652356466921</v>
      </c>
      <c r="CX22" s="59">
        <f t="shared" si="14"/>
        <v>437.89541245355804</v>
      </c>
      <c r="CY22" s="59">
        <f ca="1">AVERAGE(OFFSET($CX$3,0,0,'Données projet'!$E$13+1,1))-AVERAGE(OFFSET($H$3,0,0,'Données projet'!$E$13+1,1))</f>
        <v>260.65406541614402</v>
      </c>
      <c r="CZ22" s="59">
        <f t="shared" si="42"/>
        <v>277.63456890196886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7.6923076923076916</v>
      </c>
      <c r="DO22" s="12">
        <f>IF('Données projet'!$A$166&gt;35,DO21+DN22-DW21,IF(A22&lt;'Données projet'!$A$166,$DL$205^A22,IF(A22='Données projet'!$A$166,'Données projet'!$B$166,DO21+DN22-DW21)))</f>
        <v>56.410256410256416</v>
      </c>
      <c r="DP22" s="17">
        <f>DO22*VLOOKUP('Données projet'!$B$14,Paramètres!$A$1:$I$89,3,0)*VLOOKUP('Données projet'!$B$14,Paramètres!$A$1:$I$89,5,0)</f>
        <v>36.96</v>
      </c>
      <c r="DQ22" s="13">
        <f t="shared" si="43"/>
        <v>11.189225514592357</v>
      </c>
      <c r="DR22" s="20">
        <f t="shared" si="16"/>
        <v>83.859901104581681</v>
      </c>
      <c r="DS22" s="59">
        <f t="shared" si="17"/>
        <v>363.74878999347055</v>
      </c>
      <c r="DT22" s="59">
        <f ca="1">AVERAGE(OFFSET($DS$3,0,0,'Données projet'!$E$14+1,1))-AVERAGE(OFFSET($H$3,0,0,'Données projet'!$E$14+1,1))</f>
        <v>181.4272795535777</v>
      </c>
      <c r="DU22" s="59">
        <f t="shared" si="44"/>
        <v>187.67131775419904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0.21672288027530448</v>
      </c>
      <c r="EC22" s="21">
        <f>EXP(-LN(2)/2)*EC21+(1-EXP(-LN(2)/2))/(LN(2)/2)*DW22*DZ22*VLOOKUP('Données projet'!$B$14,Paramètres!$A$1:$I$89,3,0)*0.475*44/12</f>
        <v>0.1034486572431093</v>
      </c>
      <c r="ED22" s="22">
        <f t="shared" si="18"/>
        <v>0.32017153751841376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7.3717948717948714</v>
      </c>
      <c r="EJ22" s="12">
        <f>IF('Données projet'!$A$192&gt;35,EJ21+EI22-ER21,IF(A22&lt;'Données projet'!$A$192,$EG$205^A22,IF(A22='Données projet'!$A$192,'Données projet'!$B$192,EJ21+EI22-ER21)))</f>
        <v>88.782051282051285</v>
      </c>
      <c r="EK22" s="17">
        <f>EJ22*VLOOKUP('Données projet'!$B$15,Paramètres!$A$1:$I$89,3,0)*VLOOKUP('Données projet'!$B$15,Paramètres!$A$1:$I$89,5,0)</f>
        <v>72.02000000000001</v>
      </c>
      <c r="EL22" s="13">
        <f t="shared" si="45"/>
        <v>20.174261184204028</v>
      </c>
      <c r="EM22" s="20">
        <f t="shared" si="19"/>
        <v>160.57167156248869</v>
      </c>
      <c r="EN22" s="59">
        <f t="shared" si="20"/>
        <v>440.46056045137755</v>
      </c>
      <c r="EO22" s="59">
        <f ca="1">AVERAGE(OFFSET($EN$3,0,0,'Données projet'!$E$15+1,1))-AVERAGE(OFFSET($H$3,0,0,'Données projet'!$E$15+1,1))</f>
        <v>159.68591355116837</v>
      </c>
      <c r="EP22" s="59">
        <f t="shared" si="46"/>
        <v>284.32631786390112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1.1659636131227993</v>
      </c>
      <c r="EX22" s="21">
        <f>EXP(-LN(2)/2)*EX21+(1-EXP(-LN(2)/2))/(LN(2)/2)*ER22*EU22*VLOOKUP('Données projet'!$B$15,Paramètres!$A$1:$I$89,3,0)*0.475*44/12</f>
        <v>0.24935638698162219</v>
      </c>
      <c r="EY22" s="22">
        <f t="shared" si="21"/>
        <v>1.4153200001044215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11.6</v>
      </c>
      <c r="FE22" s="12">
        <f>IF('Données projet'!$A$218&gt;35,FE21+FD22-FM21,IF(A22&lt;'Données projet'!$A$218,$FB$205^A22,IF(A22='Données projet'!$A$218,'Données projet'!$B$218,FE21+FD22-FM21)))</f>
        <v>68.400000000000006</v>
      </c>
      <c r="FF22" s="17">
        <f>FE22*VLOOKUP('Données projet'!$B$16,Paramètres!$A$1:$I$89,3,0)*VLOOKUP('Données projet'!$B$16,Paramètres!$A$1:$I$89,5,0)</f>
        <v>54.419040000000003</v>
      </c>
      <c r="FG22" s="13">
        <f t="shared" si="47"/>
        <v>15.749310274925152</v>
      </c>
      <c r="FH22" s="20">
        <f t="shared" si="22"/>
        <v>122.20987672882796</v>
      </c>
      <c r="FI22" s="59">
        <f t="shared" si="23"/>
        <v>402.09876561771682</v>
      </c>
      <c r="FJ22" s="59">
        <f ca="1">AVERAGE(OFFSET($FI$3,0,0,'Données projet'!$E$16+1,1))-AVERAGE(OFFSET($H$3,0,0,'Données projet'!$E$16+1,1))</f>
        <v>299.10536994156814</v>
      </c>
      <c r="FK22" s="59">
        <f t="shared" si="48"/>
        <v>292.57799203101769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1.5583710250225824</v>
      </c>
      <c r="FS22" s="21">
        <f>EXP(-LN(2)/2)*FS21+(1-EXP(-LN(2)/2))/(LN(2)/2)*FM22*FP22*VLOOKUP('Données projet'!$B$16,Paramètres!$A$1:$I$89,3,0)*0.475*44/12</f>
        <v>0.70375313743129431</v>
      </c>
      <c r="FT22" s="22">
        <f t="shared" si="24"/>
        <v>2.2621241624538766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6.2820512820512819</v>
      </c>
      <c r="FZ22" s="12">
        <f>IF('Données projet'!$A$244&gt;35,FZ21+FY22-GH21,IF(A22&lt;'Données projet'!$A$244,$FW$205^A22,IF(A22='Données projet'!$A$244,'Données projet'!$B$244,FZ21+FY22-GH21)))</f>
        <v>86.666666666666671</v>
      </c>
      <c r="GA22" s="17">
        <f>FZ22*VLOOKUP('Données projet'!$B$17,Paramètres!$A$1:$I$89,3,0)*VLOOKUP('Données projet'!$B$17,Paramètres!$A$1:$I$89,5,0)</f>
        <v>78.415999999999997</v>
      </c>
      <c r="GB22" s="13">
        <f t="shared" si="49"/>
        <v>21.749438265868008</v>
      </c>
      <c r="GC22" s="20">
        <f t="shared" si="25"/>
        <v>174.45480497972014</v>
      </c>
      <c r="GD22" s="59">
        <f t="shared" si="26"/>
        <v>454.34369386860897</v>
      </c>
      <c r="GE22" s="59">
        <f ca="1">AVERAGE(OFFSET($GD$3,0,0,'Données projet'!$E$17+1,1))-AVERAGE(OFFSET($H$3,0,0,'Données projet'!$E$17+1,1))</f>
        <v>204.78565758021779</v>
      </c>
      <c r="GF22" s="59">
        <f t="shared" si="50"/>
        <v>287.25131613242439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0.69839718598599587</v>
      </c>
      <c r="GM22" s="21">
        <f>EXP(-LN(2)/25)*GM21+(1-EXP(-LN(2)/25))/(LN(2)/25)*Calculateur!GH22*Calculateur!GJ22*VLOOKUP('Données projet'!$B$17,Paramètres!$A$1:$I$89,3,0)*0.475*44/12</f>
        <v>2.6279935504880036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3.3263907364739995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9.6</v>
      </c>
      <c r="GU22" s="12">
        <f>IF('Données projet'!$A$270&gt;35,GU21+GT22-HC21,IF(A22&lt;'Données projet'!$A$270,$GR$205^A22,IF(A22='Données projet'!$A$270,'Données projet'!$B$270,GU21+GT22-HC21)))</f>
        <v>75.399999999999991</v>
      </c>
      <c r="GV22" s="17">
        <f>GU22*VLOOKUP('Données projet'!$B$18,Paramètres!$A$1:$I$89,3,0)*VLOOKUP('Données projet'!$B$18,Paramètres!$A$1:$I$89,5,0)</f>
        <v>58.811999999999998</v>
      </c>
      <c r="GW22" s="13">
        <f t="shared" si="51"/>
        <v>16.86755663452599</v>
      </c>
      <c r="GX22" s="20">
        <f t="shared" si="28"/>
        <v>131.8085611384661</v>
      </c>
      <c r="GY22" s="59">
        <f t="shared" si="29"/>
        <v>411.69745002735499</v>
      </c>
      <c r="GZ22" s="59">
        <f ca="1">AVERAGE(OFFSET($GY$3,0,0,'Données projet'!$E$18+1,1))-AVERAGE(OFFSET($H$3,0,0,'Données projet'!$E$18+1,1))</f>
        <v>288.82868507674738</v>
      </c>
      <c r="HA22" s="59">
        <f t="shared" si="52"/>
        <v>283.48738729114024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0.24790956002948963</v>
      </c>
      <c r="HI22" s="21">
        <f>EXP(-LN(2)/2)*HI21+(1-EXP(-LN(2)/2))/(LN(2)/2)*HC22*HF22*VLOOKUP('Données projet'!$B$18,Paramètres!$A$1:$I$89,3,0)*0.475*44/12</f>
        <v>0.13799081126103807</v>
      </c>
      <c r="HJ22" s="22">
        <f t="shared" si="30"/>
        <v>0.38590037129052768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5.8890909090909096</v>
      </c>
      <c r="N23" s="13">
        <f>IF('Données projet'!$A$36&gt;35,N22+M23-V22,IF(A23&lt;'Données projet'!$A$36,$K$205^A23,IF(A23='Données projet'!$A$36,'Données projet'!$B$36,N22+M23-V22)))</f>
        <v>83.25841265260587</v>
      </c>
      <c r="O23" s="13">
        <f>N23*VLOOKUP('Données projet'!$B$9,Paramètres!$A$1:$I$89,3,0)*VLOOKUP('Données projet'!$B$9,Paramètres!$A$1:$I$89,5,0)</f>
        <v>49.788530766258319</v>
      </c>
      <c r="P23" s="13">
        <f t="shared" si="33"/>
        <v>14.559133347501747</v>
      </c>
      <c r="Q23" s="20">
        <f t="shared" si="2"/>
        <v>112.07218166479875</v>
      </c>
      <c r="R23" s="59">
        <f t="shared" si="0"/>
        <v>393.18329277590988</v>
      </c>
      <c r="S23" s="59">
        <f ca="1">AVERAGE(OFFSET($R$3,0,0,'Données projet'!$E$9+1,1))-AVERAGE(OFFSET($H$3,0,0,'Données projet'!$E$9+1,1))</f>
        <v>349.71285006949597</v>
      </c>
      <c r="T23" s="59">
        <f t="shared" si="34"/>
        <v>258.51550516456842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4.016578947368421</v>
      </c>
      <c r="AI23" s="13">
        <f>IF('Données projet'!$A$62&gt;35,AI22+AH23-AQ22,IF(A23&lt;'Données projet'!$A$62,$AF$205^A23,IF(A23='Données projet'!$A$62,'Données projet'!$B$62,AI22+AH23-AQ22)))</f>
        <v>80.331578947368413</v>
      </c>
      <c r="AJ23" s="13">
        <f>AI23*VLOOKUP('Données projet'!$B$10,Paramètres!$A$1:$I$89,3,0)*VLOOKUP('Données projet'!$B$10,Paramètres!$A$1:$I$89,5,0)</f>
        <v>76.443530526315783</v>
      </c>
      <c r="AK23" s="13">
        <f t="shared" si="35"/>
        <v>21.265320852361398</v>
      </c>
      <c r="AL23" s="20">
        <f t="shared" si="4"/>
        <v>170.17624948452939</v>
      </c>
      <c r="AM23" s="59">
        <f t="shared" si="5"/>
        <v>451.28736059564051</v>
      </c>
      <c r="AN23" s="59">
        <f ca="1">AVERAGE(OFFSET($AM$3,0,0,'Données projet'!$E$10+1,1))-AVERAGE(OFFSET($H$3,0,0,'Données projet'!$E$10+1,1))</f>
        <v>449.28947235329758</v>
      </c>
      <c r="AO23" s="59">
        <f t="shared" si="36"/>
        <v>289.36994109443964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74.090194285714318</v>
      </c>
      <c r="BF23" s="13">
        <f t="shared" si="37"/>
        <v>20.685815608516002</v>
      </c>
      <c r="BG23" s="20">
        <f t="shared" si="7"/>
        <v>165.06821723245113</v>
      </c>
      <c r="BH23" s="59">
        <f t="shared" si="8"/>
        <v>446.17932834356225</v>
      </c>
      <c r="BI23" s="59">
        <f ca="1">AVERAGE(OFFSET($BH$3,0,0,'Données projet'!$E$11+1,1))-AVERAGE(OFFSET($H$3,0,0,'Données projet'!$E$11+1,1))</f>
        <v>635.71275911100679</v>
      </c>
      <c r="BJ23" s="59">
        <f t="shared" si="38"/>
        <v>281.7776857269169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3.3603333333333336</v>
      </c>
      <c r="BY23" s="12">
        <f>IF('Données projet'!$A$114&gt;35,BY22+BX23-CG22,IF(A23&lt;'Données projet'!$A$114,$BV$205^A23,IF(A23='Données projet'!$A$114,'Données projet'!$B$114,BY22+BX23-CG22)))</f>
        <v>67.206666666666706</v>
      </c>
      <c r="BZ23" s="13">
        <f>BY23*VLOOKUP('Données projet'!$B$12,Paramètres!$A$1:$I$89,3,0)*VLOOKUP('Données projet'!$B$12,Paramètres!$A$1:$I$89,5,0)</f>
        <v>76.534952000000047</v>
      </c>
      <c r="CA23" s="13">
        <f t="shared" si="39"/>
        <v>21.287790947541872</v>
      </c>
      <c r="CB23" s="20">
        <f t="shared" si="10"/>
        <v>170.37461063363551</v>
      </c>
      <c r="CC23" s="59">
        <f t="shared" si="11"/>
        <v>451.48572174474668</v>
      </c>
      <c r="CD23" s="59">
        <f ca="1">AVERAGE(OFFSET($CC$3,0,0,'Données projet'!$E$12+1,1))-AVERAGE(OFFSET($H$3,0,0,'Données projet'!$E$12+1,1))</f>
        <v>593.28343396240075</v>
      </c>
      <c r="CE23" s="59">
        <f t="shared" si="40"/>
        <v>289.66477662068695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84.615384615384613</v>
      </c>
      <c r="CR23" s="12">
        <f>VLOOKUP(A23,'Données projet'!$A$139:$I$159,9,0)</f>
        <v>4.2307692307692308</v>
      </c>
      <c r="CS23" s="12">
        <f t="array" ref="CS23">INDEX(CR:CR,MIN(IF(ISNUMBER(CR23:CR219),ROW(CR23:CR219),"")))</f>
        <v>4.2307692307692308</v>
      </c>
      <c r="CT23" s="12">
        <f>IF('Données projet'!$A$140&gt;35,CT22+CS23-DB22,IF(A23&lt;'Données projet'!$A$140,$CQ$205^A23,IF(A23='Données projet'!$A$140,'Données projet'!$B$140,CT22+CS23-DB22)))</f>
        <v>84.615384615384613</v>
      </c>
      <c r="CU23" s="17">
        <f>CT23*VLOOKUP('Données projet'!$B$13,Paramètres!$A$1:$I$89,3,0)*VLOOKUP('Données projet'!$B$13,Paramètres!$A$1:$I$89,5,0)</f>
        <v>88.44</v>
      </c>
      <c r="CV23" s="13">
        <f t="shared" si="41"/>
        <v>24.188608542447859</v>
      </c>
      <c r="CW23" s="20">
        <f t="shared" si="13"/>
        <v>196.16149321143004</v>
      </c>
      <c r="CX23" s="59">
        <f t="shared" si="14"/>
        <v>477.27260432254116</v>
      </c>
      <c r="CY23" s="59">
        <f ca="1">AVERAGE(OFFSET($CX$3,0,0,'Données projet'!$E$13+1,1))-AVERAGE(OFFSET($H$3,0,0,'Données projet'!$E$13+1,1))</f>
        <v>260.65406541614402</v>
      </c>
      <c r="CZ23" s="59">
        <f t="shared" si="42"/>
        <v>277.63456890196886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32.051282051282051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0.215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7.9308003886103178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7.9308003886103178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64.102564102564102</v>
      </c>
      <c r="DM23" s="12">
        <f>VLOOKUP(A23,'Données projet'!$A$165:$I$185,9,0)</f>
        <v>7.6923076923076916</v>
      </c>
      <c r="DN23" s="12">
        <f t="array" ref="DN23">INDEX(DM:DM,MIN(IF(ISNUMBER(DM23:DM219),ROW(DM23:DM219),"")))</f>
        <v>7.6923076923076916</v>
      </c>
      <c r="DO23" s="12">
        <f>IF('Données projet'!$A$166&gt;35,DO22+DN23-DW22,IF(A23&lt;'Données projet'!$A$166,$DL$205^A23,IF(A23='Données projet'!$A$166,'Données projet'!$B$166,DO22+DN23-DW22)))</f>
        <v>64.102564102564102</v>
      </c>
      <c r="DP23" s="17">
        <f>DO23*VLOOKUP('Données projet'!$B$14,Paramètres!$A$1:$I$89,3,0)*VLOOKUP('Données projet'!$B$14,Paramètres!$A$1:$I$89,5,0)</f>
        <v>42</v>
      </c>
      <c r="DQ23" s="13">
        <f t="shared" si="43"/>
        <v>12.527232501437741</v>
      </c>
      <c r="DR23" s="20">
        <f t="shared" si="16"/>
        <v>94.968263273337399</v>
      </c>
      <c r="DS23" s="59">
        <f t="shared" si="17"/>
        <v>376.07937438444856</v>
      </c>
      <c r="DT23" s="59">
        <f ca="1">AVERAGE(OFFSET($DS$3,0,0,'Données projet'!$E$14+1,1))-AVERAGE(OFFSET($H$3,0,0,'Données projet'!$E$14+1,1))</f>
        <v>181.4272795535777</v>
      </c>
      <c r="DU23" s="59">
        <f t="shared" si="44"/>
        <v>187.67131775419904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6.4102564102564097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0.70795123294353368</v>
      </c>
      <c r="EC23" s="21">
        <f>EXP(-LN(2)/2)*EC22+(1-EXP(-LN(2)/2))/(LN(2)/2)*DW23*DZ23*VLOOKUP('Données projet'!$B$14,Paramètres!$A$1:$I$89,3,0)*0.475*44/12</f>
        <v>1.063852507376903</v>
      </c>
      <c r="ED23" s="22">
        <f t="shared" si="18"/>
        <v>1.7718037403204367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96.153846153846146</v>
      </c>
      <c r="EH23" s="12">
        <f>VLOOKUP(A23,'Données projet'!$A$191:$I$211,9,0)</f>
        <v>7.3717948717948714</v>
      </c>
      <c r="EI23" s="12">
        <f t="array" ref="EI23">INDEX(EH:EH,MIN(IF(ISNUMBER(EH23:EH219),ROW(EH23:EH219),"")))</f>
        <v>7.3717948717948714</v>
      </c>
      <c r="EJ23" s="12">
        <f>IF('Données projet'!$A$192&gt;35,EJ22+EI23-ER22,IF(A23&lt;'Données projet'!$A$192,$EG$205^A23,IF(A23='Données projet'!$A$192,'Données projet'!$B$192,EJ22+EI23-ER22)))</f>
        <v>96.15384615384616</v>
      </c>
      <c r="EK23" s="17">
        <f>EJ23*VLOOKUP('Données projet'!$B$15,Paramètres!$A$1:$I$89,3,0)*VLOOKUP('Données projet'!$B$15,Paramètres!$A$1:$I$89,5,0)</f>
        <v>78.000000000000014</v>
      </c>
      <c r="EL23" s="13">
        <f t="shared" si="45"/>
        <v>21.647455512768612</v>
      </c>
      <c r="EM23" s="20">
        <f t="shared" si="19"/>
        <v>173.55265168473866</v>
      </c>
      <c r="EN23" s="59">
        <f t="shared" si="20"/>
        <v>454.66376279584983</v>
      </c>
      <c r="EO23" s="59">
        <f ca="1">AVERAGE(OFFSET($EN$3,0,0,'Données projet'!$E$15+1,1))-AVERAGE(OFFSET($H$3,0,0,'Données projet'!$E$15+1,1))</f>
        <v>159.68591355116837</v>
      </c>
      <c r="EP23" s="59">
        <f t="shared" si="46"/>
        <v>284.32631786390112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24.358974358974358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0.1075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3.4730745406713686</v>
      </c>
      <c r="EX23" s="21">
        <f>EXP(-LN(2)/2)*EX22+(1-EXP(-LN(2)/2))/(LN(2)/2)*ER23*EU23*VLOOKUP('Données projet'!$B$15,Paramètres!$A$1:$I$89,3,0)*0.475*44/12</f>
        <v>4.8373445503175008</v>
      </c>
      <c r="EY23" s="22">
        <f t="shared" si="21"/>
        <v>8.3104190909888693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80</v>
      </c>
      <c r="FC23" s="12">
        <f>VLOOKUP(A23,'Données projet'!$A$217:$I$237,9,0)</f>
        <v>11.6</v>
      </c>
      <c r="FD23" s="12">
        <f t="array" ref="FD23">INDEX(FC:FC,MIN(IF(ISNUMBER(FC23:FC219),ROW(FC23:FC219),"")))</f>
        <v>11.6</v>
      </c>
      <c r="FE23" s="12">
        <f>IF('Données projet'!$A$218&gt;35,FE22+FD23-FM22,IF(A23&lt;'Données projet'!$A$218,$FB$205^A23,IF(A23='Données projet'!$A$218,'Données projet'!$B$218,FE22+FD23-FM22)))</f>
        <v>80</v>
      </c>
      <c r="FF23" s="17">
        <f>FE23*VLOOKUP('Données projet'!$B$16,Paramètres!$A$1:$I$89,3,0)*VLOOKUP('Données projet'!$B$16,Paramètres!$A$1:$I$89,5,0)</f>
        <v>63.647999999999996</v>
      </c>
      <c r="FG23" s="13">
        <f t="shared" si="47"/>
        <v>18.087405707268363</v>
      </c>
      <c r="FH23" s="20">
        <f t="shared" si="22"/>
        <v>142.35583160682572</v>
      </c>
      <c r="FI23" s="59">
        <f t="shared" si="23"/>
        <v>423.46694271793683</v>
      </c>
      <c r="FJ23" s="59">
        <f ca="1">AVERAGE(OFFSET($FI$3,0,0,'Données projet'!$E$16+1,1))-AVERAGE(OFFSET($H$3,0,0,'Données projet'!$E$16+1,1))</f>
        <v>299.10536994156814</v>
      </c>
      <c r="FK23" s="59">
        <f t="shared" si="48"/>
        <v>292.57799203101769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0.13250000000000001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4.7659000389161879</v>
      </c>
      <c r="FS23" s="21">
        <f>EXP(-LN(2)/2)*FS22+(1-EXP(-LN(2)/2))/(LN(2)/2)*FM23*FP23*VLOOKUP('Données projet'!$B$16,Paramètres!$A$1:$I$89,3,0)*0.475*44/12</f>
        <v>5.7523187085793053</v>
      </c>
      <c r="FT23" s="22">
        <f t="shared" si="24"/>
        <v>10.518218747495492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92.948717948717942</v>
      </c>
      <c r="FX23" s="12">
        <f>VLOOKUP(A23,'Données projet'!$A$243:$I$263,9,0)</f>
        <v>6.2820512820512819</v>
      </c>
      <c r="FY23" s="12">
        <f t="array" ref="FY23">INDEX(FX:FX,MIN(IF(ISNUMBER(FX23:FX219),ROW(FX23:FX219),"")))</f>
        <v>6.2820512820512819</v>
      </c>
      <c r="FZ23" s="12">
        <f>IF('Données projet'!$A$244&gt;35,FZ22+FY23-GH22,IF(A23&lt;'Données projet'!$A$244,$FW$205^A23,IF(A23='Données projet'!$A$244,'Données projet'!$B$244,FZ22+FY23-GH22)))</f>
        <v>92.948717948717956</v>
      </c>
      <c r="GA23" s="17">
        <f>FZ23*VLOOKUP('Données projet'!$B$17,Paramètres!$A$1:$I$89,3,0)*VLOOKUP('Données projet'!$B$17,Paramètres!$A$1:$I$89,5,0)</f>
        <v>84.1</v>
      </c>
      <c r="GB23" s="13">
        <f t="shared" si="49"/>
        <v>23.136720850470709</v>
      </c>
      <c r="GC23" s="20">
        <f t="shared" si="25"/>
        <v>186.77062214790314</v>
      </c>
      <c r="GD23" s="59">
        <f t="shared" si="26"/>
        <v>467.88173325901425</v>
      </c>
      <c r="GE23" s="59">
        <f ca="1">AVERAGE(OFFSET($GD$3,0,0,'Données projet'!$E$17+1,1))-AVERAGE(OFFSET($H$3,0,0,'Données projet'!$E$17+1,1))</f>
        <v>204.78565758021779</v>
      </c>
      <c r="GF23" s="59">
        <f t="shared" si="50"/>
        <v>287.25131613242439</v>
      </c>
      <c r="GG23" s="15">
        <f>IF(ISNA(VLOOKUP(A23,'Données projet'!$A$243:$I$263,3,0)),0,VLOOKUP(A23,'Données projet'!$A$243:$I$263,3,0))</f>
        <v>4</v>
      </c>
      <c r="GH23" s="15">
        <f>IF(ISNA(VLOOKUP(A23,'Données projet'!$A$243:$I$263,4,0)),0,VLOOKUP(A23,'Données projet'!$A$243:$I$263,4,0))</f>
        <v>8.9743589743589745</v>
      </c>
      <c r="GI23" s="16">
        <f>IF(ISNA(VLOOKUP(A23,'Données projet'!$A$243:$I$263,5,0)),0%,VLOOKUP(A23,'Données projet'!$A$243:$I$263,5,0)*VLOOKUP('Données projet'!$B$17,Paramètres!$A$1:$I$89,7,0))</f>
        <v>0.03</v>
      </c>
      <c r="GJ23" s="16">
        <f>IF(ISNA(VLOOKUP(A23,'Données projet'!$A$243:$I$263,6,0)),0%,VLOOKUP(A23,'Données projet'!$A$243:$I$263,6,0)*VLOOKUP('Données projet'!$B$17,Paramètres!$A$1:$I$89,7,0))</f>
        <v>0.12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0.95399462760325859</v>
      </c>
      <c r="GM23" s="21">
        <f>EXP(-LN(2)/25)*GM22+(1-EXP(-LN(2)/25))/(LN(2)/25)*Calculateur!GH23*Calculateur!GJ23*VLOOKUP('Données projet'!$B$17,Paramètres!$A$1:$I$89,3,0)*0.475*44/12</f>
        <v>3.6290600364125805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4.5830546640158394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85</v>
      </c>
      <c r="GS23" s="12">
        <f>VLOOKUP(A23,'Données projet'!$A$269:$I$289,9,0)</f>
        <v>9.6</v>
      </c>
      <c r="GT23" s="12">
        <f t="array" ref="GT23">INDEX(GS:GS,MIN(IF(ISNUMBER(GS23:GS219),ROW(GS23:GS219),"")))</f>
        <v>9.6</v>
      </c>
      <c r="GU23" s="12">
        <f>IF('Données projet'!$A$270&gt;35,GU22+GT23-HC22,IF(A23&lt;'Données projet'!$A$270,$GR$205^A23,IF(A23='Données projet'!$A$270,'Données projet'!$B$270,GU22+GT23-HC22)))</f>
        <v>84.999999999999986</v>
      </c>
      <c r="GV23" s="17">
        <f>GU23*VLOOKUP('Données projet'!$B$18,Paramètres!$A$1:$I$89,3,0)*VLOOKUP('Données projet'!$B$18,Paramètres!$A$1:$I$89,5,0)</f>
        <v>66.3</v>
      </c>
      <c r="GW23" s="13">
        <f t="shared" si="51"/>
        <v>18.751733344032118</v>
      </c>
      <c r="GX23" s="20">
        <f t="shared" si="28"/>
        <v>148.13176890752257</v>
      </c>
      <c r="GY23" s="59">
        <f t="shared" si="29"/>
        <v>429.24288001863374</v>
      </c>
      <c r="GZ23" s="59">
        <f ca="1">AVERAGE(OFFSET($GY$3,0,0,'Données projet'!$E$18+1,1))-AVERAGE(OFFSET($H$3,0,0,'Données projet'!$E$18+1,1))</f>
        <v>288.82868507674738</v>
      </c>
      <c r="HA23" s="59">
        <f t="shared" si="52"/>
        <v>283.48738729114024</v>
      </c>
      <c r="HB23" s="15">
        <f>IF(ISNA(VLOOKUP(A23,'Données projet'!$A$269:$I$289,3,0)),0,VLOOKUP(A23,'Données projet'!$A$269:$I$289,3,0))</f>
        <v>2</v>
      </c>
      <c r="HC23" s="15">
        <f>IF(ISNA(VLOOKUP(A23,'Données projet'!$A$269:$I$289,4,0)),0,VLOOKUP(A23,'Données projet'!$A$269:$I$289,4,0))</f>
        <v>25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0.1075</v>
      </c>
      <c r="HF23" s="16">
        <f>IF(ISNA(VLOOKUP(A23,'Données projet'!$A$269:$I$289,7,0)),0%,VLOOKUP(A23,'Données projet'!$A$269:$I$289,7,0))</f>
        <v>0.25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2.5493484836242497</v>
      </c>
      <c r="HI23" s="21">
        <f>EXP(-LN(2)/2)*HI22+(1-EXP(-LN(2)/2))/(LN(2)/2)*HC23*HF23*VLOOKUP('Données projet'!$B$18,Paramètres!$A$1:$I$89,3,0)*0.475*44/12</f>
        <v>4.69726794708538</v>
      </c>
      <c r="HJ23" s="22">
        <f t="shared" si="30"/>
        <v>7.2466164307096292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5.8890909090909096</v>
      </c>
      <c r="N24" s="13">
        <f>IF('Données projet'!$A$36&gt;35,N23+M24-V23,IF(A24&lt;'Données projet'!$A$36,$K$205^A24,IF(A24='Données projet'!$A$36,'Données projet'!$B$36,N23+M24-V23)))</f>
        <v>103.86029050253822</v>
      </c>
      <c r="O24" s="13">
        <f>N24*VLOOKUP('Données projet'!$B$9,Paramètres!$A$1:$I$89,3,0)*VLOOKUP('Données projet'!$B$9,Paramètres!$A$1:$I$89,5,0)</f>
        <v>62.108453720517858</v>
      </c>
      <c r="P24" s="13">
        <f t="shared" si="33"/>
        <v>17.700276001875135</v>
      </c>
      <c r="Q24" s="20">
        <f t="shared" si="2"/>
        <v>139.00020426650113</v>
      </c>
      <c r="R24" s="59">
        <f t="shared" si="0"/>
        <v>421.33353759983447</v>
      </c>
      <c r="S24" s="59">
        <f ca="1">AVERAGE(OFFSET($R$3,0,0,'Données projet'!$E$9+1,1))-AVERAGE(OFFSET($H$3,0,0,'Données projet'!$E$9+1,1))</f>
        <v>349.71285006949597</v>
      </c>
      <c r="T24" s="59">
        <f t="shared" si="34"/>
        <v>258.51550516456842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4.016578947368421</v>
      </c>
      <c r="AI24" s="13">
        <f>IF('Données projet'!$A$62&gt;35,AI23+AH24-AQ23,IF(A24&lt;'Données projet'!$A$62,$AF$205^A24,IF(A24='Données projet'!$A$62,'Données projet'!$B$62,AI23+AH24-AQ23)))</f>
        <v>84.348157894736829</v>
      </c>
      <c r="AJ24" s="13">
        <f>AI24*VLOOKUP('Données projet'!$B$10,Paramètres!$A$1:$I$89,3,0)*VLOOKUP('Données projet'!$B$10,Paramètres!$A$1:$I$89,5,0)</f>
        <v>80.265707052631569</v>
      </c>
      <c r="AK24" s="13">
        <f t="shared" si="35"/>
        <v>22.202138341659698</v>
      </c>
      <c r="AL24" s="20">
        <f t="shared" si="4"/>
        <v>178.46483072839058</v>
      </c>
      <c r="AM24" s="59">
        <f t="shared" si="5"/>
        <v>460.79816406172392</v>
      </c>
      <c r="AN24" s="59">
        <f ca="1">AVERAGE(OFFSET($AM$3,0,0,'Données projet'!$E$10+1,1))-AVERAGE(OFFSET($H$3,0,0,'Données projet'!$E$10+1,1))</f>
        <v>449.28947235329758</v>
      </c>
      <c r="AO24" s="59">
        <f t="shared" si="36"/>
        <v>289.36994109443964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77.794704000000038</v>
      </c>
      <c r="BF24" s="13">
        <f t="shared" si="37"/>
        <v>21.597103708846074</v>
      </c>
      <c r="BG24" s="20">
        <f t="shared" si="7"/>
        <v>173.10739842624028</v>
      </c>
      <c r="BH24" s="59">
        <f t="shared" si="8"/>
        <v>455.44073175957362</v>
      </c>
      <c r="BI24" s="59">
        <f ca="1">AVERAGE(OFFSET($BH$3,0,0,'Données projet'!$E$11+1,1))-AVERAGE(OFFSET($H$3,0,0,'Données projet'!$E$11+1,1))</f>
        <v>635.71275911100679</v>
      </c>
      <c r="BJ24" s="59">
        <f t="shared" si="38"/>
        <v>281.7776857269169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3.3603333333333336</v>
      </c>
      <c r="BY24" s="12">
        <f>IF('Données projet'!$A$114&gt;35,BY23+BX24-CG23,IF(A24&lt;'Données projet'!$A$114,$BV$205^A24,IF(A24='Données projet'!$A$114,'Données projet'!$B$114,BY23+BX24-CG23)))</f>
        <v>70.567000000000036</v>
      </c>
      <c r="BZ24" s="13">
        <f>BY24*VLOOKUP('Données projet'!$B$12,Paramètres!$A$1:$I$89,3,0)*VLOOKUP('Données projet'!$B$12,Paramètres!$A$1:$I$89,5,0)</f>
        <v>80.361699600000037</v>
      </c>
      <c r="CA24" s="13">
        <f t="shared" si="39"/>
        <v>22.225598329176997</v>
      </c>
      <c r="CB24" s="20">
        <f t="shared" si="10"/>
        <v>178.67287722665</v>
      </c>
      <c r="CC24" s="59">
        <f t="shared" si="11"/>
        <v>461.00621055998329</v>
      </c>
      <c r="CD24" s="59">
        <f ca="1">AVERAGE(OFFSET($CC$3,0,0,'Données projet'!$E$12+1,1))-AVERAGE(OFFSET($H$3,0,0,'Données projet'!$E$12+1,1))</f>
        <v>593.28343396240075</v>
      </c>
      <c r="CE24" s="59">
        <f t="shared" si="40"/>
        <v>289.66477662068695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7.8205128205128194</v>
      </c>
      <c r="CT24" s="12">
        <f>IF('Données projet'!$A$140&gt;35,CT23+CS24-DB23,IF(A24&lt;'Données projet'!$A$140,$CQ$205^A24,IF(A24='Données projet'!$A$140,'Données projet'!$B$140,CT23+CS24-DB23)))</f>
        <v>60.38461538461538</v>
      </c>
      <c r="CU24" s="17">
        <f>CT24*VLOOKUP('Données projet'!$B$13,Paramètres!$A$1:$I$89,3,0)*VLOOKUP('Données projet'!$B$13,Paramètres!$A$1:$I$89,5,0)</f>
        <v>63.113999999999997</v>
      </c>
      <c r="CV24" s="13">
        <f t="shared" si="41"/>
        <v>17.953252469647751</v>
      </c>
      <c r="CW24" s="20">
        <f t="shared" si="13"/>
        <v>141.1921313846365</v>
      </c>
      <c r="CX24" s="59">
        <f t="shared" si="14"/>
        <v>423.52546471796984</v>
      </c>
      <c r="CY24" s="59">
        <f ca="1">AVERAGE(OFFSET($CX$3,0,0,'Données projet'!$E$13+1,1))-AVERAGE(OFFSET($H$3,0,0,'Données projet'!$E$13+1,1))</f>
        <v>260.65406541614402</v>
      </c>
      <c r="CZ24" s="59">
        <f t="shared" si="42"/>
        <v>277.63456890196886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7.7139322349211019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7.7139322349211019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6.1538461538461515</v>
      </c>
      <c r="DO24" s="12">
        <f>IF('Données projet'!$A$166&gt;35,DO23+DN24-DW23,IF(A24&lt;'Données projet'!$A$166,$DL$205^A24,IF(A24='Données projet'!$A$166,'Données projet'!$B$166,DO23+DN24-DW23)))</f>
        <v>63.84615384615384</v>
      </c>
      <c r="DP24" s="17">
        <f>DO24*VLOOKUP('Données projet'!$B$14,Paramètres!$A$1:$I$89,3,0)*VLOOKUP('Données projet'!$B$14,Paramètres!$A$1:$I$89,5,0)</f>
        <v>41.831999999999994</v>
      </c>
      <c r="DQ24" s="13">
        <f t="shared" si="43"/>
        <v>12.482945927997903</v>
      </c>
      <c r="DR24" s="20">
        <f t="shared" si="16"/>
        <v>94.598530824596324</v>
      </c>
      <c r="DS24" s="59">
        <f t="shared" si="17"/>
        <v>376.93186415792962</v>
      </c>
      <c r="DT24" s="59">
        <f ca="1">AVERAGE(OFFSET($DS$3,0,0,'Données projet'!$E$14+1,1))-AVERAGE(OFFSET($H$3,0,0,'Données projet'!$E$14+1,1))</f>
        <v>181.4272795535777</v>
      </c>
      <c r="DU24" s="59">
        <f t="shared" si="44"/>
        <v>187.67131775419904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0.68859226924915551</v>
      </c>
      <c r="EC24" s="21">
        <f>EXP(-LN(2)/2)*EC23+(1-EXP(-LN(2)/2))/(LN(2)/2)*DW24*DZ24*VLOOKUP('Données projet'!$B$14,Paramètres!$A$1:$I$89,3,0)*0.475*44/12</f>
        <v>0.7522573221485197</v>
      </c>
      <c r="ED24" s="22">
        <f t="shared" si="18"/>
        <v>1.4408495913976753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6.6666666666666661</v>
      </c>
      <c r="EJ24" s="12">
        <f>IF('Données projet'!$A$192&gt;35,EJ23+EI24-ER23,IF(A24&lt;'Données projet'!$A$192,$EG$205^A24,IF(A24='Données projet'!$A$192,'Données projet'!$B$192,EJ23+EI24-ER23)))</f>
        <v>78.461538461538481</v>
      </c>
      <c r="EK24" s="17">
        <f>EJ24*VLOOKUP('Données projet'!$B$15,Paramètres!$A$1:$I$89,3,0)*VLOOKUP('Données projet'!$B$15,Paramètres!$A$1:$I$89,5,0)</f>
        <v>63.648000000000017</v>
      </c>
      <c r="EL24" s="13">
        <f t="shared" si="45"/>
        <v>18.087405707268363</v>
      </c>
      <c r="EM24" s="20">
        <f t="shared" si="19"/>
        <v>142.35583160682575</v>
      </c>
      <c r="EN24" s="59">
        <f t="shared" si="20"/>
        <v>424.68916494015906</v>
      </c>
      <c r="EO24" s="59">
        <f ca="1">AVERAGE(OFFSET($EN$3,0,0,'Données projet'!$E$15+1,1))-AVERAGE(OFFSET($H$3,0,0,'Données projet'!$E$15+1,1))</f>
        <v>159.68591355116837</v>
      </c>
      <c r="EP24" s="59">
        <f t="shared" si="46"/>
        <v>284.32631786390112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3.3781031347156576</v>
      </c>
      <c r="EX24" s="21">
        <f>EXP(-LN(2)/2)*EX23+(1-EXP(-LN(2)/2))/(LN(2)/2)*ER24*EU24*VLOOKUP('Données projet'!$B$15,Paramètres!$A$1:$I$89,3,0)*0.475*44/12</f>
        <v>3.4205191344652954</v>
      </c>
      <c r="EY24" s="22">
        <f t="shared" si="21"/>
        <v>6.798622269180953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64.599999999999994</v>
      </c>
      <c r="FF24" s="17">
        <f>FE24*VLOOKUP('Données projet'!$B$16,Paramètres!$A$1:$I$89,3,0)*VLOOKUP('Données projet'!$B$16,Paramètres!$A$1:$I$89,5,0)</f>
        <v>51.395759999999996</v>
      </c>
      <c r="FG24" s="13">
        <f t="shared" si="47"/>
        <v>14.973641136922506</v>
      </c>
      <c r="FH24" s="20">
        <f t="shared" si="22"/>
        <v>115.59337364680668</v>
      </c>
      <c r="FI24" s="59">
        <f t="shared" si="23"/>
        <v>397.92670698014001</v>
      </c>
      <c r="FJ24" s="59">
        <f ca="1">AVERAGE(OFFSET($FI$3,0,0,'Données projet'!$E$16+1,1))-AVERAGE(OFFSET($H$3,0,0,'Données projet'!$E$16+1,1))</f>
        <v>299.10536994156814</v>
      </c>
      <c r="FK24" s="59">
        <f t="shared" si="48"/>
        <v>292.57799203101769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4.6355762517242338</v>
      </c>
      <c r="FS24" s="21">
        <f>EXP(-LN(2)/2)*FS23+(1-EXP(-LN(2)/2))/(LN(2)/2)*FM24*FP24*VLOOKUP('Données projet'!$B$16,Paramètres!$A$1:$I$89,3,0)*0.475*44/12</f>
        <v>4.0675035663826709</v>
      </c>
      <c r="FT24" s="22">
        <f t="shared" si="24"/>
        <v>8.7030798181069038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5.3846153846153868</v>
      </c>
      <c r="FZ24" s="12">
        <f>IF('Données projet'!$A$244&gt;35,FZ23+FY24-GH23,IF(A24&lt;'Données projet'!$A$244,$FW$205^A24,IF(A24='Données projet'!$A$244,'Données projet'!$B$244,FZ23+FY24-GH23)))</f>
        <v>89.358974358974365</v>
      </c>
      <c r="GA24" s="17">
        <f>FZ24*VLOOKUP('Données projet'!$B$17,Paramètres!$A$1:$I$89,3,0)*VLOOKUP('Données projet'!$B$17,Paramètres!$A$1:$I$89,5,0)</f>
        <v>80.852000000000004</v>
      </c>
      <c r="GB24" s="13">
        <f t="shared" si="49"/>
        <v>22.345373944816963</v>
      </c>
      <c r="GC24" s="20">
        <f t="shared" si="25"/>
        <v>179.73542628722291</v>
      </c>
      <c r="GD24" s="59">
        <f t="shared" si="26"/>
        <v>462.06875962055619</v>
      </c>
      <c r="GE24" s="59">
        <f ca="1">AVERAGE(OFFSET($GD$3,0,0,'Données projet'!$E$17+1,1))-AVERAGE(OFFSET($H$3,0,0,'Données projet'!$E$17+1,1))</f>
        <v>204.78565758021779</v>
      </c>
      <c r="GF24" s="59">
        <f t="shared" si="50"/>
        <v>287.25131613242439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0.93528737483522573</v>
      </c>
      <c r="GM24" s="21">
        <f>EXP(-LN(2)/25)*GM23+(1-EXP(-LN(2)/25))/(LN(2)/25)*Calculateur!GH24*Calculateur!GJ24*VLOOKUP('Données projet'!$B$17,Paramètres!$A$1:$I$89,3,0)*0.475*44/12</f>
        <v>3.5298231988729056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4.4651105737081309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10.6</v>
      </c>
      <c r="GU24" s="12">
        <f>IF('Données projet'!$A$270&gt;35,GU23+GT24-HC23,IF(A24&lt;'Données projet'!$A$270,$GR$205^A24,IF(A24='Données projet'!$A$270,'Données projet'!$B$270,GU23+GT24-HC23)))</f>
        <v>70.59999999999998</v>
      </c>
      <c r="GV24" s="17">
        <f>GU24*VLOOKUP('Données projet'!$B$18,Paramètres!$A$1:$I$89,3,0)*VLOOKUP('Données projet'!$B$18,Paramètres!$A$1:$I$89,5,0)</f>
        <v>55.067999999999984</v>
      </c>
      <c r="GW24" s="13">
        <f t="shared" si="51"/>
        <v>15.915148294580479</v>
      </c>
      <c r="GX24" s="20">
        <f t="shared" si="28"/>
        <v>123.62898327972762</v>
      </c>
      <c r="GY24" s="59">
        <f t="shared" si="29"/>
        <v>405.96231661306092</v>
      </c>
      <c r="GZ24" s="59">
        <f ca="1">AVERAGE(OFFSET($GY$3,0,0,'Données projet'!$E$18+1,1))-AVERAGE(OFFSET($H$3,0,0,'Données projet'!$E$18+1,1))</f>
        <v>288.82868507674738</v>
      </c>
      <c r="HA24" s="59">
        <f t="shared" si="52"/>
        <v>283.48738729114024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2.4796364152751345</v>
      </c>
      <c r="HI24" s="21">
        <f>EXP(-LN(2)/2)*HI23+(1-EXP(-LN(2)/2))/(LN(2)/2)*HC24*HF24*VLOOKUP('Données projet'!$B$18,Paramètres!$A$1:$I$89,3,0)*0.475*44/12</f>
        <v>3.3214700184342854</v>
      </c>
      <c r="HJ24" s="22">
        <f t="shared" si="30"/>
        <v>5.8011064337094194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129.56</v>
      </c>
      <c r="L25" s="12">
        <f>VLOOKUP(A25,'Données projet'!$A$35:$I$55,9,0)</f>
        <v>5.8890909090909096</v>
      </c>
      <c r="M25" s="12">
        <f t="array" ref="M25">INDEX(L:L,MIN(IF(ISNUMBER(L25:L221),ROW(L25:L221),"")))</f>
        <v>5.8890909090909096</v>
      </c>
      <c r="N25" s="13">
        <f>IF('Données projet'!$A$36&gt;35,N24+M25-V24,IF(A25&lt;'Données projet'!$A$36,$K$205^A25,IF(A25='Données projet'!$A$36,'Données projet'!$B$36,N24+M25-V24)))</f>
        <v>129.56</v>
      </c>
      <c r="O25" s="13">
        <f>N25*VLOOKUP('Données projet'!$B$9,Paramètres!$A$1:$I$89,3,0)*VLOOKUP('Données projet'!$B$9,Paramètres!$A$1:$I$89,5,0)</f>
        <v>77.476880000000008</v>
      </c>
      <c r="P25" s="13">
        <f t="shared" si="33"/>
        <v>21.519122262611628</v>
      </c>
      <c r="Q25" s="20">
        <f t="shared" si="2"/>
        <v>172.4180372740486</v>
      </c>
      <c r="R25" s="59">
        <f t="shared" si="0"/>
        <v>455.97359282960417</v>
      </c>
      <c r="S25" s="59">
        <f ca="1">AVERAGE(OFFSET($R$3,0,0,'Données projet'!$E$9+1,1))-AVERAGE(OFFSET($H$3,0,0,'Données projet'!$E$9+1,1))</f>
        <v>349.71285006949597</v>
      </c>
      <c r="T25" s="59">
        <f t="shared" si="34"/>
        <v>258.51550516456842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52.620000000000005</v>
      </c>
      <c r="W25" s="16">
        <f>IF(ISNA(VLOOKUP(A25,'Données projet'!$A$35:$I$55,5,0)),0%,VLOOKUP(A25,'Données projet'!$A$35:$I$55,5,0)*VLOOKUP('Données projet'!$B$9,Paramètres!$A$1:$I$89,7,0))</f>
        <v>0.1125</v>
      </c>
      <c r="X25" s="16">
        <f>IF(ISNA(VLOOKUP(A25,'Données projet'!$A$35:$I$55,6,0)),0%,VLOOKUP(A25,'Données projet'!$A$35:$I$55,6,0)*VLOOKUP('Données projet'!$B$9,Paramètres!$A$1:$I$89,7,0))</f>
        <v>0.16650000000000001</v>
      </c>
      <c r="Y25" s="16">
        <f>IF(ISNA(VLOOKUP(A25,'Données projet'!$A$35:$I$55,7,0)),0%,VLOOKUP(A25,'Données projet'!$A$35:$I$55,7,0))</f>
        <v>0.38</v>
      </c>
      <c r="Z25" s="21">
        <f>EXP(-LN(2)/35)*Z24+(1-EXP(-LN(2)/35))/(LN(2)/35)*V25*W25*VLOOKUP('Données projet'!$B$9,Paramètres!$A$1:$I$89,3,0)*0.475*44/12</f>
        <v>4.6960521011827554</v>
      </c>
      <c r="AA25" s="21">
        <f>EXP(-LN(2)/25)*AA24+(1-EXP(-LN(2)/25))/(LN(2)/25)*Calculateur!V25*Calculateur!X25*VLOOKUP('Données projet'!$B$9,Paramètres!$A$1:$I$89,3,0)*0.475*44/12</f>
        <v>6.9227916929919147</v>
      </c>
      <c r="AB25" s="21">
        <f>EXP(-LN(2)/2)*AB24+(1-EXP(-LN(2)/2))/(LN(2)/2)*V25*Y25*VLOOKUP('Données projet'!$B$9,Paramètres!$A$1:$I$89,3,0)*0.475*44/12</f>
        <v>13.538519148795281</v>
      </c>
      <c r="AC25" s="22">
        <f t="shared" si="3"/>
        <v>25.15736294296995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4.016578947368421</v>
      </c>
      <c r="AI25" s="13">
        <f>IF('Données projet'!$A$62&gt;35,AI24+AH25-AQ24,IF(A25&lt;'Données projet'!$A$62,$AF$205^A25,IF(A25='Données projet'!$A$62,'Données projet'!$B$62,AI24+AH25-AQ24)))</f>
        <v>88.364736842105245</v>
      </c>
      <c r="AJ25" s="13">
        <f>AI25*VLOOKUP('Données projet'!$B$10,Paramètres!$A$1:$I$89,3,0)*VLOOKUP('Données projet'!$B$10,Paramètres!$A$1:$I$89,5,0)</f>
        <v>84.087883578947356</v>
      </c>
      <c r="AK25" s="13">
        <f t="shared" si="35"/>
        <v>23.133775482791631</v>
      </c>
      <c r="AL25" s="20">
        <f t="shared" si="4"/>
        <v>186.74438953252874</v>
      </c>
      <c r="AM25" s="59">
        <f t="shared" si="5"/>
        <v>470.29994508808431</v>
      </c>
      <c r="AN25" s="59">
        <f ca="1">AVERAGE(OFFSET($AM$3,0,0,'Données projet'!$E$10+1,1))-AVERAGE(OFFSET($H$3,0,0,'Données projet'!$E$10+1,1))</f>
        <v>449.28947235329758</v>
      </c>
      <c r="AO25" s="59">
        <f t="shared" si="36"/>
        <v>289.36994109443964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81.499213714285759</v>
      </c>
      <c r="BF25" s="13">
        <f t="shared" si="37"/>
        <v>22.503352631648468</v>
      </c>
      <c r="BG25" s="20">
        <f t="shared" si="7"/>
        <v>181.13780305250211</v>
      </c>
      <c r="BH25" s="59">
        <f t="shared" si="8"/>
        <v>464.69335860805768</v>
      </c>
      <c r="BI25" s="59">
        <f ca="1">AVERAGE(OFFSET($BH$3,0,0,'Données projet'!$E$11+1,1))-AVERAGE(OFFSET($H$3,0,0,'Données projet'!$E$11+1,1))</f>
        <v>635.71275911100679</v>
      </c>
      <c r="BJ25" s="59">
        <f t="shared" si="38"/>
        <v>281.7776857269169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3.3603333333333336</v>
      </c>
      <c r="BY25" s="12">
        <f>IF('Données projet'!$A$114&gt;35,BY24+BX25-CG24,IF(A25&lt;'Données projet'!$A$114,$BV$205^A25,IF(A25='Données projet'!$A$114,'Données projet'!$B$114,BY24+BX25-CG24)))</f>
        <v>73.927333333333365</v>
      </c>
      <c r="BZ25" s="13">
        <f>BY25*VLOOKUP('Données projet'!$B$12,Paramètres!$A$1:$I$89,3,0)*VLOOKUP('Données projet'!$B$12,Paramètres!$A$1:$I$89,5,0)</f>
        <v>84.188447200000041</v>
      </c>
      <c r="CA25" s="13">
        <f t="shared" si="39"/>
        <v>23.158219888807942</v>
      </c>
      <c r="CB25" s="20">
        <f t="shared" si="10"/>
        <v>186.96211184634055</v>
      </c>
      <c r="CC25" s="59">
        <f t="shared" si="11"/>
        <v>470.51766740189612</v>
      </c>
      <c r="CD25" s="59">
        <f ca="1">AVERAGE(OFFSET($CC$3,0,0,'Données projet'!$E$12+1,1))-AVERAGE(OFFSET($H$3,0,0,'Données projet'!$E$12+1,1))</f>
        <v>593.28343396240075</v>
      </c>
      <c r="CE25" s="59">
        <f t="shared" si="40"/>
        <v>289.66477662068695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7.8205128205128194</v>
      </c>
      <c r="CT25" s="12">
        <f>IF('Données projet'!$A$140&gt;35,CT24+CS25-DB24,IF(A25&lt;'Données projet'!$A$140,$CQ$205^A25,IF(A25='Données projet'!$A$140,'Données projet'!$B$140,CT24+CS25-DB24)))</f>
        <v>68.205128205128204</v>
      </c>
      <c r="CU25" s="17">
        <f>CT25*VLOOKUP('Données projet'!$B$13,Paramètres!$A$1:$I$89,3,0)*VLOOKUP('Données projet'!$B$13,Paramètres!$A$1:$I$89,5,0)</f>
        <v>71.288000000000011</v>
      </c>
      <c r="CV25" s="13">
        <f t="shared" si="41"/>
        <v>19.992973161826477</v>
      </c>
      <c r="CW25" s="20">
        <f t="shared" si="13"/>
        <v>158.98102825684782</v>
      </c>
      <c r="CX25" s="59">
        <f t="shared" si="14"/>
        <v>442.53658381240336</v>
      </c>
      <c r="CY25" s="59">
        <f ca="1">AVERAGE(OFFSET($CX$3,0,0,'Données projet'!$E$13+1,1))-AVERAGE(OFFSET($H$3,0,0,'Données projet'!$E$13+1,1))</f>
        <v>260.65406541614402</v>
      </c>
      <c r="CZ25" s="59">
        <f t="shared" si="42"/>
        <v>277.63456890196886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7.5029943522991189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7.5029943522991189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6.1538461538461515</v>
      </c>
      <c r="DO25" s="12">
        <f>IF('Données projet'!$A$166&gt;35,DO24+DN25-DW24,IF(A25&lt;'Données projet'!$A$166,$DL$205^A25,IF(A25='Données projet'!$A$166,'Données projet'!$B$166,DO24+DN25-DW24)))</f>
        <v>69.999999999999986</v>
      </c>
      <c r="DP25" s="17">
        <f>DO25*VLOOKUP('Données projet'!$B$14,Paramètres!$A$1:$I$89,3,0)*VLOOKUP('Données projet'!$B$14,Paramètres!$A$1:$I$89,5,0)</f>
        <v>45.86399999999999</v>
      </c>
      <c r="DQ25" s="13">
        <f t="shared" si="43"/>
        <v>13.540311673175395</v>
      </c>
      <c r="DR25" s="20">
        <f t="shared" si="16"/>
        <v>103.46250949744713</v>
      </c>
      <c r="DS25" s="59">
        <f t="shared" si="17"/>
        <v>387.01806505300266</v>
      </c>
      <c r="DT25" s="59">
        <f ca="1">AVERAGE(OFFSET($DS$3,0,0,'Données projet'!$E$14+1,1))-AVERAGE(OFFSET($H$3,0,0,'Données projet'!$E$14+1,1))</f>
        <v>181.4272795535777</v>
      </c>
      <c r="DU25" s="59">
        <f t="shared" si="44"/>
        <v>187.67131775419904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0.6697626774350437</v>
      </c>
      <c r="EC25" s="21">
        <f>EXP(-LN(2)/2)*EC24+(1-EXP(-LN(2)/2))/(LN(2)/2)*DW25*DZ25*VLOOKUP('Données projet'!$B$14,Paramètres!$A$1:$I$89,3,0)*0.475*44/12</f>
        <v>0.53192625368845159</v>
      </c>
      <c r="ED25" s="22">
        <f t="shared" si="18"/>
        <v>1.2016889311234953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6.6666666666666661</v>
      </c>
      <c r="EJ25" s="12">
        <f>IF('Données projet'!$A$192&gt;35,EJ24+EI25-ER24,IF(A25&lt;'Données projet'!$A$192,$EG$205^A25,IF(A25='Données projet'!$A$192,'Données projet'!$B$192,EJ24+EI25-ER24)))</f>
        <v>85.128205128205153</v>
      </c>
      <c r="EK25" s="17">
        <f>EJ25*VLOOKUP('Données projet'!$B$15,Paramètres!$A$1:$I$89,3,0)*VLOOKUP('Données projet'!$B$15,Paramètres!$A$1:$I$89,5,0)</f>
        <v>69.056000000000026</v>
      </c>
      <c r="EL25" s="13">
        <f t="shared" si="45"/>
        <v>19.438844175075474</v>
      </c>
      <c r="EM25" s="20">
        <f t="shared" si="19"/>
        <v>154.12852027158979</v>
      </c>
      <c r="EN25" s="59">
        <f t="shared" si="20"/>
        <v>437.68407582714531</v>
      </c>
      <c r="EO25" s="59">
        <f ca="1">AVERAGE(OFFSET($EN$3,0,0,'Données projet'!$E$15+1,1))-AVERAGE(OFFSET($H$3,0,0,'Données projet'!$E$15+1,1))</f>
        <v>159.68591355116837</v>
      </c>
      <c r="EP25" s="59">
        <f t="shared" si="46"/>
        <v>284.32631786390112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3.285728726850135</v>
      </c>
      <c r="EX25" s="21">
        <f>EXP(-LN(2)/2)*EX24+(1-EXP(-LN(2)/2))/(LN(2)/2)*ER25*EU25*VLOOKUP('Données projet'!$B$15,Paramètres!$A$1:$I$89,3,0)*0.475*44/12</f>
        <v>2.4186722751587508</v>
      </c>
      <c r="EY25" s="22">
        <f t="shared" si="21"/>
        <v>5.7044010020088862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77.199999999999989</v>
      </c>
      <c r="FF25" s="17">
        <f>FE25*VLOOKUP('Données projet'!$B$16,Paramètres!$A$1:$I$89,3,0)*VLOOKUP('Données projet'!$B$16,Paramètres!$A$1:$I$89,5,0)</f>
        <v>61.42031999999999</v>
      </c>
      <c r="FG25" s="13">
        <f t="shared" si="47"/>
        <v>17.526880037631354</v>
      </c>
      <c r="FH25" s="20">
        <f t="shared" si="22"/>
        <v>137.4997067322079</v>
      </c>
      <c r="FI25" s="59">
        <f t="shared" si="23"/>
        <v>421.05526228776341</v>
      </c>
      <c r="FJ25" s="59">
        <f ca="1">AVERAGE(OFFSET($FI$3,0,0,'Données projet'!$E$16+1,1))-AVERAGE(OFFSET($H$3,0,0,'Données projet'!$E$16+1,1))</f>
        <v>299.10536994156814</v>
      </c>
      <c r="FK25" s="59">
        <f t="shared" si="48"/>
        <v>292.57799203101769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4.5088161753464746</v>
      </c>
      <c r="FS25" s="21">
        <f>EXP(-LN(2)/2)*FS24+(1-EXP(-LN(2)/2))/(LN(2)/2)*FM25*FP25*VLOOKUP('Données projet'!$B$16,Paramètres!$A$1:$I$89,3,0)*0.475*44/12</f>
        <v>2.8761593542896531</v>
      </c>
      <c r="FT25" s="22">
        <f t="shared" si="24"/>
        <v>7.3849755296361277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5.3846153846153868</v>
      </c>
      <c r="FZ25" s="12">
        <f>IF('Données projet'!$A$244&gt;35,FZ24+FY25-GH24,IF(A25&lt;'Données projet'!$A$244,$FW$205^A25,IF(A25='Données projet'!$A$244,'Données projet'!$B$244,FZ24+FY25-GH24)))</f>
        <v>94.743589743589752</v>
      </c>
      <c r="GA25" s="17">
        <f>FZ25*VLOOKUP('Données projet'!$B$17,Paramètres!$A$1:$I$89,3,0)*VLOOKUP('Données projet'!$B$17,Paramètres!$A$1:$I$89,5,0)</f>
        <v>85.724000000000004</v>
      </c>
      <c r="GB25" s="13">
        <f t="shared" si="49"/>
        <v>23.531053427879847</v>
      </c>
      <c r="GC25" s="20">
        <f t="shared" si="25"/>
        <v>190.28588472022409</v>
      </c>
      <c r="GD25" s="59">
        <f t="shared" si="26"/>
        <v>473.84144027577963</v>
      </c>
      <c r="GE25" s="59">
        <f ca="1">AVERAGE(OFFSET($GD$3,0,0,'Données projet'!$E$17+1,1))-AVERAGE(OFFSET($H$3,0,0,'Données projet'!$E$17+1,1))</f>
        <v>204.78565758021779</v>
      </c>
      <c r="GF25" s="59">
        <f t="shared" si="50"/>
        <v>287.25131613242439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0.91694695988367647</v>
      </c>
      <c r="GM25" s="21">
        <f>EXP(-LN(2)/25)*GM24+(1-EXP(-LN(2)/25))/(LN(2)/25)*Calculateur!GH25*Calculateur!GJ25*VLOOKUP('Données projet'!$B$17,Paramètres!$A$1:$I$89,3,0)*0.475*44/12</f>
        <v>3.4332999978743914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4.3502469577580678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10.6</v>
      </c>
      <c r="GU25" s="12">
        <f>IF('Données projet'!$A$270&gt;35,GU24+GT25-HC24,IF(A25&lt;'Données projet'!$A$270,$GR$205^A25,IF(A25='Données projet'!$A$270,'Données projet'!$B$270,GU24+GT25-HC24)))</f>
        <v>81.199999999999974</v>
      </c>
      <c r="GV25" s="17">
        <f>GU25*VLOOKUP('Données projet'!$B$18,Paramètres!$A$1:$I$89,3,0)*VLOOKUP('Données projet'!$B$18,Paramètres!$A$1:$I$89,5,0)</f>
        <v>63.335999999999984</v>
      </c>
      <c r="GW25" s="13">
        <f t="shared" si="51"/>
        <v>18.009040022946227</v>
      </c>
      <c r="GX25" s="20">
        <f t="shared" si="28"/>
        <v>141.67594470663133</v>
      </c>
      <c r="GY25" s="59">
        <f t="shared" si="29"/>
        <v>425.23150026218684</v>
      </c>
      <c r="GZ25" s="59">
        <f ca="1">AVERAGE(OFFSET($GY$3,0,0,'Données projet'!$E$18+1,1))-AVERAGE(OFFSET($H$3,0,0,'Données projet'!$E$18+1,1))</f>
        <v>288.82868507674738</v>
      </c>
      <c r="HA25" s="59">
        <f t="shared" si="52"/>
        <v>283.48738729114024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2.4118306271010241</v>
      </c>
      <c r="HI25" s="21">
        <f>EXP(-LN(2)/2)*HI24+(1-EXP(-LN(2)/2))/(LN(2)/2)*HC25*HF25*VLOOKUP('Données projet'!$B$18,Paramètres!$A$1:$I$89,3,0)*0.475*44/12</f>
        <v>2.3486339735426904</v>
      </c>
      <c r="HJ25" s="22">
        <f t="shared" si="30"/>
        <v>4.760464600643715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15.782</v>
      </c>
      <c r="N26" s="13">
        <f>IF('Données projet'!$A$36&gt;35,N25+M26-V25,IF(A26&lt;'Données projet'!$A$36,$K$205^A26,IF(A26='Données projet'!$A$36,'Données projet'!$B$36,N25+M26-V25)))</f>
        <v>92.722000000000008</v>
      </c>
      <c r="O26" s="13">
        <f>N26*VLOOKUP('Données projet'!$B$9,Paramètres!$A$1:$I$89,3,0)*VLOOKUP('Données projet'!$B$9,Paramètres!$A$1:$I$89,5,0)</f>
        <v>55.447756000000005</v>
      </c>
      <c r="P26" s="13">
        <f t="shared" si="33"/>
        <v>16.012087139856263</v>
      </c>
      <c r="Q26" s="20">
        <f t="shared" si="2"/>
        <v>124.45922680191636</v>
      </c>
      <c r="R26" s="59">
        <f t="shared" si="0"/>
        <v>409.23700457969414</v>
      </c>
      <c r="S26" s="59">
        <f ca="1">AVERAGE(OFFSET($R$3,0,0,'Données projet'!$E$9+1,1))-AVERAGE(OFFSET($H$3,0,0,'Données projet'!$E$9+1,1))</f>
        <v>349.71285006949597</v>
      </c>
      <c r="T26" s="59">
        <f t="shared" si="34"/>
        <v>258.51550516456842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4.6039653837875161</v>
      </c>
      <c r="AA26" s="21">
        <f>EXP(-LN(2)/25)*AA25+(1-EXP(-LN(2)/25))/(LN(2)/25)*Calculateur!V26*Calculateur!X26*VLOOKUP('Données projet'!$B$9,Paramètres!$A$1:$I$89,3,0)*0.475*44/12</f>
        <v>6.733487590093258</v>
      </c>
      <c r="AB26" s="21">
        <f>EXP(-LN(2)/2)*AB25+(1-EXP(-LN(2)/2))/(LN(2)/2)*V26*Y26*VLOOKUP('Données projet'!$B$9,Paramètres!$A$1:$I$89,3,0)*0.475*44/12</f>
        <v>9.5731786973370685</v>
      </c>
      <c r="AC26" s="22">
        <f t="shared" si="3"/>
        <v>20.910631671217843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4.016578947368421</v>
      </c>
      <c r="AI26" s="13">
        <f>IF('Données projet'!$A$62&gt;35,AI25+AH26-AQ25,IF(A26&lt;'Données projet'!$A$62,$AF$205^A26,IF(A26='Données projet'!$A$62,'Données projet'!$B$62,AI25+AH26-AQ25)))</f>
        <v>92.381315789473661</v>
      </c>
      <c r="AJ26" s="13">
        <f>AI26*VLOOKUP('Données projet'!$B$10,Paramètres!$A$1:$I$89,3,0)*VLOOKUP('Données projet'!$B$10,Paramètres!$A$1:$I$89,5,0)</f>
        <v>87.910060105263142</v>
      </c>
      <c r="AK26" s="13">
        <f t="shared" si="35"/>
        <v>24.060494645289975</v>
      </c>
      <c r="AL26" s="20">
        <f t="shared" si="4"/>
        <v>195.01538285721335</v>
      </c>
      <c r="AM26" s="59">
        <f t="shared" si="5"/>
        <v>479.79316063499112</v>
      </c>
      <c r="AN26" s="59">
        <f ca="1">AVERAGE(OFFSET($AM$3,0,0,'Données projet'!$E$10+1,1))-AVERAGE(OFFSET($H$3,0,0,'Données projet'!$E$10+1,1))</f>
        <v>449.28947235329758</v>
      </c>
      <c r="AO26" s="59">
        <f t="shared" si="36"/>
        <v>289.36994109443964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85.203723428571479</v>
      </c>
      <c r="BF26" s="13">
        <f t="shared" si="37"/>
        <v>23.404817596574706</v>
      </c>
      <c r="BG26" s="20">
        <f t="shared" si="7"/>
        <v>189.15987561879626</v>
      </c>
      <c r="BH26" s="59">
        <f t="shared" si="8"/>
        <v>473.93765339657404</v>
      </c>
      <c r="BI26" s="59">
        <f ca="1">AVERAGE(OFFSET($BH$3,0,0,'Données projet'!$E$11+1,1))-AVERAGE(OFFSET($H$3,0,0,'Données projet'!$E$11+1,1))</f>
        <v>635.71275911100679</v>
      </c>
      <c r="BJ26" s="59">
        <f t="shared" si="38"/>
        <v>281.7776857269169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3.3603333333333336</v>
      </c>
      <c r="BY26" s="12">
        <f>IF('Données projet'!$A$114&gt;35,BY25+BX26-CG25,IF(A26&lt;'Données projet'!$A$114,$BV$205^A26,IF(A26='Données projet'!$A$114,'Données projet'!$B$114,BY25+BX26-CG25)))</f>
        <v>77.287666666666695</v>
      </c>
      <c r="BZ26" s="13">
        <f>BY26*VLOOKUP('Données projet'!$B$12,Paramètres!$A$1:$I$89,3,0)*VLOOKUP('Données projet'!$B$12,Paramètres!$A$1:$I$89,5,0)</f>
        <v>88.015194800000032</v>
      </c>
      <c r="CA26" s="13">
        <f t="shared" si="39"/>
        <v>24.085918273201479</v>
      </c>
      <c r="CB26" s="20">
        <f t="shared" si="10"/>
        <v>195.24277193582597</v>
      </c>
      <c r="CC26" s="59">
        <f t="shared" si="11"/>
        <v>480.02054971360371</v>
      </c>
      <c r="CD26" s="59">
        <f ca="1">AVERAGE(OFFSET($CC$3,0,0,'Données projet'!$E$12+1,1))-AVERAGE(OFFSET($H$3,0,0,'Données projet'!$E$12+1,1))</f>
        <v>593.28343396240075</v>
      </c>
      <c r="CE26" s="59">
        <f t="shared" si="40"/>
        <v>289.66477662068695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7.8205128205128194</v>
      </c>
      <c r="CT26" s="12">
        <f>IF('Données projet'!$A$140&gt;35,CT25+CS26-DB25,IF(A26&lt;'Données projet'!$A$140,$CQ$205^A26,IF(A26='Données projet'!$A$140,'Données projet'!$B$140,CT25+CS26-DB25)))</f>
        <v>76.025641025641022</v>
      </c>
      <c r="CU26" s="17">
        <f>CT26*VLOOKUP('Données projet'!$B$13,Paramètres!$A$1:$I$89,3,0)*VLOOKUP('Données projet'!$B$13,Paramètres!$A$1:$I$89,5,0)</f>
        <v>79.462000000000003</v>
      </c>
      <c r="CV26" s="13">
        <f t="shared" si="41"/>
        <v>22.005588716867742</v>
      </c>
      <c r="CW26" s="20">
        <f t="shared" si="13"/>
        <v>176.72271701521129</v>
      </c>
      <c r="CX26" s="59">
        <f t="shared" si="14"/>
        <v>461.50049479298906</v>
      </c>
      <c r="CY26" s="59">
        <f ca="1">AVERAGE(OFFSET($CX$3,0,0,'Données projet'!$E$13+1,1))-AVERAGE(OFFSET($H$3,0,0,'Données projet'!$E$13+1,1))</f>
        <v>260.65406541614402</v>
      </c>
      <c r="CZ26" s="59">
        <f t="shared" si="42"/>
        <v>277.63456890196886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7.2978245771701751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7.2978245771701751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6.1538461538461515</v>
      </c>
      <c r="DO26" s="12">
        <f>IF('Données projet'!$A$166&gt;35,DO25+DN26-DW25,IF(A26&lt;'Données projet'!$A$166,$DL$205^A26,IF(A26='Données projet'!$A$166,'Données projet'!$B$166,DO25+DN26-DW25)))</f>
        <v>76.153846153846132</v>
      </c>
      <c r="DP26" s="17">
        <f>DO26*VLOOKUP('Données projet'!$B$14,Paramètres!$A$1:$I$89,3,0)*VLOOKUP('Données projet'!$B$14,Paramètres!$A$1:$I$89,5,0)</f>
        <v>49.895999999999987</v>
      </c>
      <c r="DQ26" s="13">
        <f t="shared" si="43"/>
        <v>14.586897956037035</v>
      </c>
      <c r="DR26" s="20">
        <f t="shared" si="16"/>
        <v>112.3077139400978</v>
      </c>
      <c r="DS26" s="59">
        <f t="shared" si="17"/>
        <v>397.08549171787558</v>
      </c>
      <c r="DT26" s="59">
        <f ca="1">AVERAGE(OFFSET($DS$3,0,0,'Données projet'!$E$14+1,1))-AVERAGE(OFFSET($H$3,0,0,'Données projet'!$E$14+1,1))</f>
        <v>181.4272795535777</v>
      </c>
      <c r="DU26" s="59">
        <f t="shared" si="44"/>
        <v>187.67131775419904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0.65144798179929397</v>
      </c>
      <c r="EC26" s="21">
        <f>EXP(-LN(2)/2)*EC25+(1-EXP(-LN(2)/2))/(LN(2)/2)*DW26*DZ26*VLOOKUP('Données projet'!$B$14,Paramètres!$A$1:$I$89,3,0)*0.475*44/12</f>
        <v>0.37612866107425991</v>
      </c>
      <c r="ED26" s="22">
        <f t="shared" si="18"/>
        <v>1.0275766428735538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6.6666666666666661</v>
      </c>
      <c r="EJ26" s="12">
        <f>IF('Données projet'!$A$192&gt;35,EJ25+EI26-ER25,IF(A26&lt;'Données projet'!$A$192,$EG$205^A26,IF(A26='Données projet'!$A$192,'Données projet'!$B$192,EJ25+EI26-ER25)))</f>
        <v>91.794871794871824</v>
      </c>
      <c r="EK26" s="17">
        <f>EJ26*VLOOKUP('Données projet'!$B$15,Paramètres!$A$1:$I$89,3,0)*VLOOKUP('Données projet'!$B$15,Paramètres!$A$1:$I$89,5,0)</f>
        <v>74.464000000000027</v>
      </c>
      <c r="EL26" s="13">
        <f t="shared" si="45"/>
        <v>20.778006126410563</v>
      </c>
      <c r="EM26" s="20">
        <f t="shared" si="19"/>
        <v>165.87982733683177</v>
      </c>
      <c r="EN26" s="59">
        <f t="shared" si="20"/>
        <v>450.65760511460951</v>
      </c>
      <c r="EO26" s="59">
        <f ca="1">AVERAGE(OFFSET($EN$3,0,0,'Données projet'!$E$15+1,1))-AVERAGE(OFFSET($H$3,0,0,'Données projet'!$E$15+1,1))</f>
        <v>159.68591355116837</v>
      </c>
      <c r="EP26" s="59">
        <f t="shared" si="46"/>
        <v>284.32631786390112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3.1958803020254538</v>
      </c>
      <c r="EX26" s="21">
        <f>EXP(-LN(2)/2)*EX25+(1-EXP(-LN(2)/2))/(LN(2)/2)*ER26*EU26*VLOOKUP('Données projet'!$B$15,Paramètres!$A$1:$I$89,3,0)*0.475*44/12</f>
        <v>1.7102595672326479</v>
      </c>
      <c r="EY26" s="22">
        <f t="shared" si="21"/>
        <v>4.9061398692581015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89.799999999999983</v>
      </c>
      <c r="FF26" s="17">
        <f>FE26*VLOOKUP('Données projet'!$B$16,Paramètres!$A$1:$I$89,3,0)*VLOOKUP('Données projet'!$B$16,Paramètres!$A$1:$I$89,5,0)</f>
        <v>71.444879999999998</v>
      </c>
      <c r="FG26" s="13">
        <f t="shared" si="47"/>
        <v>20.03184442542841</v>
      </c>
      <c r="FH26" s="20">
        <f t="shared" si="22"/>
        <v>159.32196170762117</v>
      </c>
      <c r="FI26" s="59">
        <f t="shared" si="23"/>
        <v>444.09973948539891</v>
      </c>
      <c r="FJ26" s="59">
        <f ca="1">AVERAGE(OFFSET($FI$3,0,0,'Données projet'!$E$16+1,1))-AVERAGE(OFFSET($H$3,0,0,'Données projet'!$E$16+1,1))</f>
        <v>299.10536994156814</v>
      </c>
      <c r="FK26" s="59">
        <f t="shared" si="48"/>
        <v>292.57799203101769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4.3855223599232875</v>
      </c>
      <c r="FS26" s="21">
        <f>EXP(-LN(2)/2)*FS25+(1-EXP(-LN(2)/2))/(LN(2)/2)*FM26*FP26*VLOOKUP('Données projet'!$B$16,Paramètres!$A$1:$I$89,3,0)*0.475*44/12</f>
        <v>2.0337517831913359</v>
      </c>
      <c r="FT26" s="22">
        <f t="shared" si="24"/>
        <v>6.4192741431146239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5.3846153846153868</v>
      </c>
      <c r="FZ26" s="12">
        <f>IF('Données projet'!$A$244&gt;35,FZ25+FY26-GH25,IF(A26&lt;'Données projet'!$A$244,$FW$205^A26,IF(A26='Données projet'!$A$244,'Données projet'!$B$244,FZ25+FY26-GH25)))</f>
        <v>100.12820512820514</v>
      </c>
      <c r="GA26" s="17">
        <f>FZ26*VLOOKUP('Données projet'!$B$17,Paramètres!$A$1:$I$89,3,0)*VLOOKUP('Données projet'!$B$17,Paramètres!$A$1:$I$89,5,0)</f>
        <v>90.596000000000018</v>
      </c>
      <c r="GB26" s="13">
        <f t="shared" si="49"/>
        <v>24.708910578668217</v>
      </c>
      <c r="GC26" s="20">
        <f t="shared" si="25"/>
        <v>200.82271925784713</v>
      </c>
      <c r="GD26" s="59">
        <f t="shared" si="26"/>
        <v>485.60049703562493</v>
      </c>
      <c r="GE26" s="59">
        <f ca="1">AVERAGE(OFFSET($GD$3,0,0,'Données projet'!$E$17+1,1))-AVERAGE(OFFSET($H$3,0,0,'Données projet'!$E$17+1,1))</f>
        <v>204.78565758021779</v>
      </c>
      <c r="GF26" s="59">
        <f t="shared" si="50"/>
        <v>287.25131613242439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0.8989661892827786</v>
      </c>
      <c r="GM26" s="21">
        <f>EXP(-LN(2)/25)*GM25+(1-EXP(-LN(2)/25))/(LN(2)/25)*Calculateur!GH26*Calculateur!GJ26*VLOOKUP('Données projet'!$B$17,Paramètres!$A$1:$I$89,3,0)*0.475*44/12</f>
        <v>3.3394162288831164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4.2383824181658953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10.6</v>
      </c>
      <c r="GU26" s="12">
        <f>IF('Données projet'!$A$270&gt;35,GU25+GT26-HC25,IF(A26&lt;'Données projet'!$A$270,$GR$205^A26,IF(A26='Données projet'!$A$270,'Données projet'!$B$270,GU25+GT26-HC25)))</f>
        <v>91.799999999999969</v>
      </c>
      <c r="GV26" s="17">
        <f>GU26*VLOOKUP('Données projet'!$B$18,Paramètres!$A$1:$I$89,3,0)*VLOOKUP('Données projet'!$B$18,Paramètres!$A$1:$I$89,5,0)</f>
        <v>71.603999999999985</v>
      </c>
      <c r="GW26" s="13">
        <f t="shared" si="51"/>
        <v>20.071260561992585</v>
      </c>
      <c r="GX26" s="20">
        <f t="shared" si="28"/>
        <v>159.66774547880371</v>
      </c>
      <c r="GY26" s="59">
        <f t="shared" si="29"/>
        <v>444.44552325658151</v>
      </c>
      <c r="GZ26" s="59">
        <f ca="1">AVERAGE(OFFSET($GY$3,0,0,'Données projet'!$E$18+1,1))-AVERAGE(OFFSET($H$3,0,0,'Données projet'!$E$18+1,1))</f>
        <v>288.82868507674738</v>
      </c>
      <c r="HA26" s="59">
        <f t="shared" si="52"/>
        <v>283.48738729114024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2.3458789917702862</v>
      </c>
      <c r="HI26" s="21">
        <f>EXP(-LN(2)/2)*HI25+(1-EXP(-LN(2)/2))/(LN(2)/2)*HC26*HF26*VLOOKUP('Données projet'!$B$18,Paramètres!$A$1:$I$89,3,0)*0.475*44/12</f>
        <v>1.6607350092171429</v>
      </c>
      <c r="HJ26" s="22">
        <f t="shared" si="30"/>
        <v>4.0066140009874296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15.782</v>
      </c>
      <c r="N27" s="13">
        <f>IF('Données projet'!$A$36&gt;35,N26+M27-V26,IF(A27&lt;'Données projet'!$A$36,$K$205^A27,IF(A27='Données projet'!$A$36,'Données projet'!$B$36,N26+M27-V26)))</f>
        <v>108.504</v>
      </c>
      <c r="O27" s="13">
        <f>N27*VLOOKUP('Données projet'!$B$9,Paramètres!$A$1:$I$89,3,0)*VLOOKUP('Données projet'!$B$9,Paramètres!$A$1:$I$89,5,0)</f>
        <v>64.88539200000001</v>
      </c>
      <c r="P27" s="13">
        <f t="shared" si="33"/>
        <v>18.397766162676771</v>
      </c>
      <c r="Q27" s="20">
        <f t="shared" si="2"/>
        <v>145.05150046666205</v>
      </c>
      <c r="R27" s="59">
        <f t="shared" si="0"/>
        <v>431.05150046666205</v>
      </c>
      <c r="S27" s="59">
        <f ca="1">AVERAGE(OFFSET($R$3,0,0,'Données projet'!$E$9+1,1))-AVERAGE(OFFSET($H$3,0,0,'Données projet'!$E$9+1,1))</f>
        <v>349.71285006949597</v>
      </c>
      <c r="T27" s="59">
        <f t="shared" si="34"/>
        <v>258.51550516456842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4.5136844307530462</v>
      </c>
      <c r="AA27" s="21">
        <f>EXP(-LN(2)/25)*AA26+(1-EXP(-LN(2)/25))/(LN(2)/25)*Calculateur!V27*Calculateur!X27*VLOOKUP('Données projet'!$B$9,Paramètres!$A$1:$I$89,3,0)*0.475*44/12</f>
        <v>6.5493600178434352</v>
      </c>
      <c r="AB27" s="21">
        <f>EXP(-LN(2)/2)*AB26+(1-EXP(-LN(2)/2))/(LN(2)/2)*V27*Y27*VLOOKUP('Données projet'!$B$9,Paramètres!$A$1:$I$89,3,0)*0.475*44/12</f>
        <v>6.7692595743976414</v>
      </c>
      <c r="AC27" s="22">
        <f t="shared" si="3"/>
        <v>17.832304022994123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4.016578947368421</v>
      </c>
      <c r="AI27" s="13">
        <f>IF('Données projet'!$A$62&gt;35,AI26+AH27-AQ26,IF(A27&lt;'Données projet'!$A$62,$AF$205^A27,IF(A27='Données projet'!$A$62,'Données projet'!$B$62,AI26+AH27-AQ26)))</f>
        <v>96.397894736842076</v>
      </c>
      <c r="AJ27" s="13">
        <f>AI27*VLOOKUP('Données projet'!$B$10,Paramètres!$A$1:$I$89,3,0)*VLOOKUP('Données projet'!$B$10,Paramètres!$A$1:$I$89,5,0)</f>
        <v>91.732236631578928</v>
      </c>
      <c r="AK27" s="13">
        <f t="shared" si="35"/>
        <v>24.982534093770941</v>
      </c>
      <c r="AL27" s="20">
        <f t="shared" si="4"/>
        <v>203.27822567998433</v>
      </c>
      <c r="AM27" s="59">
        <f t="shared" si="5"/>
        <v>489.2782256799843</v>
      </c>
      <c r="AN27" s="59">
        <f ca="1">AVERAGE(OFFSET($AM$3,0,0,'Données projet'!$E$10+1,1))-AVERAGE(OFFSET($H$3,0,0,'Données projet'!$E$10+1,1))</f>
        <v>449.28947235329758</v>
      </c>
      <c r="AO27" s="59">
        <f t="shared" si="36"/>
        <v>289.36994109443964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88.908233142857185</v>
      </c>
      <c r="BF27" s="13">
        <f t="shared" si="37"/>
        <v>24.301730375247274</v>
      </c>
      <c r="BG27" s="20">
        <f t="shared" si="7"/>
        <v>197.17401979403192</v>
      </c>
      <c r="BH27" s="59">
        <f t="shared" si="8"/>
        <v>483.17401979403189</v>
      </c>
      <c r="BI27" s="59">
        <f ca="1">AVERAGE(OFFSET($BH$3,0,0,'Données projet'!$E$11+1,1))-AVERAGE(OFFSET($H$3,0,0,'Données projet'!$E$11+1,1))</f>
        <v>635.71275911100679</v>
      </c>
      <c r="BJ27" s="59">
        <f t="shared" si="38"/>
        <v>281.7776857269169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3.3603333333333336</v>
      </c>
      <c r="BY27" s="12">
        <f>IF('Données projet'!$A$114&gt;35,BY26+BX27-CG26,IF(A27&lt;'Données projet'!$A$114,$BV$205^A27,IF(A27='Données projet'!$A$114,'Données projet'!$B$114,BY26+BX27-CG26)))</f>
        <v>80.648000000000025</v>
      </c>
      <c r="BZ27" s="13">
        <f>BY27*VLOOKUP('Données projet'!$B$12,Paramètres!$A$1:$I$89,3,0)*VLOOKUP('Données projet'!$B$12,Paramètres!$A$1:$I$89,5,0)</f>
        <v>91.841942400000036</v>
      </c>
      <c r="CA27" s="13">
        <f t="shared" si="39"/>
        <v>25.008931998737175</v>
      </c>
      <c r="CB27" s="20">
        <f t="shared" si="10"/>
        <v>203.51527291113393</v>
      </c>
      <c r="CC27" s="59">
        <f t="shared" si="11"/>
        <v>489.51527291113393</v>
      </c>
      <c r="CD27" s="59">
        <f ca="1">AVERAGE(OFFSET($CC$3,0,0,'Données projet'!$E$12+1,1))-AVERAGE(OFFSET($H$3,0,0,'Données projet'!$E$12+1,1))</f>
        <v>593.28343396240075</v>
      </c>
      <c r="CE27" s="59">
        <f t="shared" si="40"/>
        <v>289.66477662068695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7.8205128205128194</v>
      </c>
      <c r="CT27" s="12">
        <f>IF('Données projet'!$A$140&gt;35,CT26+CS27-DB26,IF(A27&lt;'Données projet'!$A$140,$CQ$205^A27,IF(A27='Données projet'!$A$140,'Données projet'!$B$140,CT26+CS27-DB26)))</f>
        <v>83.84615384615384</v>
      </c>
      <c r="CU27" s="17">
        <f>CT27*VLOOKUP('Données projet'!$B$13,Paramètres!$A$1:$I$89,3,0)*VLOOKUP('Données projet'!$B$13,Paramètres!$A$1:$I$89,5,0)</f>
        <v>87.635999999999996</v>
      </c>
      <c r="CV27" s="13">
        <f t="shared" si="41"/>
        <v>23.994204894827028</v>
      </c>
      <c r="CW27" s="20">
        <f t="shared" si="13"/>
        <v>194.42260685849041</v>
      </c>
      <c r="CX27" s="59">
        <f t="shared" si="14"/>
        <v>480.42260685849044</v>
      </c>
      <c r="CY27" s="59">
        <f ca="1">AVERAGE(OFFSET($CX$3,0,0,'Données projet'!$E$13+1,1))-AVERAGE(OFFSET($H$3,0,0,'Données projet'!$E$13+1,1))</f>
        <v>260.65406541614402</v>
      </c>
      <c r="CZ27" s="59">
        <f t="shared" si="42"/>
        <v>277.63456890196886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7.0982651803315413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7.0982651803315413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6.1538461538461515</v>
      </c>
      <c r="DO27" s="12">
        <f>IF('Données projet'!$A$166&gt;35,DO26+DN27-DW26,IF(A27&lt;'Données projet'!$A$166,$DL$205^A27,IF(A27='Données projet'!$A$166,'Données projet'!$B$166,DO26+DN27-DW26)))</f>
        <v>82.307692307692278</v>
      </c>
      <c r="DP27" s="17">
        <f>DO27*VLOOKUP('Données projet'!$B$14,Paramètres!$A$1:$I$89,3,0)*VLOOKUP('Données projet'!$B$14,Paramètres!$A$1:$I$89,5,0)</f>
        <v>53.927999999999983</v>
      </c>
      <c r="DQ27" s="13">
        <f t="shared" si="43"/>
        <v>15.623674875995565</v>
      </c>
      <c r="DR27" s="20">
        <f t="shared" si="16"/>
        <v>121.1358337423589</v>
      </c>
      <c r="DS27" s="59">
        <f t="shared" si="17"/>
        <v>407.1358337423589</v>
      </c>
      <c r="DT27" s="59">
        <f ca="1">AVERAGE(OFFSET($DS$3,0,0,'Données projet'!$E$14+1,1))-AVERAGE(OFFSET($H$3,0,0,'Données projet'!$E$14+1,1))</f>
        <v>181.4272795535777</v>
      </c>
      <c r="DU27" s="59">
        <f t="shared" si="44"/>
        <v>187.67131775419904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0.63363410247883178</v>
      </c>
      <c r="EC27" s="21">
        <f>EXP(-LN(2)/2)*EC26+(1-EXP(-LN(2)/2))/(LN(2)/2)*DW27*DZ27*VLOOKUP('Données projet'!$B$14,Paramètres!$A$1:$I$89,3,0)*0.475*44/12</f>
        <v>0.26596312684422579</v>
      </c>
      <c r="ED27" s="22">
        <f t="shared" si="18"/>
        <v>0.89959722932305763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6.6666666666666661</v>
      </c>
      <c r="EJ27" s="12">
        <f>IF('Données projet'!$A$192&gt;35,EJ26+EI27-ER26,IF(A27&lt;'Données projet'!$A$192,$EG$205^A27,IF(A27='Données projet'!$A$192,'Données projet'!$B$192,EJ26+EI27-ER26)))</f>
        <v>98.461538461538495</v>
      </c>
      <c r="EK27" s="17">
        <f>EJ27*VLOOKUP('Données projet'!$B$15,Paramètres!$A$1:$I$89,3,0)*VLOOKUP('Données projet'!$B$15,Paramètres!$A$1:$I$89,5,0)</f>
        <v>79.872000000000028</v>
      </c>
      <c r="EL27" s="13">
        <f t="shared" si="45"/>
        <v>22.105884547145418</v>
      </c>
      <c r="EM27" s="20">
        <f t="shared" si="19"/>
        <v>177.61148225294497</v>
      </c>
      <c r="EN27" s="59">
        <f t="shared" si="20"/>
        <v>463.61148225294494</v>
      </c>
      <c r="EO27" s="59">
        <f ca="1">AVERAGE(OFFSET($EN$3,0,0,'Données projet'!$E$15+1,1))-AVERAGE(OFFSET($H$3,0,0,'Données projet'!$E$15+1,1))</f>
        <v>159.68591355116837</v>
      </c>
      <c r="EP27" s="59">
        <f t="shared" si="46"/>
        <v>284.32631786390112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3.1084887871025271</v>
      </c>
      <c r="EX27" s="21">
        <f>EXP(-LN(2)/2)*EX26+(1-EXP(-LN(2)/2))/(LN(2)/2)*ER27*EU27*VLOOKUP('Données projet'!$B$15,Paramètres!$A$1:$I$89,3,0)*0.475*44/12</f>
        <v>1.2093361375793756</v>
      </c>
      <c r="EY27" s="22">
        <f t="shared" si="21"/>
        <v>4.3178249246819025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102.39999999999998</v>
      </c>
      <c r="FF27" s="17">
        <f>FE27*VLOOKUP('Données projet'!$B$16,Paramètres!$A$1:$I$89,3,0)*VLOOKUP('Données projet'!$B$16,Paramètres!$A$1:$I$89,5,0)</f>
        <v>81.469439999999992</v>
      </c>
      <c r="FG27" s="13">
        <f t="shared" si="47"/>
        <v>22.496088365195678</v>
      </c>
      <c r="FH27" s="20">
        <f t="shared" si="22"/>
        <v>181.07329523604912</v>
      </c>
      <c r="FI27" s="59">
        <f t="shared" si="23"/>
        <v>467.07329523604915</v>
      </c>
      <c r="FJ27" s="59">
        <f ca="1">AVERAGE(OFFSET($FI$3,0,0,'Données projet'!$E$16+1,1))-AVERAGE(OFFSET($H$3,0,0,'Données projet'!$E$16+1,1))</f>
        <v>299.10536994156814</v>
      </c>
      <c r="FK27" s="59">
        <f t="shared" si="48"/>
        <v>292.57799203101769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4.2656000203665876</v>
      </c>
      <c r="FS27" s="21">
        <f>EXP(-LN(2)/2)*FS26+(1-EXP(-LN(2)/2))/(LN(2)/2)*FM27*FP27*VLOOKUP('Données projet'!$B$16,Paramètres!$A$1:$I$89,3,0)*0.475*44/12</f>
        <v>1.438079677144827</v>
      </c>
      <c r="FT27" s="22">
        <f t="shared" si="24"/>
        <v>5.703679697511415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5.3846153846153868</v>
      </c>
      <c r="FZ27" s="12">
        <f>IF('Données projet'!$A$244&gt;35,FZ26+FY27-GH26,IF(A27&lt;'Données projet'!$A$244,$FW$205^A27,IF(A27='Données projet'!$A$244,'Données projet'!$B$244,FZ26+FY27-GH26)))</f>
        <v>105.51282051282053</v>
      </c>
      <c r="GA27" s="17">
        <f>FZ27*VLOOKUP('Données projet'!$B$17,Paramètres!$A$1:$I$89,3,0)*VLOOKUP('Données projet'!$B$17,Paramètres!$A$1:$I$89,5,0)</f>
        <v>95.468000000000004</v>
      </c>
      <c r="GB27" s="13">
        <f t="shared" si="49"/>
        <v>25.879414022319047</v>
      </c>
      <c r="GC27" s="20">
        <f t="shared" si="25"/>
        <v>211.34674608887232</v>
      </c>
      <c r="GD27" s="59">
        <f t="shared" si="26"/>
        <v>497.34674608887235</v>
      </c>
      <c r="GE27" s="59">
        <f ca="1">AVERAGE(OFFSET($GD$3,0,0,'Données projet'!$E$17+1,1))-AVERAGE(OFFSET($H$3,0,0,'Données projet'!$E$17+1,1))</f>
        <v>204.78565758021779</v>
      </c>
      <c r="GF27" s="59">
        <f t="shared" si="50"/>
        <v>287.25131613242439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0.88133801062617712</v>
      </c>
      <c r="GM27" s="21">
        <f>EXP(-LN(2)/25)*GM26+(1-EXP(-LN(2)/25))/(LN(2)/25)*Calculateur!GH27*Calculateur!GJ27*VLOOKUP('Données projet'!$B$17,Paramètres!$A$1:$I$89,3,0)*0.475*44/12</f>
        <v>3.2480997164920407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4.1294377271182174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10.6</v>
      </c>
      <c r="GU27" s="12">
        <f>IF('Données projet'!$A$270&gt;35,GU26+GT27-HC26,IF(A27&lt;'Données projet'!$A$270,$GR$205^A27,IF(A27='Données projet'!$A$270,'Données projet'!$B$270,GU26+GT27-HC26)))</f>
        <v>102.39999999999996</v>
      </c>
      <c r="GV27" s="17">
        <f>GU27*VLOOKUP('Données projet'!$B$18,Paramètres!$A$1:$I$89,3,0)*VLOOKUP('Données projet'!$B$18,Paramètres!$A$1:$I$89,5,0)</f>
        <v>79.871999999999971</v>
      </c>
      <c r="GW27" s="13">
        <f t="shared" si="51"/>
        <v>22.105884547145401</v>
      </c>
      <c r="GX27" s="20">
        <f t="shared" si="28"/>
        <v>177.61148225294485</v>
      </c>
      <c r="GY27" s="59">
        <f t="shared" si="29"/>
        <v>463.61148225294482</v>
      </c>
      <c r="GZ27" s="59">
        <f ca="1">AVERAGE(OFFSET($GY$3,0,0,'Données projet'!$E$18+1,1))-AVERAGE(OFFSET($H$3,0,0,'Données projet'!$E$18+1,1))</f>
        <v>288.82868507674738</v>
      </c>
      <c r="HA27" s="59">
        <f t="shared" si="52"/>
        <v>283.48738729114024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2.2817308073759133</v>
      </c>
      <c r="HI27" s="21">
        <f>EXP(-LN(2)/2)*HI26+(1-EXP(-LN(2)/2))/(LN(2)/2)*HC27*HF27*VLOOKUP('Données projet'!$B$18,Paramètres!$A$1:$I$89,3,0)*0.475*44/12</f>
        <v>1.1743169867713454</v>
      </c>
      <c r="HJ27" s="22">
        <f t="shared" si="30"/>
        <v>3.4560477941472589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15.782</v>
      </c>
      <c r="N28" s="13">
        <f>IF('Données projet'!$A$36&gt;35,N27+M28-V27,IF(A28&lt;'Données projet'!$A$36,$K$205^A28,IF(A28='Données projet'!$A$36,'Données projet'!$B$36,N27+M28-V27)))</f>
        <v>124.286</v>
      </c>
      <c r="O28" s="13">
        <f>N28*VLOOKUP('Données projet'!$B$9,Paramètres!$A$1:$I$89,3,0)*VLOOKUP('Données projet'!$B$9,Paramètres!$A$1:$I$89,5,0)</f>
        <v>74.323028000000008</v>
      </c>
      <c r="P28" s="13">
        <f t="shared" si="33"/>
        <v>20.743244990540482</v>
      </c>
      <c r="Q28" s="20">
        <f t="shared" si="2"/>
        <v>165.57375879185801</v>
      </c>
      <c r="R28" s="59">
        <f t="shared" si="0"/>
        <v>452.79598101408021</v>
      </c>
      <c r="S28" s="59">
        <f ca="1">AVERAGE(OFFSET($R$3,0,0,'Données projet'!$E$9+1,1))-AVERAGE(OFFSET($H$3,0,0,'Données projet'!$E$9+1,1))</f>
        <v>349.71285006949597</v>
      </c>
      <c r="T28" s="59">
        <f t="shared" si="34"/>
        <v>258.51550516456842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4.4251738321416383</v>
      </c>
      <c r="AA28" s="21">
        <f>EXP(-LN(2)/25)*AA27+(1-EXP(-LN(2)/25))/(LN(2)/25)*Calculateur!V28*Calculateur!X28*VLOOKUP('Données projet'!$B$9,Paramètres!$A$1:$I$89,3,0)*0.475*44/12</f>
        <v>6.370267423739632</v>
      </c>
      <c r="AB28" s="21">
        <f>EXP(-LN(2)/2)*AB27+(1-EXP(-LN(2)/2))/(LN(2)/2)*V28*Y28*VLOOKUP('Données projet'!$B$9,Paramètres!$A$1:$I$89,3,0)*0.475*44/12</f>
        <v>4.7865893486685351</v>
      </c>
      <c r="AC28" s="22">
        <f t="shared" si="3"/>
        <v>15.582030604549805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4.016578947368421</v>
      </c>
      <c r="AI28" s="13">
        <f>IF('Données projet'!$A$62&gt;35,AI27+AH28-AQ27,IF(A28&lt;'Données projet'!$A$62,$AF$205^A28,IF(A28='Données projet'!$A$62,'Données projet'!$B$62,AI27+AH28-AQ27)))</f>
        <v>100.41447368421049</v>
      </c>
      <c r="AJ28" s="13">
        <f>AI28*VLOOKUP('Données projet'!$B$10,Paramètres!$A$1:$I$89,3,0)*VLOOKUP('Données projet'!$B$10,Paramètres!$A$1:$I$89,5,0)</f>
        <v>95.5544131578947</v>
      </c>
      <c r="AK28" s="13">
        <f t="shared" si="35"/>
        <v>25.900111114129121</v>
      </c>
      <c r="AL28" s="20">
        <f t="shared" si="4"/>
        <v>211.53329644044149</v>
      </c>
      <c r="AM28" s="59">
        <f t="shared" si="5"/>
        <v>498.75551866266369</v>
      </c>
      <c r="AN28" s="59">
        <f ca="1">AVERAGE(OFFSET($AM$3,0,0,'Données projet'!$E$10+1,1))-AVERAGE(OFFSET($H$3,0,0,'Données projet'!$E$10+1,1))</f>
        <v>449.28947235329758</v>
      </c>
      <c r="AO28" s="59">
        <f t="shared" si="36"/>
        <v>289.36994109443964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92.612742857142905</v>
      </c>
      <c r="BF28" s="13">
        <f t="shared" si="37"/>
        <v>25.194302332262133</v>
      </c>
      <c r="BG28" s="20">
        <f t="shared" si="7"/>
        <v>205.18060370488044</v>
      </c>
      <c r="BH28" s="59">
        <f t="shared" si="8"/>
        <v>492.40282592710264</v>
      </c>
      <c r="BI28" s="59">
        <f ca="1">AVERAGE(OFFSET($BH$3,0,0,'Données projet'!$E$11+1,1))-AVERAGE(OFFSET($H$3,0,0,'Données projet'!$E$11+1,1))</f>
        <v>635.71275911100679</v>
      </c>
      <c r="BJ28" s="59">
        <f t="shared" si="38"/>
        <v>281.7776857269169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3.3603333333333336</v>
      </c>
      <c r="BY28" s="12">
        <f>IF('Données projet'!$A$114&gt;35,BY27+BX28-CG27,IF(A28&lt;'Données projet'!$A$114,$BV$205^A28,IF(A28='Données projet'!$A$114,'Données projet'!$B$114,BY27+BX28-CG27)))</f>
        <v>84.008333333333354</v>
      </c>
      <c r="BZ28" s="13">
        <f>BY28*VLOOKUP('Données projet'!$B$12,Paramètres!$A$1:$I$89,3,0)*VLOOKUP('Données projet'!$B$12,Paramètres!$A$1:$I$89,5,0)</f>
        <v>95.668690000000026</v>
      </c>
      <c r="CA28" s="13">
        <f t="shared" si="39"/>
        <v>25.927478580905699</v>
      </c>
      <c r="CB28" s="20">
        <f t="shared" si="10"/>
        <v>211.77999361174412</v>
      </c>
      <c r="CC28" s="59">
        <f t="shared" si="11"/>
        <v>499.00221583396637</v>
      </c>
      <c r="CD28" s="59">
        <f ca="1">AVERAGE(OFFSET($CC$3,0,0,'Données projet'!$E$12+1,1))-AVERAGE(OFFSET($H$3,0,0,'Données projet'!$E$12+1,1))</f>
        <v>593.28343396240075</v>
      </c>
      <c r="CE28" s="59">
        <f t="shared" si="40"/>
        <v>289.66477662068695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91.666666666666657</v>
      </c>
      <c r="CR28" s="12">
        <f>VLOOKUP(A28,'Données projet'!$A$139:$I$159,9,0)</f>
        <v>7.8205128205128194</v>
      </c>
      <c r="CS28" s="12">
        <f t="array" ref="CS28">INDEX(CR:CR,MIN(IF(ISNUMBER(CR28:CR224),ROW(CR28:CR224),"")))</f>
        <v>7.8205128205128194</v>
      </c>
      <c r="CT28" s="12">
        <f>IF('Données projet'!$A$140&gt;35,CT27+CS28-DB27,IF(A28&lt;'Données projet'!$A$140,$CQ$205^A28,IF(A28='Données projet'!$A$140,'Données projet'!$B$140,CT27+CS28-DB27)))</f>
        <v>91.666666666666657</v>
      </c>
      <c r="CU28" s="17">
        <f>CT28*VLOOKUP('Données projet'!$B$13,Paramètres!$A$1:$I$89,3,0)*VLOOKUP('Données projet'!$B$13,Paramètres!$A$1:$I$89,5,0)</f>
        <v>95.81</v>
      </c>
      <c r="CV28" s="13">
        <f t="shared" si="41"/>
        <v>25.961314793499493</v>
      </c>
      <c r="CW28" s="20">
        <f t="shared" si="13"/>
        <v>212.08503993201165</v>
      </c>
      <c r="CX28" s="59">
        <f t="shared" si="14"/>
        <v>499.30726215423385</v>
      </c>
      <c r="CY28" s="59">
        <f ca="1">AVERAGE(OFFSET($CX$3,0,0,'Données projet'!$E$13+1,1))-AVERAGE(OFFSET($H$3,0,0,'Données projet'!$E$13+1,1))</f>
        <v>260.65406541614402</v>
      </c>
      <c r="CZ28" s="59">
        <f t="shared" si="42"/>
        <v>277.63456890196886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23.717948717948715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0.215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12.772955033265466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12.772955033265466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88.461538461538453</v>
      </c>
      <c r="DM28" s="12">
        <f>VLOOKUP(A28,'Données projet'!$A$165:$I$185,9,0)</f>
        <v>6.1538461538461515</v>
      </c>
      <c r="DN28" s="12">
        <f t="array" ref="DN28">INDEX(DM:DM,MIN(IF(ISNUMBER(DM28:DM224),ROW(DM28:DM224),"")))</f>
        <v>6.1538461538461515</v>
      </c>
      <c r="DO28" s="12">
        <f>IF('Données projet'!$A$166&gt;35,DO27+DN28-DW27,IF(A28&lt;'Données projet'!$A$166,$DL$205^A28,IF(A28='Données projet'!$A$166,'Données projet'!$B$166,DO27+DN28-DW27)))</f>
        <v>88.461538461538424</v>
      </c>
      <c r="DP28" s="17">
        <f>DO28*VLOOKUP('Données projet'!$B$14,Paramètres!$A$1:$I$89,3,0)*VLOOKUP('Données projet'!$B$14,Paramètres!$A$1:$I$89,5,0)</f>
        <v>57.95999999999998</v>
      </c>
      <c r="DQ28" s="13">
        <f t="shared" si="43"/>
        <v>16.651459239215004</v>
      </c>
      <c r="DR28" s="20">
        <f t="shared" si="16"/>
        <v>129.94829150829943</v>
      </c>
      <c r="DS28" s="59">
        <f t="shared" si="17"/>
        <v>417.17051373052163</v>
      </c>
      <c r="DT28" s="59">
        <f ca="1">AVERAGE(OFFSET($DS$3,0,0,'Données projet'!$E$14+1,1))-AVERAGE(OFFSET($H$3,0,0,'Données projet'!$E$14+1,1))</f>
        <v>181.4272795535777</v>
      </c>
      <c r="DU28" s="59">
        <f t="shared" si="44"/>
        <v>187.67131775419904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13.461538461538462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0.1075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1.6603321122004475</v>
      </c>
      <c r="EC28" s="21">
        <f>EXP(-LN(2)/2)*EC27+(1-EXP(-LN(2)/2))/(LN(2)/2)*DW28*DZ28*VLOOKUP('Données projet'!$B$14,Paramètres!$A$1:$I$89,3,0)*0.475*44/12</f>
        <v>2.2685411772420108</v>
      </c>
      <c r="ED28" s="22">
        <f t="shared" si="18"/>
        <v>3.9288732894424583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6.6666666666666661</v>
      </c>
      <c r="EJ28" s="12">
        <f>IF('Données projet'!$A$192&gt;35,EJ27+EI28-ER27,IF(A28&lt;'Données projet'!$A$192,$EG$205^A28,IF(A28='Données projet'!$A$192,'Données projet'!$B$192,EJ27+EI28-ER27)))</f>
        <v>105.12820512820517</v>
      </c>
      <c r="EK28" s="17">
        <f>EJ28*VLOOKUP('Données projet'!$B$15,Paramètres!$A$1:$I$89,3,0)*VLOOKUP('Données projet'!$B$15,Paramètres!$A$1:$I$89,5,0)</f>
        <v>85.28000000000003</v>
      </c>
      <c r="EL28" s="13">
        <f t="shared" si="45"/>
        <v>23.423330346599393</v>
      </c>
      <c r="EM28" s="20">
        <f t="shared" si="19"/>
        <v>189.32496702032731</v>
      </c>
      <c r="EN28" s="59">
        <f t="shared" si="20"/>
        <v>476.54718924254951</v>
      </c>
      <c r="EO28" s="59">
        <f ca="1">AVERAGE(OFFSET($EN$3,0,0,'Données projet'!$E$15+1,1))-AVERAGE(OFFSET($H$3,0,0,'Données projet'!$E$15+1,1))</f>
        <v>159.68591355116837</v>
      </c>
      <c r="EP28" s="59">
        <f t="shared" si="46"/>
        <v>284.32631786390112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3.0234869977508878</v>
      </c>
      <c r="EX28" s="21">
        <f>EXP(-LN(2)/2)*EX27+(1-EXP(-LN(2)/2))/(LN(2)/2)*ER28*EU28*VLOOKUP('Données projet'!$B$15,Paramètres!$A$1:$I$89,3,0)*0.475*44/12</f>
        <v>0.85512978361632419</v>
      </c>
      <c r="EY28" s="22">
        <f t="shared" si="21"/>
        <v>3.8786167813672119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115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114.99999999999997</v>
      </c>
      <c r="FF28" s="17">
        <f>FE28*VLOOKUP('Données projet'!$B$16,Paramètres!$A$1:$I$89,3,0)*VLOOKUP('Données projet'!$B$16,Paramètres!$A$1:$I$89,5,0)</f>
        <v>91.493999999999986</v>
      </c>
      <c r="FG28" s="13">
        <f t="shared" si="47"/>
        <v>24.925195840896517</v>
      </c>
      <c r="FH28" s="20">
        <f t="shared" si="22"/>
        <v>202.76343275622807</v>
      </c>
      <c r="FI28" s="59">
        <f t="shared" si="23"/>
        <v>489.98565497845027</v>
      </c>
      <c r="FJ28" s="59">
        <f ca="1">AVERAGE(OFFSET($FI$3,0,0,'Données projet'!$E$16+1,1))-AVERAGE(OFFSET($H$3,0,0,'Données projet'!$E$16+1,1))</f>
        <v>299.10536994156814</v>
      </c>
      <c r="FK28" s="59">
        <f t="shared" si="48"/>
        <v>292.57799203101769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0.13250000000000001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7.3990997150155255</v>
      </c>
      <c r="FS28" s="21">
        <f>EXP(-LN(2)/2)*FS27+(1-EXP(-LN(2)/2))/(LN(2)/2)*FM28*FP28*VLOOKUP('Données projet'!$B$16,Paramètres!$A$1:$I$89,3,0)*0.475*44/12</f>
        <v>6.2715659844159966</v>
      </c>
      <c r="FT28" s="22">
        <f t="shared" si="24"/>
        <v>13.670665699431522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110.8974358974359</v>
      </c>
      <c r="FX28" s="12">
        <f>VLOOKUP(A28,'Données projet'!$A$243:$I$263,9,0)</f>
        <v>5.3846153846153868</v>
      </c>
      <c r="FY28" s="12">
        <f t="array" ref="FY28">INDEX(FX:FX,MIN(IF(ISNUMBER(FX28:FX224),ROW(FX28:FX224),"")))</f>
        <v>5.3846153846153868</v>
      </c>
      <c r="FZ28" s="12">
        <f>IF('Données projet'!$A$244&gt;35,FZ27+FY28-GH27,IF(A28&lt;'Données projet'!$A$244,$FW$205^A28,IF(A28='Données projet'!$A$244,'Données projet'!$B$244,FZ27+FY28-GH27)))</f>
        <v>110.89743589743591</v>
      </c>
      <c r="GA28" s="17">
        <f>FZ28*VLOOKUP('Données projet'!$B$17,Paramètres!$A$1:$I$89,3,0)*VLOOKUP('Données projet'!$B$17,Paramètres!$A$1:$I$89,5,0)</f>
        <v>100.34</v>
      </c>
      <c r="GB28" s="13">
        <f t="shared" si="49"/>
        <v>27.042981851767511</v>
      </c>
      <c r="GC28" s="20">
        <f t="shared" si="25"/>
        <v>221.85869339182841</v>
      </c>
      <c r="GD28" s="59">
        <f t="shared" si="26"/>
        <v>509.08091561405064</v>
      </c>
      <c r="GE28" s="59">
        <f ca="1">AVERAGE(OFFSET($GD$3,0,0,'Données projet'!$E$17+1,1))-AVERAGE(OFFSET($H$3,0,0,'Données projet'!$E$17+1,1))</f>
        <v>204.78565758021779</v>
      </c>
      <c r="GF28" s="59">
        <f t="shared" si="50"/>
        <v>287.25131613242439</v>
      </c>
      <c r="GG28" s="15">
        <f>IF(ISNA(VLOOKUP(A28,'Données projet'!$A$243:$I$263,3,0)),0,VLOOKUP(A28,'Données projet'!$A$243:$I$263,3,0))</f>
        <v>5</v>
      </c>
      <c r="GH28" s="15">
        <f>IF(ISNA(VLOOKUP(A28,'Données projet'!$A$243:$I$263,4,0)),0,VLOOKUP(A28,'Données projet'!$A$243:$I$263,4,0))</f>
        <v>7.0512820512820511</v>
      </c>
      <c r="GI28" s="16">
        <f>IF(ISNA(VLOOKUP(A28,'Données projet'!$A$243:$I$263,5,0)),0%,VLOOKUP(A28,'Données projet'!$A$243:$I$263,5,0)*VLOOKUP('Données projet'!$B$17,Paramètres!$A$1:$I$89,7,0))</f>
        <v>0.03</v>
      </c>
      <c r="GJ28" s="16">
        <f>IF(ISNA(VLOOKUP(A28,'Données projet'!$A$243:$I$263,6,0)),0%,VLOOKUP(A28,'Données projet'!$A$243:$I$263,6,0)*VLOOKUP('Données projet'!$B$17,Paramètres!$A$1:$I$89,7,0))</f>
        <v>0.12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1.075642540443511</v>
      </c>
      <c r="GM28" s="21">
        <f>EXP(-LN(2)/25)*GM27+(1-EXP(-LN(2)/25))/(LN(2)/25)*Calculateur!GH28*Calculateur!GJ28*VLOOKUP('Données projet'!$B$17,Paramètres!$A$1:$I$89,3,0)*0.475*44/12</f>
        <v>4.0022959864623751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5.0779385269058857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113</v>
      </c>
      <c r="GS28" s="12">
        <f>VLOOKUP(A28,'Données projet'!$A$269:$I$289,9,0)</f>
        <v>10.6</v>
      </c>
      <c r="GT28" s="12">
        <f t="array" ref="GT28">INDEX(GS:GS,MIN(IF(ISNUMBER(GS28:GS224),ROW(GS28:GS224),"")))</f>
        <v>10.6</v>
      </c>
      <c r="GU28" s="12">
        <f>IF('Données projet'!$A$270&gt;35,GU27+GT28-HC27,IF(A28&lt;'Données projet'!$A$270,$GR$205^A28,IF(A28='Données projet'!$A$270,'Données projet'!$B$270,GU27+GT28-HC27)))</f>
        <v>112.99999999999996</v>
      </c>
      <c r="GV28" s="17">
        <f>GU28*VLOOKUP('Données projet'!$B$18,Paramètres!$A$1:$I$89,3,0)*VLOOKUP('Données projet'!$B$18,Paramètres!$A$1:$I$89,5,0)</f>
        <v>88.139999999999972</v>
      </c>
      <c r="GW28" s="13">
        <f t="shared" si="51"/>
        <v>24.116094026318823</v>
      </c>
      <c r="GX28" s="20">
        <f t="shared" si="28"/>
        <v>195.51269709583855</v>
      </c>
      <c r="GY28" s="59">
        <f t="shared" si="29"/>
        <v>482.73491931806075</v>
      </c>
      <c r="GZ28" s="59">
        <f ca="1">AVERAGE(OFFSET($GY$3,0,0,'Données projet'!$E$18+1,1))-AVERAGE(OFFSET($H$3,0,0,'Données projet'!$E$18+1,1))</f>
        <v>288.82868507674738</v>
      </c>
      <c r="HA28" s="59">
        <f t="shared" si="52"/>
        <v>283.48738729114024</v>
      </c>
      <c r="HB28" s="15">
        <f>IF(ISNA(VLOOKUP(A28,'Données projet'!$A$269:$I$289,3,0)),0,VLOOKUP(A28,'Données projet'!$A$269:$I$289,3,0))</f>
        <v>3</v>
      </c>
      <c r="HC28" s="15">
        <f>IF(ISNA(VLOOKUP(A28,'Données projet'!$A$269:$I$289,4,0)),0,VLOOKUP(A28,'Données projet'!$A$269:$I$289,4,0))</f>
        <v>27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0.1075</v>
      </c>
      <c r="HF28" s="16">
        <f>IF(ISNA(VLOOKUP(A28,'Données projet'!$A$269:$I$289,7,0)),0%,VLOOKUP(A28,'Données projet'!$A$269:$I$289,7,0))</f>
        <v>0.25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4.7122122238920356</v>
      </c>
      <c r="HI28" s="21">
        <f>EXP(-LN(2)/2)*HI27+(1-EXP(-LN(2)/2))/(LN(2)/2)*HC28*HF28*VLOOKUP('Données projet'!$B$18,Paramètres!$A$1:$I$89,3,0)*0.475*44/12</f>
        <v>5.7980367100059418</v>
      </c>
      <c r="HJ28" s="22">
        <f t="shared" si="30"/>
        <v>10.510248933897977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15.782</v>
      </c>
      <c r="N29" s="13">
        <f>IF('Données projet'!$A$36&gt;35,N28+M29-V28,IF(A29&lt;'Données projet'!$A$36,$K$205^A29,IF(A29='Données projet'!$A$36,'Données projet'!$B$36,N28+M29-V28)))</f>
        <v>140.06800000000001</v>
      </c>
      <c r="O29" s="13">
        <f>N29*VLOOKUP('Données projet'!$B$9,Paramètres!$A$1:$I$89,3,0)*VLOOKUP('Données projet'!$B$9,Paramètres!$A$1:$I$89,5,0)</f>
        <v>83.76066400000002</v>
      </c>
      <c r="P29" s="13">
        <f t="shared" si="33"/>
        <v>23.054213321234659</v>
      </c>
      <c r="Q29" s="20">
        <f t="shared" si="2"/>
        <v>186.0359113344837</v>
      </c>
      <c r="R29" s="59">
        <f t="shared" si="0"/>
        <v>474.48035577892813</v>
      </c>
      <c r="S29" s="59">
        <f ca="1">AVERAGE(OFFSET($R$3,0,0,'Données projet'!$E$9+1,1))-AVERAGE(OFFSET($H$3,0,0,'Données projet'!$E$9+1,1))</f>
        <v>349.71285006949597</v>
      </c>
      <c r="T29" s="59">
        <f t="shared" si="34"/>
        <v>258.51550516456842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4.3383988723828653</v>
      </c>
      <c r="AA29" s="21">
        <f>EXP(-LN(2)/25)*AA28+(1-EXP(-LN(2)/25))/(LN(2)/25)*Calculateur!V29*Calculateur!X29*VLOOKUP('Données projet'!$B$9,Paramètres!$A$1:$I$89,3,0)*0.475*44/12</f>
        <v>6.1960721260396676</v>
      </c>
      <c r="AB29" s="21">
        <f>EXP(-LN(2)/2)*AB28+(1-EXP(-LN(2)/2))/(LN(2)/2)*V29*Y29*VLOOKUP('Données projet'!$B$9,Paramètres!$A$1:$I$89,3,0)*0.475*44/12</f>
        <v>3.3846297871988211</v>
      </c>
      <c r="AC29" s="22">
        <f t="shared" si="3"/>
        <v>13.919100785621353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4.016578947368421</v>
      </c>
      <c r="AI29" s="13">
        <f>IF('Données projet'!$A$62&gt;35,AI28+AH29-AQ28,IF(A29&lt;'Données projet'!$A$62,$AF$205^A29,IF(A29='Données projet'!$A$62,'Données projet'!$B$62,AI28+AH29-AQ28)))</f>
        <v>104.43105263157891</v>
      </c>
      <c r="AJ29" s="13">
        <f>AI29*VLOOKUP('Données projet'!$B$10,Paramètres!$A$1:$I$89,3,0)*VLOOKUP('Données projet'!$B$10,Paramètres!$A$1:$I$89,5,0)</f>
        <v>99.376589684210487</v>
      </c>
      <c r="AK29" s="13">
        <f t="shared" si="35"/>
        <v>26.813424625461547</v>
      </c>
      <c r="AL29" s="20">
        <f t="shared" si="4"/>
        <v>219.78094158934547</v>
      </c>
      <c r="AM29" s="59">
        <f t="shared" si="5"/>
        <v>508.22538603378996</v>
      </c>
      <c r="AN29" s="59">
        <f ca="1">AVERAGE(OFFSET($AM$3,0,0,'Données projet'!$E$10+1,1))-AVERAGE(OFFSET($H$3,0,0,'Données projet'!$E$10+1,1))</f>
        <v>449.28947235329758</v>
      </c>
      <c r="AO29" s="59">
        <f t="shared" si="36"/>
        <v>289.36994109443964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96.317252571428625</v>
      </c>
      <c r="BF29" s="13">
        <f t="shared" si="37"/>
        <v>26.082726965934707</v>
      </c>
      <c r="BG29" s="20">
        <f t="shared" si="7"/>
        <v>213.1799643609078</v>
      </c>
      <c r="BH29" s="59">
        <f t="shared" si="8"/>
        <v>501.62440880535223</v>
      </c>
      <c r="BI29" s="59">
        <f ca="1">AVERAGE(OFFSET($BH$3,0,0,'Données projet'!$E$11+1,1))-AVERAGE(OFFSET($H$3,0,0,'Données projet'!$E$11+1,1))</f>
        <v>635.71275911100679</v>
      </c>
      <c r="BJ29" s="59">
        <f t="shared" si="38"/>
        <v>281.7776857269169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3.3603333333333336</v>
      </c>
      <c r="BY29" s="12">
        <f>IF('Données projet'!$A$114&gt;35,BY28+BX29-CG28,IF(A29&lt;'Données projet'!$A$114,$BV$205^A29,IF(A29='Données projet'!$A$114,'Données projet'!$B$114,BY28+BX29-CG28)))</f>
        <v>87.368666666666684</v>
      </c>
      <c r="BZ29" s="13">
        <f>BY29*VLOOKUP('Données projet'!$B$12,Paramètres!$A$1:$I$89,3,0)*VLOOKUP('Données projet'!$B$12,Paramètres!$A$1:$I$89,5,0)</f>
        <v>99.495437600000017</v>
      </c>
      <c r="CA29" s="13">
        <f t="shared" si="39"/>
        <v>26.84175714899277</v>
      </c>
      <c r="CB29" s="20">
        <f t="shared" si="10"/>
        <v>220.03728085449575</v>
      </c>
      <c r="CC29" s="59">
        <f t="shared" si="11"/>
        <v>508.4817252989402</v>
      </c>
      <c r="CD29" s="59">
        <f ca="1">AVERAGE(OFFSET($CC$3,0,0,'Données projet'!$E$12+1,1))-AVERAGE(OFFSET($H$3,0,0,'Données projet'!$E$12+1,1))</f>
        <v>593.28343396240075</v>
      </c>
      <c r="CE29" s="59">
        <f t="shared" si="40"/>
        <v>289.66477662068695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7.3076923076923093</v>
      </c>
      <c r="CT29" s="12">
        <f>IF('Données projet'!$A$140&gt;35,CT28+CS29-DB28,IF(A29&lt;'Données projet'!$A$140,$CQ$205^A29,IF(A29='Données projet'!$A$140,'Données projet'!$B$140,CT28+CS29-DB28)))</f>
        <v>75.256410256410248</v>
      </c>
      <c r="CU29" s="17">
        <f>CT29*VLOOKUP('Données projet'!$B$13,Paramètres!$A$1:$I$89,3,0)*VLOOKUP('Données projet'!$B$13,Paramètres!$A$1:$I$89,5,0)</f>
        <v>78.658000000000001</v>
      </c>
      <c r="CV29" s="13">
        <f t="shared" si="41"/>
        <v>21.808735783232525</v>
      </c>
      <c r="CW29" s="20">
        <f t="shared" si="13"/>
        <v>174.97956482246332</v>
      </c>
      <c r="CX29" s="59">
        <f t="shared" si="14"/>
        <v>463.42400926690777</v>
      </c>
      <c r="CY29" s="59">
        <f ca="1">AVERAGE(OFFSET($CX$3,0,0,'Données projet'!$E$13+1,1))-AVERAGE(OFFSET($H$3,0,0,'Données projet'!$E$13+1,1))</f>
        <v>260.65406541614402</v>
      </c>
      <c r="CZ29" s="59">
        <f t="shared" si="42"/>
        <v>277.63456890196886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12.423677906180311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12.423677906180311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5.6410256410256441</v>
      </c>
      <c r="DO29" s="12">
        <f>IF('Données projet'!$A$166&gt;35,DO28+DN29-DW28,IF(A29&lt;'Données projet'!$A$166,$DL$205^A29,IF(A29='Données projet'!$A$166,'Données projet'!$B$166,DO28+DN29-DW28)))</f>
        <v>80.641025641025607</v>
      </c>
      <c r="DP29" s="17">
        <f>DO29*VLOOKUP('Données projet'!$B$14,Paramètres!$A$1:$I$89,3,0)*VLOOKUP('Données projet'!$B$14,Paramètres!$A$1:$I$89,5,0)</f>
        <v>52.835999999999977</v>
      </c>
      <c r="DQ29" s="13">
        <f t="shared" si="43"/>
        <v>15.343800824338855</v>
      </c>
      <c r="DR29" s="20">
        <f t="shared" si="16"/>
        <v>118.74648643572345</v>
      </c>
      <c r="DS29" s="59">
        <f t="shared" si="17"/>
        <v>407.19093088016791</v>
      </c>
      <c r="DT29" s="59">
        <f ca="1">AVERAGE(OFFSET($DS$3,0,0,'Données projet'!$E$14+1,1))-AVERAGE(OFFSET($H$3,0,0,'Données projet'!$E$14+1,1))</f>
        <v>181.4272795535777</v>
      </c>
      <c r="DU29" s="59">
        <f t="shared" si="44"/>
        <v>187.67131775419904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1.6149302432792552</v>
      </c>
      <c r="EC29" s="21">
        <f>EXP(-LN(2)/2)*EC28+(1-EXP(-LN(2)/2))/(LN(2)/2)*DW29*DZ29*VLOOKUP('Données projet'!$B$14,Paramètres!$A$1:$I$89,3,0)*0.475*44/12</f>
        <v>1.6041008498287395</v>
      </c>
      <c r="ED29" s="22">
        <f t="shared" si="18"/>
        <v>3.2190310931079944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6.6666666666666661</v>
      </c>
      <c r="EJ29" s="12">
        <f>IF('Données projet'!$A$192&gt;35,EJ28+EI29-ER28,IF(A29&lt;'Données projet'!$A$192,$EG$205^A29,IF(A29='Données projet'!$A$192,'Données projet'!$B$192,EJ28+EI29-ER28)))</f>
        <v>111.79487179487184</v>
      </c>
      <c r="EK29" s="17">
        <f>EJ29*VLOOKUP('Données projet'!$B$15,Paramètres!$A$1:$I$89,3,0)*VLOOKUP('Données projet'!$B$15,Paramètres!$A$1:$I$89,5,0)</f>
        <v>90.688000000000045</v>
      </c>
      <c r="EL29" s="13">
        <f t="shared" si="45"/>
        <v>24.731080413134364</v>
      </c>
      <c r="EM29" s="20">
        <f t="shared" si="19"/>
        <v>201.02156505287576</v>
      </c>
      <c r="EN29" s="59">
        <f t="shared" si="20"/>
        <v>489.46600949732021</v>
      </c>
      <c r="EO29" s="59">
        <f ca="1">AVERAGE(OFFSET($EN$3,0,0,'Données projet'!$E$15+1,1))-AVERAGE(OFFSET($H$3,0,0,'Données projet'!$E$15+1,1))</f>
        <v>159.68591355116837</v>
      </c>
      <c r="EP29" s="59">
        <f t="shared" si="46"/>
        <v>284.32631786390112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2.9408095867991189</v>
      </c>
      <c r="EX29" s="21">
        <f>EXP(-LN(2)/2)*EX28+(1-EXP(-LN(2)/2))/(LN(2)/2)*ER29*EU29*VLOOKUP('Données projet'!$B$15,Paramètres!$A$1:$I$89,3,0)*0.475*44/12</f>
        <v>0.60466806878968793</v>
      </c>
      <c r="EY29" s="22">
        <f t="shared" si="21"/>
        <v>3.5454776555888068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98.799999999999969</v>
      </c>
      <c r="FF29" s="17">
        <f>FE29*VLOOKUP('Données projet'!$B$16,Paramètres!$A$1:$I$89,3,0)*VLOOKUP('Données projet'!$B$16,Paramètres!$A$1:$I$89,5,0)</f>
        <v>78.605279999999979</v>
      </c>
      <c r="FG29" s="13">
        <f t="shared" si="47"/>
        <v>21.795819556945734</v>
      </c>
      <c r="FH29" s="20">
        <f t="shared" si="22"/>
        <v>174.86524839501377</v>
      </c>
      <c r="FI29" s="59">
        <f t="shared" si="23"/>
        <v>463.30969283945819</v>
      </c>
      <c r="FJ29" s="59">
        <f ca="1">AVERAGE(OFFSET($FI$3,0,0,'Données projet'!$E$16+1,1))-AVERAGE(OFFSET($H$3,0,0,'Données projet'!$E$16+1,1))</f>
        <v>299.10536994156814</v>
      </c>
      <c r="FK29" s="59">
        <f t="shared" si="48"/>
        <v>292.57799203101769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7.1967709442066825</v>
      </c>
      <c r="FS29" s="21">
        <f>EXP(-LN(2)/2)*FS28+(1-EXP(-LN(2)/2))/(LN(2)/2)*FM29*FP29*VLOOKUP('Données projet'!$B$16,Paramètres!$A$1:$I$89,3,0)*0.475*44/12</f>
        <v>4.4346668362394368</v>
      </c>
      <c r="FT29" s="22">
        <f t="shared" si="24"/>
        <v>11.63143778044612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4.3589743589743595</v>
      </c>
      <c r="FZ29" s="12">
        <f>IF('Données projet'!$A$244&gt;35,FZ28+FY29-GH28,IF(A29&lt;'Données projet'!$A$244,$FW$205^A29,IF(A29='Données projet'!$A$244,'Données projet'!$B$244,FZ28+FY29-GH28)))</f>
        <v>108.20512820512823</v>
      </c>
      <c r="GA29" s="17">
        <f>FZ29*VLOOKUP('Données projet'!$B$17,Paramètres!$A$1:$I$89,3,0)*VLOOKUP('Données projet'!$B$17,Paramètres!$A$1:$I$89,5,0)</f>
        <v>97.904000000000025</v>
      </c>
      <c r="GB29" s="13">
        <f t="shared" si="49"/>
        <v>26.46204051223464</v>
      </c>
      <c r="GC29" s="20">
        <f t="shared" si="25"/>
        <v>216.60418722547536</v>
      </c>
      <c r="GD29" s="59">
        <f t="shared" si="26"/>
        <v>505.04863166991981</v>
      </c>
      <c r="GE29" s="59">
        <f ca="1">AVERAGE(OFFSET($GD$3,0,0,'Données projet'!$E$17+1,1))-AVERAGE(OFFSET($H$3,0,0,'Données projet'!$E$17+1,1))</f>
        <v>204.78565758021779</v>
      </c>
      <c r="GF29" s="59">
        <f t="shared" si="50"/>
        <v>287.25131613242439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1.0545498463025813</v>
      </c>
      <c r="GM29" s="21">
        <f>EXP(-LN(2)/25)*GM28+(1-EXP(-LN(2)/25))/(LN(2)/25)*Calculateur!GH29*Calculateur!GJ29*VLOOKUP('Données projet'!$B$17,Paramètres!$A$1:$I$89,3,0)*0.475*44/12</f>
        <v>3.8928529922409627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4.9474028385435442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11.5</v>
      </c>
      <c r="GU29" s="12">
        <f>IF('Données projet'!$A$270&gt;35,GU28+GT29-HC28,IF(A29&lt;'Données projet'!$A$270,$GR$205^A29,IF(A29='Données projet'!$A$270,'Données projet'!$B$270,GU28+GT29-HC28)))</f>
        <v>97.499999999999957</v>
      </c>
      <c r="GV29" s="17">
        <f>GU29*VLOOKUP('Données projet'!$B$18,Paramètres!$A$1:$I$89,3,0)*VLOOKUP('Données projet'!$B$18,Paramètres!$A$1:$I$89,5,0)</f>
        <v>76.049999999999969</v>
      </c>
      <c r="GW29" s="13">
        <f t="shared" si="51"/>
        <v>21.168560890749262</v>
      </c>
      <c r="GX29" s="20">
        <f t="shared" si="28"/>
        <v>169.32232688472158</v>
      </c>
      <c r="GY29" s="59">
        <f t="shared" si="29"/>
        <v>457.76677132916603</v>
      </c>
      <c r="GZ29" s="59">
        <f ca="1">AVERAGE(OFFSET($GY$3,0,0,'Données projet'!$E$18+1,1))-AVERAGE(OFFSET($H$3,0,0,'Données projet'!$E$18+1,1))</f>
        <v>288.82868507674738</v>
      </c>
      <c r="HA29" s="59">
        <f t="shared" si="52"/>
        <v>283.48738729114024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4.5833565328252366</v>
      </c>
      <c r="HI29" s="21">
        <f>EXP(-LN(2)/2)*HI28+(1-EXP(-LN(2)/2))/(LN(2)/2)*HC29*HF29*VLOOKUP('Données projet'!$B$18,Paramètres!$A$1:$I$89,3,0)*0.475*44/12</f>
        <v>4.0998310752137419</v>
      </c>
      <c r="HJ29" s="22">
        <f t="shared" si="30"/>
        <v>8.6831876080389776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155.85</v>
      </c>
      <c r="L30" s="12">
        <f>VLOOKUP(A30,'Données projet'!$A$35:$I$55,9,0)</f>
        <v>15.782</v>
      </c>
      <c r="M30" s="12">
        <f t="array" ref="M30">INDEX(L:L,MIN(IF(ISNUMBER(L30:L226),ROW(L30:L226),"")))</f>
        <v>15.782</v>
      </c>
      <c r="N30" s="13">
        <f>IF('Données projet'!$A$36&gt;35,N29+M30-V29,IF(A30&lt;'Données projet'!$A$36,$K$205^A30,IF(A30='Données projet'!$A$36,'Données projet'!$B$36,N29+M30-V29)))</f>
        <v>155.85000000000002</v>
      </c>
      <c r="O30" s="13">
        <f>N30*VLOOKUP('Données projet'!$B$9,Paramètres!$A$1:$I$89,3,0)*VLOOKUP('Données projet'!$B$9,Paramètres!$A$1:$I$89,5,0)</f>
        <v>93.198300000000032</v>
      </c>
      <c r="P30" s="13">
        <f t="shared" si="33"/>
        <v>25.335003309876146</v>
      </c>
      <c r="Q30" s="20">
        <f t="shared" si="2"/>
        <v>206.44550326470099</v>
      </c>
      <c r="R30" s="59">
        <f t="shared" si="0"/>
        <v>496.1121699313677</v>
      </c>
      <c r="S30" s="59">
        <f ca="1">AVERAGE(OFFSET($R$3,0,0,'Données projet'!$E$9+1,1))-AVERAGE(OFFSET($H$3,0,0,'Données projet'!$E$9+1,1))</f>
        <v>349.71285006949597</v>
      </c>
      <c r="T30" s="59">
        <f t="shared" si="34"/>
        <v>258.51550516456842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37.929999999999993</v>
      </c>
      <c r="W30" s="16">
        <f>IF(ISNA(VLOOKUP(A30,'Données projet'!$A$35:$I$55,5,0)),0%,VLOOKUP(A30,'Données projet'!$A$35:$I$55,5,0)*VLOOKUP('Données projet'!$B$9,Paramètres!$A$1:$I$89,7,0))</f>
        <v>0.1125</v>
      </c>
      <c r="X30" s="16">
        <f>IF(ISNA(VLOOKUP(A30,'Données projet'!$A$35:$I$55,6,0)),0%,VLOOKUP(A30,'Données projet'!$A$35:$I$55,6,0)*VLOOKUP('Données projet'!$B$9,Paramètres!$A$1:$I$89,7,0))</f>
        <v>0.16650000000000001</v>
      </c>
      <c r="Y30" s="16">
        <f>IF(ISNA(VLOOKUP(A30,'Données projet'!$A$35:$I$55,7,0)),0%,VLOOKUP(A30,'Données projet'!$A$35:$I$55,7,0))</f>
        <v>0.38</v>
      </c>
      <c r="Z30" s="21">
        <f>EXP(-LN(2)/35)*Z29+(1-EXP(-LN(2)/35))/(LN(2)/35)*V30*W30*VLOOKUP('Données projet'!$B$9,Paramètres!$A$1:$I$89,3,0)*0.475*44/12</f>
        <v>7.6383740951040968</v>
      </c>
      <c r="AA30" s="21">
        <f>EXP(-LN(2)/25)*AA29+(1-EXP(-LN(2)/25))/(LN(2)/25)*Calculateur!V30*Calculateur!X30*VLOOKUP('Données projet'!$B$9,Paramètres!$A$1:$I$89,3,0)*0.475*44/12</f>
        <v>11.016786329451062</v>
      </c>
      <c r="AB30" s="21">
        <f>EXP(-LN(2)/2)*AB29+(1-EXP(-LN(2)/2))/(LN(2)/2)*V30*Y30*VLOOKUP('Données projet'!$B$9,Paramètres!$A$1:$I$89,3,0)*0.475*44/12</f>
        <v>12.152246238640709</v>
      </c>
      <c r="AC30" s="22">
        <f t="shared" si="3"/>
        <v>30.80740666319587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4.016578947368421</v>
      </c>
      <c r="AI30" s="13">
        <f>IF('Données projet'!$A$62&gt;35,AI29+AH30-AQ29,IF(A30&lt;'Données projet'!$A$62,$AF$205^A30,IF(A30='Données projet'!$A$62,'Données projet'!$B$62,AI29+AH30-AQ29)))</f>
        <v>108.44763157894732</v>
      </c>
      <c r="AJ30" s="13">
        <f>AI30*VLOOKUP('Données projet'!$B$10,Paramètres!$A$1:$I$89,3,0)*VLOOKUP('Données projet'!$B$10,Paramètres!$A$1:$I$89,5,0)</f>
        <v>103.19876621052627</v>
      </c>
      <c r="AK30" s="13">
        <f t="shared" si="35"/>
        <v>27.722657378854588</v>
      </c>
      <c r="AL30" s="20">
        <f t="shared" si="4"/>
        <v>228.02147941817165</v>
      </c>
      <c r="AM30" s="59">
        <f t="shared" si="5"/>
        <v>517.68814608483831</v>
      </c>
      <c r="AN30" s="59">
        <f ca="1">AVERAGE(OFFSET($AM$3,0,0,'Données projet'!$E$10+1,1))-AVERAGE(OFFSET($H$3,0,0,'Données projet'!$E$10+1,1))</f>
        <v>449.28947235329758</v>
      </c>
      <c r="AO30" s="59">
        <f t="shared" si="36"/>
        <v>289.36994109443964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100.02176228571433</v>
      </c>
      <c r="BF30" s="13">
        <f t="shared" si="37"/>
        <v>26.967182047167292</v>
      </c>
      <c r="BG30" s="20">
        <f t="shared" si="7"/>
        <v>221.17241137976885</v>
      </c>
      <c r="BH30" s="59">
        <f t="shared" si="8"/>
        <v>510.83907804643553</v>
      </c>
      <c r="BI30" s="59">
        <f ca="1">AVERAGE(OFFSET($BH$3,0,0,'Données projet'!$E$11+1,1))-AVERAGE(OFFSET($H$3,0,0,'Données projet'!$E$11+1,1))</f>
        <v>635.71275911100679</v>
      </c>
      <c r="BJ30" s="59">
        <f t="shared" si="38"/>
        <v>281.7776857269169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3.3603333333333336</v>
      </c>
      <c r="BY30" s="12">
        <f>IF('Données projet'!$A$114&gt;35,BY29+BX30-CG29,IF(A30&lt;'Données projet'!$A$114,$BV$205^A30,IF(A30='Données projet'!$A$114,'Données projet'!$B$114,BY29+BX30-CG29)))</f>
        <v>90.729000000000013</v>
      </c>
      <c r="BZ30" s="13">
        <f>BY30*VLOOKUP('Données projet'!$B$12,Paramètres!$A$1:$I$89,3,0)*VLOOKUP('Données projet'!$B$12,Paramètres!$A$1:$I$89,5,0)</f>
        <v>103.32218520000002</v>
      </c>
      <c r="CA30" s="13">
        <f t="shared" si="39"/>
        <v>27.751950647189656</v>
      </c>
      <c r="CB30" s="20">
        <f t="shared" si="10"/>
        <v>228.28745326718865</v>
      </c>
      <c r="CC30" s="59">
        <f t="shared" si="11"/>
        <v>517.95411993385528</v>
      </c>
      <c r="CD30" s="59">
        <f ca="1">AVERAGE(OFFSET($CC$3,0,0,'Données projet'!$E$12+1,1))-AVERAGE(OFFSET($H$3,0,0,'Données projet'!$E$12+1,1))</f>
        <v>593.28343396240075</v>
      </c>
      <c r="CE30" s="59">
        <f t="shared" si="40"/>
        <v>289.66477662068695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7.3076923076923093</v>
      </c>
      <c r="CT30" s="12">
        <f>IF('Données projet'!$A$140&gt;35,CT29+CS30-DB29,IF(A30&lt;'Données projet'!$A$140,$CQ$205^A30,IF(A30='Données projet'!$A$140,'Données projet'!$B$140,CT29+CS30-DB29)))</f>
        <v>82.564102564102555</v>
      </c>
      <c r="CU30" s="17">
        <f>CT30*VLOOKUP('Données projet'!$B$13,Paramètres!$A$1:$I$89,3,0)*VLOOKUP('Données projet'!$B$13,Paramètres!$A$1:$I$89,5,0)</f>
        <v>86.296000000000006</v>
      </c>
      <c r="CV30" s="13">
        <f t="shared" si="41"/>
        <v>23.669736165896552</v>
      </c>
      <c r="CW30" s="20">
        <f t="shared" si="13"/>
        <v>191.52365715560316</v>
      </c>
      <c r="CX30" s="59">
        <f t="shared" si="14"/>
        <v>481.19032382226987</v>
      </c>
      <c r="CY30" s="59">
        <f ca="1">AVERAGE(OFFSET($CX$3,0,0,'Données projet'!$E$13+1,1))-AVERAGE(OFFSET($H$3,0,0,'Données projet'!$E$13+1,1))</f>
        <v>260.65406541614402</v>
      </c>
      <c r="CZ30" s="59">
        <f t="shared" si="42"/>
        <v>277.63456890196886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12.083951780502984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12.083951780502984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5.6410256410256441</v>
      </c>
      <c r="DO30" s="12">
        <f>IF('Données projet'!$A$166&gt;35,DO29+DN30-DW29,IF(A30&lt;'Données projet'!$A$166,$DL$205^A30,IF(A30='Données projet'!$A$166,'Données projet'!$B$166,DO29+DN30-DW29)))</f>
        <v>86.282051282051256</v>
      </c>
      <c r="DP30" s="17">
        <f>DO30*VLOOKUP('Données projet'!$B$14,Paramètres!$A$1:$I$89,3,0)*VLOOKUP('Données projet'!$B$14,Paramètres!$A$1:$I$89,5,0)</f>
        <v>56.531999999999989</v>
      </c>
      <c r="DQ30" s="13">
        <f t="shared" si="43"/>
        <v>16.288434762741495</v>
      </c>
      <c r="DR30" s="20">
        <f t="shared" si="16"/>
        <v>126.8289238784414</v>
      </c>
      <c r="DS30" s="59">
        <f t="shared" si="17"/>
        <v>416.49559054510809</v>
      </c>
      <c r="DT30" s="59">
        <f ca="1">AVERAGE(OFFSET($DS$3,0,0,'Données projet'!$E$14+1,1))-AVERAGE(OFFSET($H$3,0,0,'Données projet'!$E$14+1,1))</f>
        <v>181.4272795535777</v>
      </c>
      <c r="DU30" s="59">
        <f t="shared" si="44"/>
        <v>187.67131775419904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1.5707698908512935</v>
      </c>
      <c r="EC30" s="21">
        <f>EXP(-LN(2)/2)*EC29+(1-EXP(-LN(2)/2))/(LN(2)/2)*DW30*DZ30*VLOOKUP('Données projet'!$B$14,Paramètres!$A$1:$I$89,3,0)*0.475*44/12</f>
        <v>1.1342705886210054</v>
      </c>
      <c r="ED30" s="22">
        <f t="shared" si="18"/>
        <v>2.7050404794722986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6.6666666666666661</v>
      </c>
      <c r="EJ30" s="12">
        <f>IF('Données projet'!$A$192&gt;35,EJ29+EI30-ER29,IF(A30&lt;'Données projet'!$A$192,$EG$205^A30,IF(A30='Données projet'!$A$192,'Données projet'!$B$192,EJ29+EI30-ER29)))</f>
        <v>118.46153846153851</v>
      </c>
      <c r="EK30" s="17">
        <f>EJ30*VLOOKUP('Données projet'!$B$15,Paramètres!$A$1:$I$89,3,0)*VLOOKUP('Données projet'!$B$15,Paramètres!$A$1:$I$89,5,0)</f>
        <v>96.096000000000046</v>
      </c>
      <c r="EL30" s="13">
        <f t="shared" si="45"/>
        <v>26.029778784173374</v>
      </c>
      <c r="EM30" s="20">
        <f t="shared" si="19"/>
        <v>212.70239804910202</v>
      </c>
      <c r="EN30" s="59">
        <f t="shared" si="20"/>
        <v>502.36906471576867</v>
      </c>
      <c r="EO30" s="59">
        <f ca="1">AVERAGE(OFFSET($EN$3,0,0,'Données projet'!$E$15+1,1))-AVERAGE(OFFSET($H$3,0,0,'Données projet'!$E$15+1,1))</f>
        <v>159.68591355116837</v>
      </c>
      <c r="EP30" s="59">
        <f t="shared" si="46"/>
        <v>284.32631786390112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2.860392993997642</v>
      </c>
      <c r="EX30" s="21">
        <f>EXP(-LN(2)/2)*EX29+(1-EXP(-LN(2)/2))/(LN(2)/2)*ER30*EU30*VLOOKUP('Données projet'!$B$15,Paramètres!$A$1:$I$89,3,0)*0.475*44/12</f>
        <v>0.42756489180816215</v>
      </c>
      <c r="EY30" s="22">
        <f t="shared" si="21"/>
        <v>3.2879578858058043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110.59999999999997</v>
      </c>
      <c r="FF30" s="17">
        <f>FE30*VLOOKUP('Données projet'!$B$16,Paramètres!$A$1:$I$89,3,0)*VLOOKUP('Données projet'!$B$16,Paramètres!$A$1:$I$89,5,0)</f>
        <v>87.993359999999981</v>
      </c>
      <c r="FG30" s="13">
        <f t="shared" si="47"/>
        <v>24.080638481970816</v>
      </c>
      <c r="FH30" s="20">
        <f t="shared" si="22"/>
        <v>195.19554735609913</v>
      </c>
      <c r="FI30" s="59">
        <f t="shared" si="23"/>
        <v>484.86221402276578</v>
      </c>
      <c r="FJ30" s="59">
        <f ca="1">AVERAGE(OFFSET($FI$3,0,0,'Données projet'!$E$16+1,1))-AVERAGE(OFFSET($H$3,0,0,'Données projet'!$E$16+1,1))</f>
        <v>299.10536994156814</v>
      </c>
      <c r="FK30" s="59">
        <f t="shared" si="48"/>
        <v>292.57799203101769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6.9999748642756154</v>
      </c>
      <c r="FS30" s="21">
        <f>EXP(-LN(2)/2)*FS29+(1-EXP(-LN(2)/2))/(LN(2)/2)*FM30*FP30*VLOOKUP('Données projet'!$B$16,Paramètres!$A$1:$I$89,3,0)*0.475*44/12</f>
        <v>3.1357829922079987</v>
      </c>
      <c r="FT30" s="22">
        <f t="shared" si="24"/>
        <v>10.135757856483615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4.3589743589743595</v>
      </c>
      <c r="FZ30" s="12">
        <f>IF('Données projet'!$A$244&gt;35,FZ29+FY30-GH29,IF(A30&lt;'Données projet'!$A$244,$FW$205^A30,IF(A30='Données projet'!$A$244,'Données projet'!$B$244,FZ29+FY30-GH29)))</f>
        <v>112.5641025641026</v>
      </c>
      <c r="GA30" s="17">
        <f>FZ30*VLOOKUP('Données projet'!$B$17,Paramètres!$A$1:$I$89,3,0)*VLOOKUP('Données projet'!$B$17,Paramètres!$A$1:$I$89,5,0)</f>
        <v>101.84800000000003</v>
      </c>
      <c r="GB30" s="13">
        <f t="shared" si="49"/>
        <v>27.401787773922248</v>
      </c>
      <c r="GC30" s="20">
        <f t="shared" si="25"/>
        <v>225.1100470395813</v>
      </c>
      <c r="GD30" s="59">
        <f t="shared" si="26"/>
        <v>514.77671370624796</v>
      </c>
      <c r="GE30" s="59">
        <f ca="1">AVERAGE(OFFSET($GD$3,0,0,'Données projet'!$E$17+1,1))-AVERAGE(OFFSET($H$3,0,0,'Données projet'!$E$17+1,1))</f>
        <v>204.78565758021779</v>
      </c>
      <c r="GF30" s="59">
        <f t="shared" si="50"/>
        <v>287.25131613242439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1.0338707670284821</v>
      </c>
      <c r="GM30" s="21">
        <f>EXP(-LN(2)/25)*GM29+(1-EXP(-LN(2)/25))/(LN(2)/25)*Calculateur!GH30*Calculateur!GJ30*VLOOKUP('Données projet'!$B$17,Paramètres!$A$1:$I$89,3,0)*0.475*44/12</f>
        <v>3.7864027224518919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4.8202734894803738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11.5</v>
      </c>
      <c r="GU30" s="12">
        <f>IF('Données projet'!$A$270&gt;35,GU29+GT30-HC29,IF(A30&lt;'Données projet'!$A$270,$GR$205^A30,IF(A30='Données projet'!$A$270,'Données projet'!$B$270,GU29+GT30-HC29)))</f>
        <v>108.99999999999996</v>
      </c>
      <c r="GV30" s="17">
        <f>GU30*VLOOKUP('Données projet'!$B$18,Paramètres!$A$1:$I$89,3,0)*VLOOKUP('Données projet'!$B$18,Paramètres!$A$1:$I$89,5,0)</f>
        <v>85.019999999999968</v>
      </c>
      <c r="GW30" s="13">
        <f t="shared" si="51"/>
        <v>23.360218970693097</v>
      </c>
      <c r="GX30" s="20">
        <f t="shared" si="28"/>
        <v>188.76221470729038</v>
      </c>
      <c r="GY30" s="59">
        <f t="shared" si="29"/>
        <v>478.4288813739571</v>
      </c>
      <c r="GZ30" s="59">
        <f ca="1">AVERAGE(OFFSET($GY$3,0,0,'Données projet'!$E$18+1,1))-AVERAGE(OFFSET($H$3,0,0,'Données projet'!$E$18+1,1))</f>
        <v>288.82868507674738</v>
      </c>
      <c r="HA30" s="59">
        <f t="shared" si="52"/>
        <v>283.48738729114024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4.458024407406886</v>
      </c>
      <c r="HI30" s="21">
        <f>EXP(-LN(2)/2)*HI29+(1-EXP(-LN(2)/2))/(LN(2)/2)*HC30*HF30*VLOOKUP('Données projet'!$B$18,Paramètres!$A$1:$I$89,3,0)*0.475*44/12</f>
        <v>2.8990183550029713</v>
      </c>
      <c r="HJ30" s="22">
        <f t="shared" si="30"/>
        <v>7.3570427624098578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16.621666666666666</v>
      </c>
      <c r="N31" s="13">
        <f>IF('Données projet'!$A$36&gt;35,N30+M31-V30,IF(A31&lt;'Données projet'!$A$36,$K$205^A31,IF(A31='Données projet'!$A$36,'Données projet'!$B$36,N30+M31-V30)))</f>
        <v>134.54166666666669</v>
      </c>
      <c r="O31" s="13">
        <f>N31*VLOOKUP('Données projet'!$B$9,Paramètres!$A$1:$I$89,3,0)*VLOOKUP('Données projet'!$B$9,Paramètres!$A$1:$I$89,5,0)</f>
        <v>80.455916666666681</v>
      </c>
      <c r="P31" s="13">
        <f t="shared" si="33"/>
        <v>22.248621228387805</v>
      </c>
      <c r="Q31" s="20">
        <f t="shared" si="2"/>
        <v>178.8770701672199</v>
      </c>
      <c r="R31" s="59">
        <f t="shared" si="0"/>
        <v>469.76595905610873</v>
      </c>
      <c r="S31" s="59">
        <f ca="1">AVERAGE(OFFSET($R$3,0,0,'Données projet'!$E$9+1,1))-AVERAGE(OFFSET($H$3,0,0,'Données projet'!$E$9+1,1))</f>
        <v>349.71285006949597</v>
      </c>
      <c r="T31" s="59">
        <f t="shared" si="34"/>
        <v>258.51550516456842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7.4885902380472702</v>
      </c>
      <c r="AA31" s="21">
        <f>EXP(-LN(2)/25)*AA30+(1-EXP(-LN(2)/25))/(LN(2)/25)*Calculateur!V31*Calculateur!X31*VLOOKUP('Données projet'!$B$9,Paramètres!$A$1:$I$89,3,0)*0.475*44/12</f>
        <v>10.715531727924608</v>
      </c>
      <c r="AB31" s="21">
        <f>EXP(-LN(2)/2)*AB30+(1-EXP(-LN(2)/2))/(LN(2)/2)*V31*Y31*VLOOKUP('Données projet'!$B$9,Paramètres!$A$1:$I$89,3,0)*0.475*44/12</f>
        <v>8.5929357219915623</v>
      </c>
      <c r="AC31" s="22">
        <f t="shared" si="3"/>
        <v>26.797057687963441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4.016578947368421</v>
      </c>
      <c r="AI31" s="13">
        <f>IF('Données projet'!$A$62&gt;35,AI30+AH31-AQ30,IF(A31&lt;'Données projet'!$A$62,$AF$205^A31,IF(A31='Données projet'!$A$62,'Données projet'!$B$62,AI30+AH31-AQ30)))</f>
        <v>112.46421052631574</v>
      </c>
      <c r="AJ31" s="13">
        <f>AI31*VLOOKUP('Données projet'!$B$10,Paramètres!$A$1:$I$89,3,0)*VLOOKUP('Données projet'!$B$10,Paramètres!$A$1:$I$89,5,0)</f>
        <v>107.02094273684206</v>
      </c>
      <c r="AK31" s="13">
        <f t="shared" si="35"/>
        <v>28.627977821267809</v>
      </c>
      <c r="AL31" s="20">
        <f t="shared" si="4"/>
        <v>236.25520330537464</v>
      </c>
      <c r="AM31" s="59">
        <f t="shared" si="5"/>
        <v>527.14409219426352</v>
      </c>
      <c r="AN31" s="59">
        <f ca="1">AVERAGE(OFFSET($AM$3,0,0,'Données projet'!$E$10+1,1))-AVERAGE(OFFSET($H$3,0,0,'Données projet'!$E$10+1,1))</f>
        <v>449.28947235329758</v>
      </c>
      <c r="AO31" s="59">
        <f t="shared" si="36"/>
        <v>289.36994109443964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103.72627200000005</v>
      </c>
      <c r="BF31" s="13">
        <f t="shared" si="37"/>
        <v>27.847831432539717</v>
      </c>
      <c r="BG31" s="20">
        <f t="shared" si="7"/>
        <v>229.15823014500677</v>
      </c>
      <c r="BH31" s="59">
        <f t="shared" si="8"/>
        <v>520.04711903389557</v>
      </c>
      <c r="BI31" s="59">
        <f ca="1">AVERAGE(OFFSET($BH$3,0,0,'Données projet'!$E$11+1,1))-AVERAGE(OFFSET($H$3,0,0,'Données projet'!$E$11+1,1))</f>
        <v>635.71275911100679</v>
      </c>
      <c r="BJ31" s="59">
        <f t="shared" si="38"/>
        <v>281.7776857269169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3.3603333333333336</v>
      </c>
      <c r="BY31" s="12">
        <f>IF('Données projet'!$A$114&gt;35,BY30+BX31-CG30,IF(A31&lt;'Données projet'!$A$114,$BV$205^A31,IF(A31='Données projet'!$A$114,'Données projet'!$B$114,BY30+BX31-CG30)))</f>
        <v>94.089333333333343</v>
      </c>
      <c r="BZ31" s="13">
        <f>BY31*VLOOKUP('Données projet'!$B$12,Paramètres!$A$1:$I$89,3,0)*VLOOKUP('Données projet'!$B$12,Paramètres!$A$1:$I$89,5,0)</f>
        <v>107.14893280000001</v>
      </c>
      <c r="CA31" s="13">
        <f t="shared" si="39"/>
        <v>28.658227700445973</v>
      </c>
      <c r="CB31" s="20">
        <f t="shared" si="10"/>
        <v>236.53080453827673</v>
      </c>
      <c r="CC31" s="59">
        <f t="shared" si="11"/>
        <v>527.41969342716561</v>
      </c>
      <c r="CD31" s="59">
        <f ca="1">AVERAGE(OFFSET($CC$3,0,0,'Données projet'!$E$12+1,1))-AVERAGE(OFFSET($H$3,0,0,'Données projet'!$E$12+1,1))</f>
        <v>593.28343396240075</v>
      </c>
      <c r="CE31" s="59">
        <f t="shared" si="40"/>
        <v>289.66477662068695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7.3076923076923093</v>
      </c>
      <c r="CT31" s="12">
        <f>IF('Données projet'!$A$140&gt;35,CT30+CS31-DB30,IF(A31&lt;'Données projet'!$A$140,$CQ$205^A31,IF(A31='Données projet'!$A$140,'Données projet'!$B$140,CT30+CS31-DB30)))</f>
        <v>89.871794871794862</v>
      </c>
      <c r="CU31" s="17">
        <f>CT31*VLOOKUP('Données projet'!$B$13,Paramètres!$A$1:$I$89,3,0)*VLOOKUP('Données projet'!$B$13,Paramètres!$A$1:$I$89,5,0)</f>
        <v>93.933999999999997</v>
      </c>
      <c r="CV31" s="13">
        <f t="shared" si="41"/>
        <v>25.511635742366899</v>
      </c>
      <c r="CW31" s="20">
        <f t="shared" si="13"/>
        <v>208.03448225128901</v>
      </c>
      <c r="CX31" s="59">
        <f t="shared" si="14"/>
        <v>498.92337114017789</v>
      </c>
      <c r="CY31" s="59">
        <f ca="1">AVERAGE(OFFSET($CX$3,0,0,'Données projet'!$E$13+1,1))-AVERAGE(OFFSET($H$3,0,0,'Données projet'!$E$13+1,1))</f>
        <v>260.65406541614402</v>
      </c>
      <c r="CZ31" s="59">
        <f t="shared" si="42"/>
        <v>277.63456890196886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11.753515483597724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11.753515483597724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5.6410256410256441</v>
      </c>
      <c r="DO31" s="12">
        <f>IF('Données projet'!$A$166&gt;35,DO30+DN31-DW30,IF(A31&lt;'Données projet'!$A$166,$DL$205^A31,IF(A31='Données projet'!$A$166,'Données projet'!$B$166,DO30+DN31-DW30)))</f>
        <v>91.923076923076906</v>
      </c>
      <c r="DP31" s="17">
        <f>DO31*VLOOKUP('Données projet'!$B$14,Paramètres!$A$1:$I$89,3,0)*VLOOKUP('Données projet'!$B$14,Paramètres!$A$1:$I$89,5,0)</f>
        <v>60.227999999999987</v>
      </c>
      <c r="DQ31" s="13">
        <f t="shared" si="43"/>
        <v>17.225901835096707</v>
      </c>
      <c r="DR31" s="20">
        <f t="shared" si="16"/>
        <v>134.89887902946009</v>
      </c>
      <c r="DS31" s="59">
        <f t="shared" si="17"/>
        <v>425.78776791834895</v>
      </c>
      <c r="DT31" s="59">
        <f ca="1">AVERAGE(OFFSET($DS$3,0,0,'Données projet'!$E$14+1,1))-AVERAGE(OFFSET($H$3,0,0,'Données projet'!$E$14+1,1))</f>
        <v>181.4272795535777</v>
      </c>
      <c r="DU31" s="59">
        <f t="shared" si="44"/>
        <v>187.67131775419904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1.5278171055827663</v>
      </c>
      <c r="EC31" s="21">
        <f>EXP(-LN(2)/2)*EC30+(1-EXP(-LN(2)/2))/(LN(2)/2)*DW31*DZ31*VLOOKUP('Données projet'!$B$14,Paramètres!$A$1:$I$89,3,0)*0.475*44/12</f>
        <v>0.80205042491436973</v>
      </c>
      <c r="ED31" s="22">
        <f t="shared" si="18"/>
        <v>2.3298675304971361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6.6666666666666661</v>
      </c>
      <c r="EJ31" s="12">
        <f>IF('Données projet'!$A$192&gt;35,EJ30+EI31-ER30,IF(A31&lt;'Données projet'!$A$192,$EG$205^A31,IF(A31='Données projet'!$A$192,'Données projet'!$B$192,EJ30+EI31-ER30)))</f>
        <v>125.12820512820518</v>
      </c>
      <c r="EK31" s="17">
        <f>EJ31*VLOOKUP('Données projet'!$B$15,Paramètres!$A$1:$I$89,3,0)*VLOOKUP('Données projet'!$B$15,Paramètres!$A$1:$I$89,5,0)</f>
        <v>101.50400000000005</v>
      </c>
      <c r="EL31" s="13">
        <f t="shared" si="45"/>
        <v>27.31999291386828</v>
      </c>
      <c r="EM31" s="20">
        <f t="shared" si="19"/>
        <v>224.36845432498731</v>
      </c>
      <c r="EN31" s="59">
        <f t="shared" si="20"/>
        <v>515.2573432138762</v>
      </c>
      <c r="EO31" s="59">
        <f ca="1">AVERAGE(OFFSET($EN$3,0,0,'Données projet'!$E$15+1,1))-AVERAGE(OFFSET($H$3,0,0,'Données projet'!$E$15+1,1))</f>
        <v>159.68591355116837</v>
      </c>
      <c r="EP31" s="59">
        <f t="shared" si="46"/>
        <v>284.32631786390112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2.7821753971552465</v>
      </c>
      <c r="EX31" s="21">
        <f>EXP(-LN(2)/2)*EX30+(1-EXP(-LN(2)/2))/(LN(2)/2)*ER31*EU31*VLOOKUP('Données projet'!$B$15,Paramètres!$A$1:$I$89,3,0)*0.475*44/12</f>
        <v>0.30233403439484402</v>
      </c>
      <c r="EY31" s="22">
        <f t="shared" si="21"/>
        <v>3.0845094315500905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122.39999999999996</v>
      </c>
      <c r="FF31" s="17">
        <f>FE31*VLOOKUP('Données projet'!$B$16,Paramètres!$A$1:$I$89,3,0)*VLOOKUP('Données projet'!$B$16,Paramètres!$A$1:$I$89,5,0)</f>
        <v>97.381439999999984</v>
      </c>
      <c r="FG31" s="13">
        <f t="shared" si="47"/>
        <v>26.337201615555198</v>
      </c>
      <c r="FH31" s="20">
        <f t="shared" si="22"/>
        <v>215.47663414709197</v>
      </c>
      <c r="FI31" s="59">
        <f t="shared" si="23"/>
        <v>506.3655230359808</v>
      </c>
      <c r="FJ31" s="59">
        <f ca="1">AVERAGE(OFFSET($FI$3,0,0,'Données projet'!$E$16+1,1))-AVERAGE(OFFSET($H$3,0,0,'Données projet'!$E$16+1,1))</f>
        <v>299.10536994156814</v>
      </c>
      <c r="FK31" s="59">
        <f t="shared" si="48"/>
        <v>292.57799203101769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6.8085601834993197</v>
      </c>
      <c r="FS31" s="21">
        <f>EXP(-LN(2)/2)*FS30+(1-EXP(-LN(2)/2))/(LN(2)/2)*FM31*FP31*VLOOKUP('Données projet'!$B$16,Paramètres!$A$1:$I$89,3,0)*0.475*44/12</f>
        <v>2.2173334181197188</v>
      </c>
      <c r="FT31" s="22">
        <f t="shared" si="24"/>
        <v>9.025893601619039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4.3589743589743595</v>
      </c>
      <c r="FZ31" s="12">
        <f>IF('Données projet'!$A$244&gt;35,FZ30+FY31-GH30,IF(A31&lt;'Données projet'!$A$244,$FW$205^A31,IF(A31='Données projet'!$A$244,'Données projet'!$B$244,FZ30+FY31-GH30)))</f>
        <v>116.92307692307696</v>
      </c>
      <c r="GA31" s="17">
        <f>FZ31*VLOOKUP('Données projet'!$B$17,Paramètres!$A$1:$I$89,3,0)*VLOOKUP('Données projet'!$B$17,Paramètres!$A$1:$I$89,5,0)</f>
        <v>105.79200000000003</v>
      </c>
      <c r="GB31" s="13">
        <f t="shared" si="49"/>
        <v>28.337307525240949</v>
      </c>
      <c r="GC31" s="20">
        <f t="shared" si="25"/>
        <v>233.60854393979471</v>
      </c>
      <c r="GD31" s="59">
        <f t="shared" si="26"/>
        <v>524.4974328286836</v>
      </c>
      <c r="GE31" s="59">
        <f ca="1">AVERAGE(OFFSET($GD$3,0,0,'Données projet'!$E$17+1,1))-AVERAGE(OFFSET($H$3,0,0,'Données projet'!$E$17+1,1))</f>
        <v>204.78565758021779</v>
      </c>
      <c r="GF31" s="59">
        <f t="shared" si="50"/>
        <v>287.25131613242439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1.013597191885955</v>
      </c>
      <c r="GM31" s="21">
        <f>EXP(-LN(2)/25)*GM30+(1-EXP(-LN(2)/25))/(LN(2)/25)*Calculateur!GH31*Calculateur!GJ31*VLOOKUP('Données projet'!$B$17,Paramètres!$A$1:$I$89,3,0)*0.475*44/12</f>
        <v>3.6828633408881797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4.6964605327741342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11.5</v>
      </c>
      <c r="GU31" s="12">
        <f>IF('Données projet'!$A$270&gt;35,GU30+GT31-HC30,IF(A31&lt;'Données projet'!$A$270,$GR$205^A31,IF(A31='Données projet'!$A$270,'Données projet'!$B$270,GU30+GT31-HC30)))</f>
        <v>120.49999999999996</v>
      </c>
      <c r="GV31" s="17">
        <f>GU31*VLOOKUP('Données projet'!$B$18,Paramètres!$A$1:$I$89,3,0)*VLOOKUP('Données projet'!$B$18,Paramètres!$A$1:$I$89,5,0)</f>
        <v>93.989999999999966</v>
      </c>
      <c r="GW31" s="13">
        <f t="shared" si="51"/>
        <v>25.525074036970054</v>
      </c>
      <c r="GX31" s="20">
        <f t="shared" si="28"/>
        <v>208.15542061438944</v>
      </c>
      <c r="GY31" s="59">
        <f t="shared" si="29"/>
        <v>499.04430950327833</v>
      </c>
      <c r="GZ31" s="59">
        <f ca="1">AVERAGE(OFFSET($GY$3,0,0,'Données projet'!$E$18+1,1))-AVERAGE(OFFSET($H$3,0,0,'Données projet'!$E$18+1,1))</f>
        <v>288.82868507674738</v>
      </c>
      <c r="HA31" s="59">
        <f t="shared" si="52"/>
        <v>283.48738729114024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4.3361194955490303</v>
      </c>
      <c r="HI31" s="21">
        <f>EXP(-LN(2)/2)*HI30+(1-EXP(-LN(2)/2))/(LN(2)/2)*HC31*HF31*VLOOKUP('Données projet'!$B$18,Paramètres!$A$1:$I$89,3,0)*0.475*44/12</f>
        <v>2.049915537606871</v>
      </c>
      <c r="HJ31" s="22">
        <f t="shared" si="30"/>
        <v>6.3860350331559008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16.621666666666666</v>
      </c>
      <c r="N32" s="13">
        <f>IF('Données projet'!$A$36&gt;35,N31+M32-V31,IF(A32&lt;'Données projet'!$A$36,$K$205^A32,IF(A32='Données projet'!$A$36,'Données projet'!$B$36,N31+M32-V31)))</f>
        <v>151.16333333333336</v>
      </c>
      <c r="O32" s="13">
        <f>N32*VLOOKUP('Données projet'!$B$9,Paramètres!$A$1:$I$89,3,0)*VLOOKUP('Données projet'!$B$9,Paramètres!$A$1:$I$89,5,0)</f>
        <v>90.395673333333363</v>
      </c>
      <c r="P32" s="13">
        <f t="shared" si="33"/>
        <v>24.660627497212822</v>
      </c>
      <c r="Q32" s="20">
        <f t="shared" si="2"/>
        <v>200.38972394653459</v>
      </c>
      <c r="R32" s="59">
        <f t="shared" si="0"/>
        <v>492.50083505764576</v>
      </c>
      <c r="S32" s="59">
        <f ca="1">AVERAGE(OFFSET($R$3,0,0,'Données projet'!$E$9+1,1))-AVERAGE(OFFSET($H$3,0,0,'Données projet'!$E$9+1,1))</f>
        <v>349.71285006949597</v>
      </c>
      <c r="T32" s="59">
        <f t="shared" si="34"/>
        <v>258.51550516456842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7.3417435510681965</v>
      </c>
      <c r="AA32" s="21">
        <f>EXP(-LN(2)/25)*AA31+(1-EXP(-LN(2)/25))/(LN(2)/25)*Calculateur!V32*Calculateur!X32*VLOOKUP('Données projet'!$B$9,Paramètres!$A$1:$I$89,3,0)*0.475*44/12</f>
        <v>10.422514949319186</v>
      </c>
      <c r="AB32" s="21">
        <f>EXP(-LN(2)/2)*AB31+(1-EXP(-LN(2)/2))/(LN(2)/2)*V32*Y32*VLOOKUP('Données projet'!$B$9,Paramètres!$A$1:$I$89,3,0)*0.475*44/12</f>
        <v>6.0761231193203562</v>
      </c>
      <c r="AC32" s="22">
        <f t="shared" si="3"/>
        <v>23.840381619707742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4.016578947368421</v>
      </c>
      <c r="AI32" s="13">
        <f>IF('Données projet'!$A$62&gt;35,AI31+AH32-AQ31,IF(A32&lt;'Données projet'!$A$62,$AF$205^A32,IF(A32='Données projet'!$A$62,'Données projet'!$B$62,AI31+AH32-AQ31)))</f>
        <v>116.48078947368415</v>
      </c>
      <c r="AJ32" s="13">
        <f>AI32*VLOOKUP('Données projet'!$B$10,Paramètres!$A$1:$I$89,3,0)*VLOOKUP('Données projet'!$B$10,Paramètres!$A$1:$I$89,5,0)</f>
        <v>110.84311926315785</v>
      </c>
      <c r="AK32" s="13">
        <f t="shared" si="35"/>
        <v>29.529541685665656</v>
      </c>
      <c r="AL32" s="20">
        <f t="shared" si="4"/>
        <v>244.48238448586758</v>
      </c>
      <c r="AM32" s="59">
        <f t="shared" si="5"/>
        <v>536.59349559697876</v>
      </c>
      <c r="AN32" s="59">
        <f ca="1">AVERAGE(OFFSET($AM$3,0,0,'Données projet'!$E$10+1,1))-AVERAGE(OFFSET($H$3,0,0,'Données projet'!$E$10+1,1))</f>
        <v>449.28947235329758</v>
      </c>
      <c r="AO32" s="59">
        <f t="shared" si="36"/>
        <v>289.36994109443964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107.43078171428577</v>
      </c>
      <c r="BF32" s="13">
        <f t="shared" si="37"/>
        <v>28.724826611108305</v>
      </c>
      <c r="BG32" s="20">
        <f t="shared" si="7"/>
        <v>237.13768450006134</v>
      </c>
      <c r="BH32" s="59">
        <f t="shared" si="8"/>
        <v>529.24879561117245</v>
      </c>
      <c r="BI32" s="59">
        <f ca="1">AVERAGE(OFFSET($BH$3,0,0,'Données projet'!$E$11+1,1))-AVERAGE(OFFSET($H$3,0,0,'Données projet'!$E$11+1,1))</f>
        <v>635.71275911100679</v>
      </c>
      <c r="BJ32" s="59">
        <f t="shared" si="38"/>
        <v>281.7776857269169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3.3603333333333336</v>
      </c>
      <c r="BY32" s="12">
        <f>IF('Données projet'!$A$114&gt;35,BY31+BX32-CG31,IF(A32&lt;'Données projet'!$A$114,$BV$205^A32,IF(A32='Données projet'!$A$114,'Données projet'!$B$114,BY31+BX32-CG31)))</f>
        <v>97.449666666666673</v>
      </c>
      <c r="BZ32" s="13">
        <f>BY32*VLOOKUP('Données projet'!$B$12,Paramètres!$A$1:$I$89,3,0)*VLOOKUP('Données projet'!$B$12,Paramètres!$A$1:$I$89,5,0)</f>
        <v>110.9756804</v>
      </c>
      <c r="CA32" s="13">
        <f t="shared" si="39"/>
        <v>29.560744206282198</v>
      </c>
      <c r="CB32" s="20">
        <f t="shared" si="10"/>
        <v>244.76760618927483</v>
      </c>
      <c r="CC32" s="59">
        <f t="shared" si="11"/>
        <v>536.87871730038592</v>
      </c>
      <c r="CD32" s="59">
        <f ca="1">AVERAGE(OFFSET($CC$3,0,0,'Données projet'!$E$12+1,1))-AVERAGE(OFFSET($H$3,0,0,'Données projet'!$E$12+1,1))</f>
        <v>593.28343396240075</v>
      </c>
      <c r="CE32" s="59">
        <f t="shared" si="40"/>
        <v>289.66477662068695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7.3076923076923093</v>
      </c>
      <c r="CT32" s="12">
        <f>IF('Données projet'!$A$140&gt;35,CT31+CS32-DB31,IF(A32&lt;'Données projet'!$A$140,$CQ$205^A32,IF(A32='Données projet'!$A$140,'Données projet'!$B$140,CT31+CS32-DB31)))</f>
        <v>97.179487179487168</v>
      </c>
      <c r="CU32" s="17">
        <f>CT32*VLOOKUP('Données projet'!$B$13,Paramètres!$A$1:$I$89,3,0)*VLOOKUP('Données projet'!$B$13,Paramètres!$A$1:$I$89,5,0)</f>
        <v>101.572</v>
      </c>
      <c r="CV32" s="13">
        <f t="shared" si="41"/>
        <v>27.336164220655423</v>
      </c>
      <c r="CW32" s="20">
        <f t="shared" si="13"/>
        <v>224.51505268430819</v>
      </c>
      <c r="CX32" s="59">
        <f t="shared" si="14"/>
        <v>516.6261637954193</v>
      </c>
      <c r="CY32" s="59">
        <f ca="1">AVERAGE(OFFSET($CX$3,0,0,'Données projet'!$E$13+1,1))-AVERAGE(OFFSET($H$3,0,0,'Données projet'!$E$13+1,1))</f>
        <v>260.65406541614402</v>
      </c>
      <c r="CZ32" s="59">
        <f t="shared" si="42"/>
        <v>277.63456890196886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11.432114984608228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11.432114984608228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5.6410256410256441</v>
      </c>
      <c r="DO32" s="12">
        <f>IF('Données projet'!$A$166&gt;35,DO31+DN32-DW31,IF(A32&lt;'Données projet'!$A$166,$DL$205^A32,IF(A32='Données projet'!$A$166,'Données projet'!$B$166,DO31+DN32-DW31)))</f>
        <v>97.564102564102555</v>
      </c>
      <c r="DP32" s="17">
        <f>DO32*VLOOKUP('Données projet'!$B$14,Paramètres!$A$1:$I$89,3,0)*VLOOKUP('Données projet'!$B$14,Paramètres!$A$1:$I$89,5,0)</f>
        <v>63.923999999999992</v>
      </c>
      <c r="DQ32" s="13">
        <f t="shared" si="43"/>
        <v>18.156691926755421</v>
      </c>
      <c r="DR32" s="20">
        <f t="shared" si="16"/>
        <v>142.95720510576567</v>
      </c>
      <c r="DS32" s="59">
        <f t="shared" si="17"/>
        <v>435.06831621687684</v>
      </c>
      <c r="DT32" s="59">
        <f ca="1">AVERAGE(OFFSET($DS$3,0,0,'Données projet'!$E$14+1,1))-AVERAGE(OFFSET($H$3,0,0,'Données projet'!$E$14+1,1))</f>
        <v>181.4272795535777</v>
      </c>
      <c r="DU32" s="59">
        <f t="shared" si="44"/>
        <v>187.67131775419904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1.4860388664861959</v>
      </c>
      <c r="EC32" s="21">
        <f>EXP(-LN(2)/2)*EC31+(1-EXP(-LN(2)/2))/(LN(2)/2)*DW32*DZ32*VLOOKUP('Données projet'!$B$14,Paramètres!$A$1:$I$89,3,0)*0.475*44/12</f>
        <v>0.56713529431050269</v>
      </c>
      <c r="ED32" s="22">
        <f t="shared" si="18"/>
        <v>2.0531741607966985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6.6666666666666661</v>
      </c>
      <c r="EJ32" s="12">
        <f>IF('Données projet'!$A$192&gt;35,EJ31+EI32-ER31,IF(A32&lt;'Données projet'!$A$192,$EG$205^A32,IF(A32='Données projet'!$A$192,'Données projet'!$B$192,EJ31+EI32-ER31)))</f>
        <v>131.79487179487185</v>
      </c>
      <c r="EK32" s="17">
        <f>EJ32*VLOOKUP('Données projet'!$B$15,Paramètres!$A$1:$I$89,3,0)*VLOOKUP('Données projet'!$B$15,Paramètres!$A$1:$I$89,5,0)</f>
        <v>106.91200000000005</v>
      </c>
      <c r="EL32" s="13">
        <f t="shared" si="45"/>
        <v>28.602226374883085</v>
      </c>
      <c r="EM32" s="20">
        <f t="shared" si="19"/>
        <v>236.02061093625477</v>
      </c>
      <c r="EN32" s="59">
        <f t="shared" si="20"/>
        <v>528.13172204736588</v>
      </c>
      <c r="EO32" s="59">
        <f ca="1">AVERAGE(OFFSET($EN$3,0,0,'Données projet'!$E$15+1,1))-AVERAGE(OFFSET($H$3,0,0,'Données projet'!$E$15+1,1))</f>
        <v>159.68591355116837</v>
      </c>
      <c r="EP32" s="59">
        <f t="shared" si="46"/>
        <v>284.32631786390112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2.706096664611791</v>
      </c>
      <c r="EX32" s="21">
        <f>EXP(-LN(2)/2)*EX31+(1-EXP(-LN(2)/2))/(LN(2)/2)*ER32*EU32*VLOOKUP('Données projet'!$B$15,Paramètres!$A$1:$I$89,3,0)*0.475*44/12</f>
        <v>0.21378244590408113</v>
      </c>
      <c r="EY32" s="22">
        <f t="shared" si="21"/>
        <v>2.9198791105158719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134.19999999999996</v>
      </c>
      <c r="FF32" s="17">
        <f>FE32*VLOOKUP('Données projet'!$B$16,Paramètres!$A$1:$I$89,3,0)*VLOOKUP('Données projet'!$B$16,Paramètres!$A$1:$I$89,5,0)</f>
        <v>106.76951999999997</v>
      </c>
      <c r="FG32" s="13">
        <f t="shared" si="47"/>
        <v>28.568542914630683</v>
      </c>
      <c r="FH32" s="20">
        <f t="shared" si="22"/>
        <v>235.71379290964839</v>
      </c>
      <c r="FI32" s="59">
        <f t="shared" si="23"/>
        <v>527.8249040207595</v>
      </c>
      <c r="FJ32" s="59">
        <f ca="1">AVERAGE(OFFSET($FI$3,0,0,'Données projet'!$E$16+1,1))-AVERAGE(OFFSET($H$3,0,0,'Données projet'!$E$16+1,1))</f>
        <v>299.10536994156814</v>
      </c>
      <c r="FK32" s="59">
        <f t="shared" si="48"/>
        <v>292.57799203101769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6.6223797472349117</v>
      </c>
      <c r="FS32" s="21">
        <f>EXP(-LN(2)/2)*FS31+(1-EXP(-LN(2)/2))/(LN(2)/2)*FM32*FP32*VLOOKUP('Données projet'!$B$16,Paramètres!$A$1:$I$89,3,0)*0.475*44/12</f>
        <v>1.5678914961039996</v>
      </c>
      <c r="FT32" s="22">
        <f t="shared" si="24"/>
        <v>8.1902712433389109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4.3589743589743595</v>
      </c>
      <c r="FZ32" s="12">
        <f>IF('Données projet'!$A$244&gt;35,FZ31+FY32-GH31,IF(A32&lt;'Données projet'!$A$244,$FW$205^A32,IF(A32='Données projet'!$A$244,'Données projet'!$B$244,FZ31+FY32-GH31)))</f>
        <v>121.28205128205133</v>
      </c>
      <c r="GA32" s="17">
        <f>FZ32*VLOOKUP('Données projet'!$B$17,Paramètres!$A$1:$I$89,3,0)*VLOOKUP('Données projet'!$B$17,Paramètres!$A$1:$I$89,5,0)</f>
        <v>109.73600000000003</v>
      </c>
      <c r="GB32" s="13">
        <f t="shared" si="49"/>
        <v>29.268775417505548</v>
      </c>
      <c r="GC32" s="20">
        <f t="shared" si="25"/>
        <v>242.09998385215556</v>
      </c>
      <c r="GD32" s="59">
        <f t="shared" si="26"/>
        <v>534.21109496326676</v>
      </c>
      <c r="GE32" s="59">
        <f ca="1">AVERAGE(OFFSET($GD$3,0,0,'Données projet'!$E$17+1,1))-AVERAGE(OFFSET($H$3,0,0,'Données projet'!$E$17+1,1))</f>
        <v>204.78565758021779</v>
      </c>
      <c r="GF32" s="59">
        <f t="shared" si="50"/>
        <v>287.25131613242439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0.99372116918631304</v>
      </c>
      <c r="GM32" s="21">
        <f>EXP(-LN(2)/25)*GM31+(1-EXP(-LN(2)/25))/(LN(2)/25)*Calculateur!GH32*Calculateur!GJ32*VLOOKUP('Données projet'!$B$17,Paramètres!$A$1:$I$89,3,0)*0.475*44/12</f>
        <v>3.5821552491582267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4.5758764183445395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11.5</v>
      </c>
      <c r="GU32" s="12">
        <f>IF('Données projet'!$A$270&gt;35,GU31+GT32-HC31,IF(A32&lt;'Données projet'!$A$270,$GR$205^A32,IF(A32='Données projet'!$A$270,'Données projet'!$B$270,GU31+GT32-HC31)))</f>
        <v>131.99999999999994</v>
      </c>
      <c r="GV32" s="17">
        <f>GU32*VLOOKUP('Données projet'!$B$18,Paramètres!$A$1:$I$89,3,0)*VLOOKUP('Données projet'!$B$18,Paramètres!$A$1:$I$89,5,0)</f>
        <v>102.95999999999997</v>
      </c>
      <c r="GW32" s="13">
        <f t="shared" si="51"/>
        <v>27.665975080374633</v>
      </c>
      <c r="GX32" s="20">
        <f t="shared" si="28"/>
        <v>227.50690659831903</v>
      </c>
      <c r="GY32" s="59">
        <f t="shared" si="29"/>
        <v>519.61801770943021</v>
      </c>
      <c r="GZ32" s="59">
        <f ca="1">AVERAGE(OFFSET($GY$3,0,0,'Données projet'!$E$18+1,1))-AVERAGE(OFFSET($H$3,0,0,'Données projet'!$E$18+1,1))</f>
        <v>288.82868507674738</v>
      </c>
      <c r="HA32" s="59">
        <f t="shared" si="52"/>
        <v>283.48738729114024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4.2175480799166278</v>
      </c>
      <c r="HI32" s="21">
        <f>EXP(-LN(2)/2)*HI31+(1-EXP(-LN(2)/2))/(LN(2)/2)*HC32*HF32*VLOOKUP('Données projet'!$B$18,Paramètres!$A$1:$I$89,3,0)*0.475*44/12</f>
        <v>1.4495091775014857</v>
      </c>
      <c r="HJ32" s="22">
        <f t="shared" si="30"/>
        <v>5.6670572574181133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16.621666666666666</v>
      </c>
      <c r="N33" s="13">
        <f>IF('Données projet'!$A$36&gt;35,N32+M33-V32,IF(A33&lt;'Données projet'!$A$36,$K$205^A33,IF(A33='Données projet'!$A$36,'Données projet'!$B$36,N32+M33-V32)))</f>
        <v>167.78500000000003</v>
      </c>
      <c r="O33" s="13">
        <f>N33*VLOOKUP('Données projet'!$B$9,Paramètres!$A$1:$I$89,3,0)*VLOOKUP('Données projet'!$B$9,Paramètres!$A$1:$I$89,5,0)</f>
        <v>100.33543000000002</v>
      </c>
      <c r="P33" s="13">
        <f t="shared" si="33"/>
        <v>27.041893539465132</v>
      </c>
      <c r="Q33" s="20">
        <f t="shared" si="2"/>
        <v>221.84883849790182</v>
      </c>
      <c r="R33" s="59">
        <f t="shared" si="0"/>
        <v>515.18217183123511</v>
      </c>
      <c r="S33" s="59">
        <f ca="1">AVERAGE(OFFSET($R$3,0,0,'Données projet'!$E$9+1,1))-AVERAGE(OFFSET($H$3,0,0,'Données projet'!$E$9+1,1))</f>
        <v>349.71285006949597</v>
      </c>
      <c r="T33" s="59">
        <f t="shared" si="34"/>
        <v>258.51550516456842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7.1977764380531477</v>
      </c>
      <c r="AA33" s="21">
        <f>EXP(-LN(2)/25)*AA32+(1-EXP(-LN(2)/25))/(LN(2)/25)*Calculateur!V33*Calculateur!X33*VLOOKUP('Données projet'!$B$9,Paramètres!$A$1:$I$89,3,0)*0.475*44/12</f>
        <v>10.137510729933814</v>
      </c>
      <c r="AB33" s="21">
        <f>EXP(-LN(2)/2)*AB32+(1-EXP(-LN(2)/2))/(LN(2)/2)*V33*Y33*VLOOKUP('Données projet'!$B$9,Paramètres!$A$1:$I$89,3,0)*0.475*44/12</f>
        <v>4.296467860995782</v>
      </c>
      <c r="AC33" s="22">
        <f t="shared" si="3"/>
        <v>21.631755028982745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4.016578947368421</v>
      </c>
      <c r="AI33" s="13">
        <f>IF('Données projet'!$A$62&gt;35,AI32+AH33-AQ32,IF(A33&lt;'Données projet'!$A$62,$AF$205^A33,IF(A33='Données projet'!$A$62,'Données projet'!$B$62,AI32+AH33-AQ32)))</f>
        <v>120.49736842105257</v>
      </c>
      <c r="AJ33" s="13">
        <f>AI33*VLOOKUP('Données projet'!$B$10,Paramètres!$A$1:$I$89,3,0)*VLOOKUP('Données projet'!$B$10,Paramètres!$A$1:$I$89,5,0)</f>
        <v>114.66529578947363</v>
      </c>
      <c r="AK33" s="13">
        <f t="shared" si="35"/>
        <v>30.427493355659173</v>
      </c>
      <c r="AL33" s="20">
        <f t="shared" si="4"/>
        <v>252.70327442777295</v>
      </c>
      <c r="AM33" s="59">
        <f t="shared" si="5"/>
        <v>546.03660776110632</v>
      </c>
      <c r="AN33" s="59">
        <f ca="1">AVERAGE(OFFSET($AM$3,0,0,'Données projet'!$E$10+1,1))-AVERAGE(OFFSET($H$3,0,0,'Données projet'!$E$10+1,1))</f>
        <v>449.28947235329758</v>
      </c>
      <c r="AO33" s="59">
        <f t="shared" si="36"/>
        <v>289.36994109443964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111.13529142857149</v>
      </c>
      <c r="BF33" s="13">
        <f t="shared" si="37"/>
        <v>29.598308031859261</v>
      </c>
      <c r="BG33" s="20">
        <f t="shared" si="7"/>
        <v>245.11101906025024</v>
      </c>
      <c r="BH33" s="59">
        <f t="shared" si="8"/>
        <v>538.44435239358359</v>
      </c>
      <c r="BI33" s="59">
        <f ca="1">AVERAGE(OFFSET($BH$3,0,0,'Données projet'!$E$11+1,1))-AVERAGE(OFFSET($H$3,0,0,'Données projet'!$E$11+1,1))</f>
        <v>635.71275911100679</v>
      </c>
      <c r="BJ33" s="59">
        <f t="shared" si="38"/>
        <v>281.7776857269169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3.3603333333333336</v>
      </c>
      <c r="BY33" s="12">
        <f>IF('Données projet'!$A$114&gt;35,BY32+BX33-CG32,IF(A33&lt;'Données projet'!$A$114,$BV$205^A33,IF(A33='Données projet'!$A$114,'Données projet'!$B$114,BY32+BX33-CG32)))</f>
        <v>100.81</v>
      </c>
      <c r="BZ33" s="13">
        <f>BY33*VLOOKUP('Données projet'!$B$12,Paramètres!$A$1:$I$89,3,0)*VLOOKUP('Données projet'!$B$12,Paramètres!$A$1:$I$89,5,0)</f>
        <v>114.80242800000001</v>
      </c>
      <c r="CA33" s="13">
        <f t="shared" si="39"/>
        <v>30.459644700872925</v>
      </c>
      <c r="CB33" s="20">
        <f t="shared" si="10"/>
        <v>252.99810995402035</v>
      </c>
      <c r="CC33" s="59">
        <f t="shared" si="11"/>
        <v>546.33144328735364</v>
      </c>
      <c r="CD33" s="59">
        <f ca="1">AVERAGE(OFFSET($CC$3,0,0,'Données projet'!$E$12+1,1))-AVERAGE(OFFSET($H$3,0,0,'Données projet'!$E$12+1,1))</f>
        <v>593.28343396240075</v>
      </c>
      <c r="CE33" s="59">
        <f t="shared" si="40"/>
        <v>289.66477662068695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104.48717948717949</v>
      </c>
      <c r="CR33" s="12">
        <f>VLOOKUP(A33,'Données projet'!$A$139:$I$159,9,0)</f>
        <v>7.3076923076923093</v>
      </c>
      <c r="CS33" s="12">
        <f t="array" ref="CS33">INDEX(CR:CR,MIN(IF(ISNUMBER(CR33:CR229),ROW(CR33:CR229),"")))</f>
        <v>7.3076923076923093</v>
      </c>
      <c r="CT33" s="12">
        <f>IF('Données projet'!$A$140&gt;35,CT32+CS33-DB32,IF(A33&lt;'Données projet'!$A$140,$CQ$205^A33,IF(A33='Données projet'!$A$140,'Données projet'!$B$140,CT32+CS33-DB32)))</f>
        <v>104.48717948717947</v>
      </c>
      <c r="CU33" s="17">
        <f>CT33*VLOOKUP('Données projet'!$B$13,Paramètres!$A$1:$I$89,3,0)*VLOOKUP('Données projet'!$B$13,Paramètres!$A$1:$I$89,5,0)</f>
        <v>109.21</v>
      </c>
      <c r="CV33" s="13">
        <f t="shared" si="41"/>
        <v>29.144776403044315</v>
      </c>
      <c r="CW33" s="20">
        <f t="shared" si="13"/>
        <v>240.96790223530218</v>
      </c>
      <c r="CX33" s="59">
        <f t="shared" si="14"/>
        <v>534.30123556863555</v>
      </c>
      <c r="CY33" s="59">
        <f ca="1">AVERAGE(OFFSET($CX$3,0,0,'Données projet'!$E$13+1,1))-AVERAGE(OFFSET($H$3,0,0,'Données projet'!$E$13+1,1))</f>
        <v>260.65406541614402</v>
      </c>
      <c r="CZ33" s="59">
        <f t="shared" si="42"/>
        <v>277.63456890196886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23.717948717948715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0.215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16.988295486736952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16.988295486736952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103.2051282051282</v>
      </c>
      <c r="DM33" s="12">
        <f>VLOOKUP(A33,'Données projet'!$A$165:$I$185,9,0)</f>
        <v>5.6410256410256441</v>
      </c>
      <c r="DN33" s="12">
        <f t="array" ref="DN33">INDEX(DM:DM,MIN(IF(ISNUMBER(DM33:DM229),ROW(DM33:DM229),"")))</f>
        <v>5.6410256410256441</v>
      </c>
      <c r="DO33" s="12">
        <f>IF('Données projet'!$A$166&gt;35,DO32+DN33-DW32,IF(A33&lt;'Données projet'!$A$166,$DL$205^A33,IF(A33='Données projet'!$A$166,'Données projet'!$B$166,DO32+DN33-DW32)))</f>
        <v>103.2051282051282</v>
      </c>
      <c r="DP33" s="17">
        <f>DO33*VLOOKUP('Données projet'!$B$14,Paramètres!$A$1:$I$89,3,0)*VLOOKUP('Données projet'!$B$14,Paramètres!$A$1:$I$89,5,0)</f>
        <v>67.62</v>
      </c>
      <c r="DQ33" s="13">
        <f t="shared" si="43"/>
        <v>19.081235074181311</v>
      </c>
      <c r="DR33" s="20">
        <f t="shared" si="16"/>
        <v>151.00465108753244</v>
      </c>
      <c r="DS33" s="59">
        <f t="shared" si="17"/>
        <v>444.33798442086572</v>
      </c>
      <c r="DT33" s="59">
        <f ca="1">AVERAGE(OFFSET($DS$3,0,0,'Données projet'!$E$14+1,1))-AVERAGE(OFFSET($H$3,0,0,'Données projet'!$E$14+1,1))</f>
        <v>181.4272795535777</v>
      </c>
      <c r="DU33" s="59">
        <f t="shared" si="44"/>
        <v>187.67131775419904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14.743589743589743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0.1075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2.5888587533552752</v>
      </c>
      <c r="EC33" s="21">
        <f>EXP(-LN(2)/2)*EC32+(1-EXP(-LN(2)/2))/(LN(2)/2)*DW33*DZ33*VLOOKUP('Données projet'!$B$14,Paramètres!$A$1:$I$89,3,0)*0.475*44/12</f>
        <v>2.6796427112291967</v>
      </c>
      <c r="ED33" s="22">
        <f t="shared" si="18"/>
        <v>5.2685014645844719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138.46153846153845</v>
      </c>
      <c r="EH33" s="12">
        <f>VLOOKUP(A33,'Données projet'!$A$191:$I$211,9,0)</f>
        <v>6.6666666666666661</v>
      </c>
      <c r="EI33" s="12">
        <f t="array" ref="EI33">INDEX(EH:EH,MIN(IF(ISNUMBER(EH33:EH229),ROW(EH33:EH229),"")))</f>
        <v>6.6666666666666661</v>
      </c>
      <c r="EJ33" s="12">
        <f>IF('Données projet'!$A$192&gt;35,EJ32+EI33-ER32,IF(A33&lt;'Données projet'!$A$192,$EG$205^A33,IF(A33='Données projet'!$A$192,'Données projet'!$B$192,EJ32+EI33-ER32)))</f>
        <v>138.46153846153851</v>
      </c>
      <c r="EK33" s="17">
        <f>EJ33*VLOOKUP('Données projet'!$B$15,Paramètres!$A$1:$I$89,3,0)*VLOOKUP('Données projet'!$B$15,Paramètres!$A$1:$I$89,5,0)</f>
        <v>112.32000000000005</v>
      </c>
      <c r="EL33" s="13">
        <f t="shared" si="45"/>
        <v>29.87692891707237</v>
      </c>
      <c r="EM33" s="20">
        <f t="shared" si="19"/>
        <v>247.65965119723444</v>
      </c>
      <c r="EN33" s="59">
        <f t="shared" si="20"/>
        <v>540.99298453056781</v>
      </c>
      <c r="EO33" s="59">
        <f ca="1">AVERAGE(OFFSET($EN$3,0,0,'Données projet'!$E$15+1,1))-AVERAGE(OFFSET($H$3,0,0,'Données projet'!$E$15+1,1))</f>
        <v>159.68591355116837</v>
      </c>
      <c r="EP33" s="59">
        <f t="shared" si="46"/>
        <v>284.32631786390112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38.46153846153846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0.1075</v>
      </c>
      <c r="EU33" s="16">
        <f>IF(ISNA(VLOOKUP(A33,'Données projet'!$A$191:$I$211,7,0)),0%,VLOOKUP(A33,'Données projet'!$A$191:$I$211,7,0))</f>
        <v>0.25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6.3252471466917646</v>
      </c>
      <c r="EX33" s="21">
        <f>EXP(-LN(2)/2)*EX32+(1-EXP(-LN(2)/2))/(LN(2)/2)*ER33*EU33*VLOOKUP('Données projet'!$B$15,Paramètres!$A$1:$I$89,3,0)*0.475*44/12</f>
        <v>7.5106769511194518</v>
      </c>
      <c r="EY33" s="22">
        <f t="shared" si="21"/>
        <v>13.835924097811215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145.99999999999997</v>
      </c>
      <c r="FF33" s="17">
        <f>FE33*VLOOKUP('Données projet'!$B$16,Paramètres!$A$1:$I$89,3,0)*VLOOKUP('Données projet'!$B$16,Paramètres!$A$1:$I$89,5,0)</f>
        <v>116.15759999999999</v>
      </c>
      <c r="FG33" s="13">
        <f t="shared" si="47"/>
        <v>30.777132266613055</v>
      </c>
      <c r="FH33" s="20">
        <f t="shared" si="22"/>
        <v>255.91132536435109</v>
      </c>
      <c r="FI33" s="59">
        <f t="shared" si="23"/>
        <v>549.24465869768437</v>
      </c>
      <c r="FJ33" s="59">
        <f ca="1">AVERAGE(OFFSET($FI$3,0,0,'Données projet'!$E$16+1,1))-AVERAGE(OFFSET($H$3,0,0,'Données projet'!$E$16+1,1))</f>
        <v>299.10536994156814</v>
      </c>
      <c r="FK33" s="59">
        <f t="shared" si="48"/>
        <v>292.57799203101769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0.13250000000000001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9.6914331763149768</v>
      </c>
      <c r="FS33" s="21">
        <f>EXP(-LN(2)/2)*FS32+(1-EXP(-LN(2)/2))/(LN(2)/2)*FM33*FP33*VLOOKUP('Données projet'!$B$16,Paramètres!$A$1:$I$89,3,0)*0.475*44/12</f>
        <v>6.3633568018801885</v>
      </c>
      <c r="FT33" s="22">
        <f t="shared" si="24"/>
        <v>16.054789978195167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125.64102564102564</v>
      </c>
      <c r="FX33" s="12">
        <f>VLOOKUP(A33,'Données projet'!$A$243:$I$263,9,0)</f>
        <v>4.3589743589743595</v>
      </c>
      <c r="FY33" s="12">
        <f t="array" ref="FY33">INDEX(FX:FX,MIN(IF(ISNUMBER(FX33:FX229),ROW(FX33:FX229),"")))</f>
        <v>4.3589743589743595</v>
      </c>
      <c r="FZ33" s="12">
        <f>IF('Données projet'!$A$244&gt;35,FZ32+FY33-GH32,IF(A33&lt;'Données projet'!$A$244,$FW$205^A33,IF(A33='Données projet'!$A$244,'Données projet'!$B$244,FZ32+FY33-GH32)))</f>
        <v>125.64102564102569</v>
      </c>
      <c r="GA33" s="17">
        <f>FZ33*VLOOKUP('Données projet'!$B$17,Paramètres!$A$1:$I$89,3,0)*VLOOKUP('Données projet'!$B$17,Paramètres!$A$1:$I$89,5,0)</f>
        <v>113.68000000000004</v>
      </c>
      <c r="GB33" s="13">
        <f t="shared" si="49"/>
        <v>30.196353760243682</v>
      </c>
      <c r="GC33" s="20">
        <f t="shared" si="25"/>
        <v>250.58464946575782</v>
      </c>
      <c r="GD33" s="59">
        <f t="shared" si="26"/>
        <v>543.91798279909108</v>
      </c>
      <c r="GE33" s="59">
        <f ca="1">AVERAGE(OFFSET($GD$3,0,0,'Données projet'!$E$17+1,1))-AVERAGE(OFFSET($H$3,0,0,'Données projet'!$E$17+1,1))</f>
        <v>204.78565758021779</v>
      </c>
      <c r="GF33" s="59">
        <f t="shared" si="50"/>
        <v>287.25131613242439</v>
      </c>
      <c r="GG33" s="15">
        <f>IF(ISNA(VLOOKUP(A33,'Données projet'!$A$243:$I$263,3,0)),0,VLOOKUP(A33,'Données projet'!$A$243:$I$263,3,0))</f>
        <v>6</v>
      </c>
      <c r="GH33" s="15">
        <f>IF(ISNA(VLOOKUP(A33,'Données projet'!$A$243:$I$263,4,0)),0,VLOOKUP(A33,'Données projet'!$A$243:$I$263,4,0))</f>
        <v>5.7692307692307692</v>
      </c>
      <c r="GI33" s="16">
        <f>IF(ISNA(VLOOKUP(A33,'Données projet'!$A$243:$I$263,5,0)),0%,VLOOKUP(A33,'Données projet'!$A$243:$I$263,5,0)*VLOOKUP('Données projet'!$B$17,Paramètres!$A$1:$I$89,7,0))</f>
        <v>0.03</v>
      </c>
      <c r="GJ33" s="16">
        <f>IF(ISNA(VLOOKUP(A33,'Données projet'!$A$243:$I$263,6,0)),0%,VLOOKUP(A33,'Données projet'!$A$243:$I$263,6,0)*VLOOKUP('Données projet'!$B$17,Paramètres!$A$1:$I$89,7,0))</f>
        <v>0.12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1.1473515646034942</v>
      </c>
      <c r="GM33" s="21">
        <f>EXP(-LN(2)/25)*GM32+(1-EXP(-LN(2)/25))/(LN(2)/25)*Calculateur!GH33*Calculateur!GJ33*VLOOKUP('Données projet'!$B$17,Paramètres!$A$1:$I$89,3,0)*0.475*44/12</f>
        <v>4.1739411661973236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5.3212927308008178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11.5</v>
      </c>
      <c r="GU33" s="12">
        <f>IF('Données projet'!$A$270&gt;35,GU32+GT33-HC32,IF(A33&lt;'Données projet'!$A$270,$GR$205^A33,IF(A33='Données projet'!$A$270,'Données projet'!$B$270,GU32+GT33-HC32)))</f>
        <v>143.49999999999994</v>
      </c>
      <c r="GV33" s="17">
        <f>GU33*VLOOKUP('Données projet'!$B$18,Paramètres!$A$1:$I$89,3,0)*VLOOKUP('Données projet'!$B$18,Paramètres!$A$1:$I$89,5,0)</f>
        <v>111.92999999999996</v>
      </c>
      <c r="GW33" s="13">
        <f t="shared" si="51"/>
        <v>29.785246291563833</v>
      </c>
      <c r="GX33" s="20">
        <f t="shared" si="28"/>
        <v>246.82072062447358</v>
      </c>
      <c r="GY33" s="59">
        <f t="shared" si="29"/>
        <v>540.15405395780692</v>
      </c>
      <c r="GZ33" s="59">
        <f ca="1">AVERAGE(OFFSET($GY$3,0,0,'Données projet'!$E$18+1,1))-AVERAGE(OFFSET($H$3,0,0,'Données projet'!$E$18+1,1))</f>
        <v>288.82868507674738</v>
      </c>
      <c r="HA33" s="59">
        <f t="shared" si="52"/>
        <v>283.48738729114024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4.1022190058800936</v>
      </c>
      <c r="HI33" s="21">
        <f>EXP(-LN(2)/2)*HI32+(1-EXP(-LN(2)/2))/(LN(2)/2)*HC33*HF33*VLOOKUP('Données projet'!$B$18,Paramètres!$A$1:$I$89,3,0)*0.475*44/12</f>
        <v>1.0249577688034355</v>
      </c>
      <c r="HJ33" s="22">
        <f t="shared" si="30"/>
        <v>5.1271767746835293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16.621666666666666</v>
      </c>
      <c r="N34" s="13">
        <f>IF('Données projet'!$A$36&gt;35,N33+M34-V33,IF(A34&lt;'Données projet'!$A$36,$K$205^A34,IF(A34='Données projet'!$A$36,'Données projet'!$B$36,N33+M34-V33)))</f>
        <v>184.40666666666669</v>
      </c>
      <c r="O34" s="13">
        <f>N34*VLOOKUP('Données projet'!$B$9,Paramètres!$A$1:$I$89,3,0)*VLOOKUP('Données projet'!$B$9,Paramètres!$A$1:$I$89,5,0)</f>
        <v>110.27518666666668</v>
      </c>
      <c r="P34" s="13">
        <f t="shared" si="33"/>
        <v>29.395811266319566</v>
      </c>
      <c r="Q34" s="20">
        <f t="shared" si="2"/>
        <v>243.26032139995104</v>
      </c>
      <c r="R34" s="59">
        <f t="shared" si="0"/>
        <v>536.59365473328432</v>
      </c>
      <c r="S34" s="59">
        <f ca="1">AVERAGE(OFFSET($R$3,0,0,'Données projet'!$E$9+1,1))-AVERAGE(OFFSET($H$3,0,0,'Données projet'!$E$9+1,1))</f>
        <v>349.71285006949597</v>
      </c>
      <c r="T34" s="59">
        <f t="shared" si="34"/>
        <v>258.51550516456842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7.0566324323130551</v>
      </c>
      <c r="AA34" s="21">
        <f>EXP(-LN(2)/25)*AA33+(1-EXP(-LN(2)/25))/(LN(2)/25)*Calculateur!V34*Calculateur!X34*VLOOKUP('Données projet'!$B$9,Paramètres!$A$1:$I$89,3,0)*0.475*44/12</f>
        <v>9.860299965915253</v>
      </c>
      <c r="AB34" s="21">
        <f>EXP(-LN(2)/2)*AB33+(1-EXP(-LN(2)/2))/(LN(2)/2)*V34*Y34*VLOOKUP('Données projet'!$B$9,Paramètres!$A$1:$I$89,3,0)*0.475*44/12</f>
        <v>3.0380615596601785</v>
      </c>
      <c r="AC34" s="22">
        <f t="shared" si="3"/>
        <v>19.954993957888487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4.016578947368421</v>
      </c>
      <c r="AI34" s="13">
        <f>IF('Données projet'!$A$62&gt;35,AI33+AH34-AQ33,IF(A34&lt;'Données projet'!$A$62,$AF$205^A34,IF(A34='Données projet'!$A$62,'Données projet'!$B$62,AI33+AH34-AQ33)))</f>
        <v>124.51394736842099</v>
      </c>
      <c r="AJ34" s="13">
        <f>AI34*VLOOKUP('Données projet'!$B$10,Paramètres!$A$1:$I$89,3,0)*VLOOKUP('Données projet'!$B$10,Paramètres!$A$1:$I$89,5,0)</f>
        <v>118.48747231578942</v>
      </c>
      <c r="AK34" s="13">
        <f t="shared" si="35"/>
        <v>31.321967043083987</v>
      </c>
      <c r="AL34" s="20">
        <f t="shared" si="4"/>
        <v>260.91810688337119</v>
      </c>
      <c r="AM34" s="59">
        <f t="shared" si="5"/>
        <v>554.25144021670451</v>
      </c>
      <c r="AN34" s="59">
        <f ca="1">AVERAGE(OFFSET($AM$3,0,0,'Données projet'!$E$10+1,1))-AVERAGE(OFFSET($H$3,0,0,'Données projet'!$E$10+1,1))</f>
        <v>449.28947235329758</v>
      </c>
      <c r="AO34" s="59">
        <f t="shared" si="36"/>
        <v>289.36994109443964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114.83980114285721</v>
      </c>
      <c r="BF34" s="13">
        <f t="shared" si="37"/>
        <v>30.468406249196239</v>
      </c>
      <c r="BG34" s="20">
        <f t="shared" si="7"/>
        <v>253.07846120782642</v>
      </c>
      <c r="BH34" s="59">
        <f t="shared" si="8"/>
        <v>546.41179454115968</v>
      </c>
      <c r="BI34" s="59">
        <f ca="1">AVERAGE(OFFSET($BH$3,0,0,'Données projet'!$E$11+1,1))-AVERAGE(OFFSET($H$3,0,0,'Données projet'!$E$11+1,1))</f>
        <v>635.71275911100679</v>
      </c>
      <c r="BJ34" s="59">
        <f t="shared" si="38"/>
        <v>281.7776857269169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3.3603333333333336</v>
      </c>
      <c r="BY34" s="12">
        <f>IF('Données projet'!$A$114&gt;35,BY33+BX34-CG33,IF(A34&lt;'Données projet'!$A$114,$BV$205^A34,IF(A34='Données projet'!$A$114,'Données projet'!$B$114,BY33+BX34-CG33)))</f>
        <v>104.17033333333333</v>
      </c>
      <c r="BZ34" s="13">
        <f>BY34*VLOOKUP('Données projet'!$B$12,Paramètres!$A$1:$I$89,3,0)*VLOOKUP('Données projet'!$B$12,Paramètres!$A$1:$I$89,5,0)</f>
        <v>118.6291756</v>
      </c>
      <c r="CA34" s="13">
        <f t="shared" si="39"/>
        <v>31.355063537869306</v>
      </c>
      <c r="CB34" s="20">
        <f t="shared" si="10"/>
        <v>261.22254983178902</v>
      </c>
      <c r="CC34" s="59">
        <f t="shared" si="11"/>
        <v>554.5558831651224</v>
      </c>
      <c r="CD34" s="59">
        <f ca="1">AVERAGE(OFFSET($CC$3,0,0,'Données projet'!$E$12+1,1))-AVERAGE(OFFSET($H$3,0,0,'Données projet'!$E$12+1,1))</f>
        <v>593.28343396240075</v>
      </c>
      <c r="CE34" s="59">
        <f t="shared" si="40"/>
        <v>289.66477662068695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6.7948717948717929</v>
      </c>
      <c r="CT34" s="12">
        <f>IF('Données projet'!$A$140&gt;35,CT33+CS34-DB33,IF(A34&lt;'Données projet'!$A$140,$CQ$205^A34,IF(A34='Données projet'!$A$140,'Données projet'!$B$140,CT33+CS34-DB33)))</f>
        <v>87.564102564102555</v>
      </c>
      <c r="CU34" s="17">
        <f>CT34*VLOOKUP('Données projet'!$B$13,Paramètres!$A$1:$I$89,3,0)*VLOOKUP('Données projet'!$B$13,Paramètres!$A$1:$I$89,5,0)</f>
        <v>91.522000000000006</v>
      </c>
      <c r="CV34" s="13">
        <f t="shared" si="41"/>
        <v>24.931935717861275</v>
      </c>
      <c r="CW34" s="20">
        <f t="shared" si="13"/>
        <v>202.82393804194172</v>
      </c>
      <c r="CX34" s="59">
        <f t="shared" si="14"/>
        <v>496.15727137527506</v>
      </c>
      <c r="CY34" s="59">
        <f ca="1">AVERAGE(OFFSET($CX$3,0,0,'Données projet'!$E$13+1,1))-AVERAGE(OFFSET($H$3,0,0,'Données projet'!$E$13+1,1))</f>
        <v>260.65406541614402</v>
      </c>
      <c r="CZ34" s="59">
        <f t="shared" si="42"/>
        <v>277.63456890196886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16.523749653276496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16.523749653276496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5.512820512820511</v>
      </c>
      <c r="DO34" s="12">
        <f>IF('Données projet'!$A$166&gt;35,DO33+DN34-DW33,IF(A34&lt;'Données projet'!$A$166,$DL$205^A34,IF(A34='Données projet'!$A$166,'Données projet'!$B$166,DO33+DN34-DW33)))</f>
        <v>93.974358974358978</v>
      </c>
      <c r="DP34" s="17">
        <f>DO34*VLOOKUP('Données projet'!$B$14,Paramètres!$A$1:$I$89,3,0)*VLOOKUP('Données projet'!$B$14,Paramètres!$A$1:$I$89,5,0)</f>
        <v>61.572000000000003</v>
      </c>
      <c r="DQ34" s="13">
        <f t="shared" si="43"/>
        <v>17.565119713235489</v>
      </c>
      <c r="DR34" s="20">
        <f t="shared" si="16"/>
        <v>137.83048350055182</v>
      </c>
      <c r="DS34" s="59">
        <f t="shared" si="17"/>
        <v>431.16381683388511</v>
      </c>
      <c r="DT34" s="59">
        <f ca="1">AVERAGE(OFFSET($DS$3,0,0,'Données projet'!$E$14+1,1))-AVERAGE(OFFSET($H$3,0,0,'Données projet'!$E$14+1,1))</f>
        <v>181.4272795535777</v>
      </c>
      <c r="DU34" s="59">
        <f t="shared" si="44"/>
        <v>187.67131775419904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2.5180662746026101</v>
      </c>
      <c r="EC34" s="21">
        <f>EXP(-LN(2)/2)*EC33+(1-EXP(-LN(2)/2))/(LN(2)/2)*DW34*DZ34*VLOOKUP('Données projet'!$B$14,Paramètres!$A$1:$I$89,3,0)*0.475*44/12</f>
        <v>1.8947935322672707</v>
      </c>
      <c r="ED34" s="22">
        <f t="shared" si="18"/>
        <v>4.4128598068698803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5.1282051282051269</v>
      </c>
      <c r="EJ34" s="12">
        <f>IF('Données projet'!$A$192&gt;35,EJ33+EI34-ER33,IF(A34&lt;'Données projet'!$A$192,$EG$205^A34,IF(A34='Données projet'!$A$192,'Données projet'!$B$192,EJ33+EI34-ER33)))</f>
        <v>105.1282051282052</v>
      </c>
      <c r="EK34" s="17">
        <f>EJ34*VLOOKUP('Données projet'!$B$15,Paramètres!$A$1:$I$89,3,0)*VLOOKUP('Données projet'!$B$15,Paramètres!$A$1:$I$89,5,0)</f>
        <v>85.280000000000072</v>
      </c>
      <c r="EL34" s="13">
        <f t="shared" si="45"/>
        <v>23.423330346599393</v>
      </c>
      <c r="EM34" s="20">
        <f t="shared" si="19"/>
        <v>189.32496702032742</v>
      </c>
      <c r="EN34" s="59">
        <f t="shared" si="20"/>
        <v>482.65830035366071</v>
      </c>
      <c r="EO34" s="59">
        <f ca="1">AVERAGE(OFFSET($EN$3,0,0,'Données projet'!$E$15+1,1))-AVERAGE(OFFSET($H$3,0,0,'Données projet'!$E$15+1,1))</f>
        <v>159.68591355116837</v>
      </c>
      <c r="EP34" s="59">
        <f t="shared" si="46"/>
        <v>284.32631786390112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6.1522829308351872</v>
      </c>
      <c r="EX34" s="21">
        <f>EXP(-LN(2)/2)*EX33+(1-EXP(-LN(2)/2))/(LN(2)/2)*ER34*EU34*VLOOKUP('Données projet'!$B$15,Paramètres!$A$1:$I$89,3,0)*0.475*44/12</f>
        <v>5.3108506034380687</v>
      </c>
      <c r="EY34" s="22">
        <f t="shared" si="21"/>
        <v>11.463133534273256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128.79999999999998</v>
      </c>
      <c r="FF34" s="17">
        <f>FE34*VLOOKUP('Données projet'!$B$16,Paramètres!$A$1:$I$89,3,0)*VLOOKUP('Données projet'!$B$16,Paramètres!$A$1:$I$89,5,0)</f>
        <v>102.47327999999999</v>
      </c>
      <c r="FG34" s="13">
        <f t="shared" si="47"/>
        <v>27.550381949314474</v>
      </c>
      <c r="FH34" s="20">
        <f t="shared" si="22"/>
        <v>226.45787789505599</v>
      </c>
      <c r="FI34" s="59">
        <f t="shared" si="23"/>
        <v>519.79121122838933</v>
      </c>
      <c r="FJ34" s="59">
        <f ca="1">AVERAGE(OFFSET($FI$3,0,0,'Données projet'!$E$16+1,1))-AVERAGE(OFFSET($H$3,0,0,'Données projet'!$E$16+1,1))</f>
        <v>299.10536994156814</v>
      </c>
      <c r="FK34" s="59">
        <f t="shared" si="48"/>
        <v>292.57799203101769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9.4264204264583231</v>
      </c>
      <c r="FS34" s="21">
        <f>EXP(-LN(2)/2)*FS33+(1-EXP(-LN(2)/2))/(LN(2)/2)*FM34*FP34*VLOOKUP('Données projet'!$B$16,Paramètres!$A$1:$I$89,3,0)*0.475*44/12</f>
        <v>4.499572745719024</v>
      </c>
      <c r="FT34" s="22">
        <f t="shared" si="24"/>
        <v>13.925993172177346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3.7179487179487181</v>
      </c>
      <c r="FZ34" s="12">
        <f>IF('Données projet'!$A$244&gt;35,FZ33+FY34-GH33,IF(A34&lt;'Données projet'!$A$244,$FW$205^A34,IF(A34='Données projet'!$A$244,'Données projet'!$B$244,FZ33+FY34-GH33)))</f>
        <v>123.58974358974365</v>
      </c>
      <c r="GA34" s="17">
        <f>FZ34*VLOOKUP('Données projet'!$B$17,Paramètres!$A$1:$I$89,3,0)*VLOOKUP('Données projet'!$B$17,Paramètres!$A$1:$I$89,5,0)</f>
        <v>111.82400000000004</v>
      </c>
      <c r="GB34" s="13">
        <f t="shared" si="49"/>
        <v>29.760321002196417</v>
      </c>
      <c r="GC34" s="20">
        <f t="shared" si="25"/>
        <v>246.59269241215881</v>
      </c>
      <c r="GD34" s="59">
        <f t="shared" si="26"/>
        <v>539.9260257454921</v>
      </c>
      <c r="GE34" s="59">
        <f ca="1">AVERAGE(OFFSET($GD$3,0,0,'Données projet'!$E$17+1,1))-AVERAGE(OFFSET($H$3,0,0,'Données projet'!$E$17+1,1))</f>
        <v>204.78565758021779</v>
      </c>
      <c r="GF34" s="59">
        <f t="shared" si="50"/>
        <v>287.25131613242439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1.124852700236973</v>
      </c>
      <c r="GM34" s="21">
        <f>EXP(-LN(2)/25)*GM33+(1-EXP(-LN(2)/25))/(LN(2)/25)*Calculateur!GH34*Calculateur!GJ34*VLOOKUP('Données projet'!$B$17,Paramètres!$A$1:$I$89,3,0)*0.475*44/12</f>
        <v>4.0598045255096311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5.1846572257466041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>
        <f>VLOOKUP(A34,'Données projet'!$A$269:$I$289,2,0)</f>
        <v>155</v>
      </c>
      <c r="GS34" s="12">
        <f>VLOOKUP(A34,'Données projet'!$A$269:$I$289,9,0)</f>
        <v>11.5</v>
      </c>
      <c r="GT34" s="12">
        <f t="array" ref="GT34">INDEX(GS:GS,MIN(IF(ISNUMBER(GS34:GS230),ROW(GS34:GS230),"")))</f>
        <v>11.5</v>
      </c>
      <c r="GU34" s="12">
        <f>IF('Données projet'!$A$270&gt;35,GU33+GT34-HC33,IF(A34&lt;'Données projet'!$A$270,$GR$205^A34,IF(A34='Données projet'!$A$270,'Données projet'!$B$270,GU33+GT34-HC33)))</f>
        <v>154.99999999999994</v>
      </c>
      <c r="GV34" s="17">
        <f>GU34*VLOOKUP('Données projet'!$B$18,Paramètres!$A$1:$I$89,3,0)*VLOOKUP('Données projet'!$B$18,Paramètres!$A$1:$I$89,5,0)</f>
        <v>120.89999999999996</v>
      </c>
      <c r="GW34" s="13">
        <f t="shared" si="51"/>
        <v>31.884818143351602</v>
      </c>
      <c r="GX34" s="20">
        <f t="shared" si="28"/>
        <v>266.10022493300397</v>
      </c>
      <c r="GY34" s="59">
        <f t="shared" si="29"/>
        <v>559.43355826633729</v>
      </c>
      <c r="GZ34" s="59">
        <f ca="1">AVERAGE(OFFSET($GY$3,0,0,'Données projet'!$E$18+1,1))-AVERAGE(OFFSET($H$3,0,0,'Données projet'!$E$18+1,1))</f>
        <v>288.82868507674738</v>
      </c>
      <c r="HA34" s="59">
        <f t="shared" si="52"/>
        <v>283.48738729114024</v>
      </c>
      <c r="HB34" s="15">
        <f>IF(ISNA(VLOOKUP(A34,'Données projet'!$A$269:$I$289,3,0)),0,VLOOKUP(A34,'Données projet'!$A$269:$I$289,3,0))</f>
        <v>4</v>
      </c>
      <c r="HC34" s="15">
        <f>IF(ISNA(VLOOKUP(A34,'Données projet'!$A$269:$I$289,4,0)),0,VLOOKUP(A34,'Données projet'!$A$269:$I$289,4,0))</f>
        <v>36</v>
      </c>
      <c r="HD34" s="16">
        <f>IF(ISNA(VLOOKUP(A34,'Données projet'!$A$269:$I$289,5,0)),0%,VLOOKUP(A34,'Données projet'!$A$269:$I$289,5,0)*VLOOKUP('Données projet'!$B$18,Paramètres!$A$1:$I$89,7,0))</f>
        <v>0.1075</v>
      </c>
      <c r="HE34" s="16">
        <f>IF(ISNA(VLOOKUP(A34,'Données projet'!$A$269:$I$289,6,0)),0%,VLOOKUP(A34,'Données projet'!$A$269:$I$289,6,0)*VLOOKUP('Données projet'!$B$18,Paramètres!$A$1:$I$89,7,0))</f>
        <v>0.1075</v>
      </c>
      <c r="HF34" s="16">
        <f>IF(ISNA(VLOOKUP(A34,'Données projet'!$A$269:$I$289,7,0)),0%,VLOOKUP(A34,'Données projet'!$A$269:$I$289,7,0))</f>
        <v>0.25</v>
      </c>
      <c r="HG34" s="21">
        <f>EXP(-LN(2)/35)*HG33+(1-EXP(-LN(2)/35))/(LN(2)/35)*HC34*HD34*VLOOKUP('Données projet'!$B$18,Paramètres!$A$1:$I$89,3,0)*0.475*44/12</f>
        <v>3.3369728876581632</v>
      </c>
      <c r="HH34" s="21">
        <f>EXP(-LN(2)/25)*HH33+(1-EXP(-LN(2)/25))/(LN(2)/25)*Calculateur!HC34*Calculateur!HE34*VLOOKUP('Données projet'!$B$18,Paramètres!$A$1:$I$89,3,0)*0.475*44/12</f>
        <v>7.3138775653510812</v>
      </c>
      <c r="HI34" s="21">
        <f>EXP(-LN(2)/2)*HI33+(1-EXP(-LN(2)/2))/(LN(2)/2)*HC34*HF34*VLOOKUP('Données projet'!$B$18,Paramètres!$A$1:$I$89,3,0)*0.475*44/12</f>
        <v>7.3483135292805679</v>
      </c>
      <c r="HJ34" s="22">
        <f t="shared" si="30"/>
        <v>17.999163982289812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16.621666666666666</v>
      </c>
      <c r="N35" s="13">
        <f>IF('Données projet'!$A$36&gt;35,N34+M35-V34,IF(A35&lt;'Données projet'!$A$36,$K$205^A35,IF(A35='Données projet'!$A$36,'Données projet'!$B$36,N34+M35-V34)))</f>
        <v>201.02833333333336</v>
      </c>
      <c r="O35" s="13">
        <f>N35*VLOOKUP('Données projet'!$B$9,Paramètres!$A$1:$I$89,3,0)*VLOOKUP('Données projet'!$B$9,Paramètres!$A$1:$I$89,5,0)</f>
        <v>120.21494333333335</v>
      </c>
      <c r="P35" s="13">
        <f t="shared" si="33"/>
        <v>31.725126074196275</v>
      </c>
      <c r="Q35" s="20">
        <f t="shared" ref="Q35:Q66" si="53">(O35+P35)*0.475*44/12</f>
        <v>264.62895421811407</v>
      </c>
      <c r="R35" s="59">
        <f t="shared" si="0"/>
        <v>557.96228755144739</v>
      </c>
      <c r="S35" s="59">
        <f ca="1">AVERAGE(OFFSET($R$3,0,0,'Données projet'!$E$9+1,1))-AVERAGE(OFFSET($H$3,0,0,'Données projet'!$E$9+1,1))</f>
        <v>349.71285006949597</v>
      </c>
      <c r="T35" s="59">
        <f t="shared" si="34"/>
        <v>258.51550516456842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6.9182561744361832</v>
      </c>
      <c r="AA35" s="21">
        <f>EXP(-LN(2)/25)*AA34+(1-EXP(-LN(2)/25))/(LN(2)/25)*Calculateur!V35*Calculateur!X35*VLOOKUP('Données projet'!$B$9,Paramètres!$A$1:$I$89,3,0)*0.475*44/12</f>
        <v>9.5906695448166612</v>
      </c>
      <c r="AB35" s="21">
        <f>EXP(-LN(2)/2)*AB34+(1-EXP(-LN(2)/2))/(LN(2)/2)*V35*Y35*VLOOKUP('Données projet'!$B$9,Paramètres!$A$1:$I$89,3,0)*0.475*44/12</f>
        <v>2.1482339304978915</v>
      </c>
      <c r="AC35" s="22">
        <f t="shared" si="3"/>
        <v>18.657159649750735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4.016578947368421</v>
      </c>
      <c r="AI35" s="13">
        <f>IF('Données projet'!$A$62&gt;35,AI34+AH35-AQ34,IF(A35&lt;'Données projet'!$A$62,$AF$205^A35,IF(A35='Données projet'!$A$62,'Données projet'!$B$62,AI34+AH35-AQ34)))</f>
        <v>128.53052631578942</v>
      </c>
      <c r="AJ35" s="13">
        <f>AI35*VLOOKUP('Données projet'!$B$10,Paramètres!$A$1:$I$89,3,0)*VLOOKUP('Données projet'!$B$10,Paramètres!$A$1:$I$89,5,0)</f>
        <v>122.3096488421052</v>
      </c>
      <c r="AK35" s="13">
        <f t="shared" si="35"/>
        <v>32.213087809364474</v>
      </c>
      <c r="AL35" s="20">
        <f t="shared" si="4"/>
        <v>269.12709966797632</v>
      </c>
      <c r="AM35" s="59">
        <f t="shared" si="5"/>
        <v>562.46043300130964</v>
      </c>
      <c r="AN35" s="59">
        <f ca="1">AVERAGE(OFFSET($AM$3,0,0,'Données projet'!$E$10+1,1))-AVERAGE(OFFSET($H$3,0,0,'Données projet'!$E$10+1,1))</f>
        <v>449.28947235329758</v>
      </c>
      <c r="AO35" s="59">
        <f t="shared" si="36"/>
        <v>289.36994109443964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118.54431085714293</v>
      </c>
      <c r="BF35" s="13">
        <f t="shared" si="37"/>
        <v>31.335242916471387</v>
      </c>
      <c r="BG35" s="20">
        <f t="shared" si="7"/>
        <v>261.04022282237821</v>
      </c>
      <c r="BH35" s="59">
        <f t="shared" si="8"/>
        <v>554.37355615571153</v>
      </c>
      <c r="BI35" s="59">
        <f ca="1">AVERAGE(OFFSET($BH$3,0,0,'Données projet'!$E$11+1,1))-AVERAGE(OFFSET($H$3,0,0,'Données projet'!$E$11+1,1))</f>
        <v>635.71275911100679</v>
      </c>
      <c r="BJ35" s="59">
        <f t="shared" si="38"/>
        <v>281.7776857269169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3.3603333333333336</v>
      </c>
      <c r="BY35" s="12">
        <f>IF('Données projet'!$A$114&gt;35,BY34+BX35-CG34,IF(A35&lt;'Données projet'!$A$114,$BV$205^A35,IF(A35='Données projet'!$A$114,'Données projet'!$B$114,BY34+BX35-CG34)))</f>
        <v>107.53066666666666</v>
      </c>
      <c r="BZ35" s="13">
        <f>BY35*VLOOKUP('Données projet'!$B$12,Paramètres!$A$1:$I$89,3,0)*VLOOKUP('Données projet'!$B$12,Paramètres!$A$1:$I$89,5,0)</f>
        <v>122.45592319999999</v>
      </c>
      <c r="CA35" s="13">
        <f t="shared" si="39"/>
        <v>32.247125910842406</v>
      </c>
      <c r="CB35" s="20">
        <f t="shared" si="10"/>
        <v>269.44114386805046</v>
      </c>
      <c r="CC35" s="59">
        <f t="shared" si="11"/>
        <v>562.77447720138377</v>
      </c>
      <c r="CD35" s="59">
        <f ca="1">AVERAGE(OFFSET($CC$3,0,0,'Données projet'!$E$12+1,1))-AVERAGE(OFFSET($H$3,0,0,'Données projet'!$E$12+1,1))</f>
        <v>593.28343396240075</v>
      </c>
      <c r="CE35" s="59">
        <f t="shared" si="40"/>
        <v>289.66477662068695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6.7948717948717929</v>
      </c>
      <c r="CT35" s="12">
        <f>IF('Données projet'!$A$140&gt;35,CT34+CS35-DB34,IF(A35&lt;'Données projet'!$A$140,$CQ$205^A35,IF(A35='Données projet'!$A$140,'Données projet'!$B$140,CT34+CS35-DB34)))</f>
        <v>94.358974358974351</v>
      </c>
      <c r="CU35" s="17">
        <f>CT35*VLOOKUP('Données projet'!$B$13,Paramètres!$A$1:$I$89,3,0)*VLOOKUP('Données projet'!$B$13,Paramètres!$A$1:$I$89,5,0)</f>
        <v>98.623999999999995</v>
      </c>
      <c r="CV35" s="13">
        <f t="shared" si="41"/>
        <v>26.633920645630443</v>
      </c>
      <c r="CW35" s="20">
        <f t="shared" si="13"/>
        <v>218.15754512447299</v>
      </c>
      <c r="CX35" s="59">
        <f t="shared" si="14"/>
        <v>511.49087845780628</v>
      </c>
      <c r="CY35" s="59">
        <f ca="1">AVERAGE(OFFSET($CX$3,0,0,'Données projet'!$E$13+1,1))-AVERAGE(OFFSET($H$3,0,0,'Données projet'!$E$13+1,1))</f>
        <v>260.65406541614402</v>
      </c>
      <c r="CZ35" s="59">
        <f t="shared" si="42"/>
        <v>277.63456890196886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16.071906850061421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16.071906850061421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5.512820512820511</v>
      </c>
      <c r="DO35" s="12">
        <f>IF('Données projet'!$A$166&gt;35,DO34+DN35-DW34,IF(A35&lt;'Données projet'!$A$166,$DL$205^A35,IF(A35='Données projet'!$A$166,'Données projet'!$B$166,DO34+DN35-DW34)))</f>
        <v>99.487179487179489</v>
      </c>
      <c r="DP35" s="17">
        <f>DO35*VLOOKUP('Données projet'!$B$14,Paramètres!$A$1:$I$89,3,0)*VLOOKUP('Données projet'!$B$14,Paramètres!$A$1:$I$89,5,0)</f>
        <v>65.183999999999997</v>
      </c>
      <c r="DQ35" s="13">
        <f t="shared" si="43"/>
        <v>18.47255885537334</v>
      </c>
      <c r="DR35" s="20">
        <f t="shared" si="16"/>
        <v>145.70184000644187</v>
      </c>
      <c r="DS35" s="59">
        <f t="shared" si="17"/>
        <v>439.03517333977516</v>
      </c>
      <c r="DT35" s="59">
        <f ca="1">AVERAGE(OFFSET($DS$3,0,0,'Données projet'!$E$14+1,1))-AVERAGE(OFFSET($H$3,0,0,'Données projet'!$E$14+1,1))</f>
        <v>181.4272795535777</v>
      </c>
      <c r="DU35" s="59">
        <f t="shared" si="44"/>
        <v>187.67131775419904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2.4492096199042517</v>
      </c>
      <c r="EC35" s="21">
        <f>EXP(-LN(2)/2)*EC34+(1-EXP(-LN(2)/2))/(LN(2)/2)*DW35*DZ35*VLOOKUP('Données projet'!$B$14,Paramètres!$A$1:$I$89,3,0)*0.475*44/12</f>
        <v>1.3398213556145986</v>
      </c>
      <c r="ED35" s="22">
        <f t="shared" si="18"/>
        <v>3.78903097551885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5.1282051282051269</v>
      </c>
      <c r="EJ35" s="12">
        <f>IF('Données projet'!$A$192&gt;35,EJ34+EI35-ER34,IF(A35&lt;'Données projet'!$A$192,$EG$205^A35,IF(A35='Données projet'!$A$192,'Données projet'!$B$192,EJ34+EI35-ER34)))</f>
        <v>110.25641025641032</v>
      </c>
      <c r="EK35" s="17">
        <f>EJ35*VLOOKUP('Données projet'!$B$15,Paramètres!$A$1:$I$89,3,0)*VLOOKUP('Données projet'!$B$15,Paramètres!$A$1:$I$89,5,0)</f>
        <v>89.440000000000069</v>
      </c>
      <c r="EL35" s="13">
        <f t="shared" si="45"/>
        <v>24.43011745586707</v>
      </c>
      <c r="EM35" s="20">
        <f t="shared" si="19"/>
        <v>198.32378790230189</v>
      </c>
      <c r="EN35" s="59">
        <f t="shared" si="20"/>
        <v>491.6571212356352</v>
      </c>
      <c r="EO35" s="59">
        <f ca="1">AVERAGE(OFFSET($EN$3,0,0,'Données projet'!$E$15+1,1))-AVERAGE(OFFSET($H$3,0,0,'Données projet'!$E$15+1,1))</f>
        <v>159.68591355116837</v>
      </c>
      <c r="EP35" s="59">
        <f t="shared" si="46"/>
        <v>284.32631786390112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5.9840484305570012</v>
      </c>
      <c r="EX35" s="21">
        <f>EXP(-LN(2)/2)*EX34+(1-EXP(-LN(2)/2))/(LN(2)/2)*ER35*EU35*VLOOKUP('Données projet'!$B$15,Paramètres!$A$1:$I$89,3,0)*0.475*44/12</f>
        <v>3.7553384755597268</v>
      </c>
      <c r="EY35" s="22">
        <f t="shared" si="21"/>
        <v>9.739386906116728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139.6</v>
      </c>
      <c r="FF35" s="17">
        <f>FE35*VLOOKUP('Données projet'!$B$16,Paramètres!$A$1:$I$89,3,0)*VLOOKUP('Données projet'!$B$16,Paramètres!$A$1:$I$89,5,0)</f>
        <v>111.06576</v>
      </c>
      <c r="FG35" s="13">
        <f t="shared" si="47"/>
        <v>29.581944857062648</v>
      </c>
      <c r="FH35" s="20">
        <f t="shared" si="22"/>
        <v>244.96141929271744</v>
      </c>
      <c r="FI35" s="59">
        <f t="shared" si="23"/>
        <v>538.29475262605069</v>
      </c>
      <c r="FJ35" s="59">
        <f ca="1">AVERAGE(OFFSET($FI$3,0,0,'Données projet'!$E$16+1,1))-AVERAGE(OFFSET($H$3,0,0,'Données projet'!$E$16+1,1))</f>
        <v>299.10536994156814</v>
      </c>
      <c r="FK35" s="59">
        <f t="shared" si="48"/>
        <v>292.57799203101769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9.1686544641829144</v>
      </c>
      <c r="FS35" s="21">
        <f>EXP(-LN(2)/2)*FS34+(1-EXP(-LN(2)/2))/(LN(2)/2)*FM35*FP35*VLOOKUP('Données projet'!$B$16,Paramètres!$A$1:$I$89,3,0)*0.475*44/12</f>
        <v>3.1816784009400951</v>
      </c>
      <c r="FT35" s="22">
        <f t="shared" si="24"/>
        <v>12.35033286512301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3.7179487179487181</v>
      </c>
      <c r="FZ35" s="12">
        <f>IF('Données projet'!$A$244&gt;35,FZ34+FY35-GH34,IF(A35&lt;'Données projet'!$A$244,$FW$205^A35,IF(A35='Données projet'!$A$244,'Données projet'!$B$244,FZ34+FY35-GH34)))</f>
        <v>127.30769230769236</v>
      </c>
      <c r="GA35" s="17">
        <f>FZ35*VLOOKUP('Données projet'!$B$17,Paramètres!$A$1:$I$89,3,0)*VLOOKUP('Données projet'!$B$17,Paramètres!$A$1:$I$89,5,0)</f>
        <v>115.18800000000006</v>
      </c>
      <c r="GB35" s="13">
        <f t="shared" si="49"/>
        <v>30.550020086194078</v>
      </c>
      <c r="GC35" s="20">
        <f t="shared" si="25"/>
        <v>253.82705165012138</v>
      </c>
      <c r="GD35" s="59">
        <f t="shared" si="26"/>
        <v>547.16038498345472</v>
      </c>
      <c r="GE35" s="59">
        <f ca="1">AVERAGE(OFFSET($GD$3,0,0,'Données projet'!$E$17+1,1))-AVERAGE(OFFSET($H$3,0,0,'Données projet'!$E$17+1,1))</f>
        <v>204.78565758021779</v>
      </c>
      <c r="GF35" s="59">
        <f t="shared" si="50"/>
        <v>287.25131613242439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1.1027950248777272</v>
      </c>
      <c r="GM35" s="21">
        <f>EXP(-LN(2)/25)*GM34+(1-EXP(-LN(2)/25))/(LN(2)/25)*Calculateur!GH35*Calculateur!GJ35*VLOOKUP('Données projet'!$B$17,Paramètres!$A$1:$I$89,3,0)*0.475*44/12</f>
        <v>3.9487889572637291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5.0515839821414561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11.5</v>
      </c>
      <c r="GU35" s="12">
        <f>IF('Données projet'!$A$270&gt;35,GU34+GT35-HC34,IF(A35&lt;'Données projet'!$A$270,$GR$205^A35,IF(A35='Données projet'!$A$270,'Données projet'!$B$270,GU34+GT35-HC34)))</f>
        <v>130.49999999999994</v>
      </c>
      <c r="GV35" s="17">
        <f>GU35*VLOOKUP('Données projet'!$B$18,Paramètres!$A$1:$I$89,3,0)*VLOOKUP('Données projet'!$B$18,Paramètres!$A$1:$I$89,5,0)</f>
        <v>101.78999999999996</v>
      </c>
      <c r="GW35" s="13">
        <f t="shared" si="51"/>
        <v>27.38799903683508</v>
      </c>
      <c r="GX35" s="20">
        <f t="shared" si="28"/>
        <v>224.98501498915437</v>
      </c>
      <c r="GY35" s="59">
        <f t="shared" si="29"/>
        <v>518.31834832248774</v>
      </c>
      <c r="GZ35" s="59">
        <f ca="1">AVERAGE(OFFSET($GY$3,0,0,'Données projet'!$E$18+1,1))-AVERAGE(OFFSET($H$3,0,0,'Données projet'!$E$18+1,1))</f>
        <v>288.82868507674738</v>
      </c>
      <c r="HA35" s="59">
        <f t="shared" si="52"/>
        <v>283.48738729114024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3.2715368846836737</v>
      </c>
      <c r="HH35" s="21">
        <f>EXP(-LN(2)/25)*HH34+(1-EXP(-LN(2)/25))/(LN(2)/25)*Calculateur!HC35*Calculateur!HE35*VLOOKUP('Données projet'!$B$18,Paramètres!$A$1:$I$89,3,0)*0.475*44/12</f>
        <v>7.1138791987064511</v>
      </c>
      <c r="HI35" s="21">
        <f>EXP(-LN(2)/2)*HI34+(1-EXP(-LN(2)/2))/(LN(2)/2)*HC35*HF35*VLOOKUP('Données projet'!$B$18,Paramètres!$A$1:$I$89,3,0)*0.475*44/12</f>
        <v>5.1960423268391418</v>
      </c>
      <c r="HJ35" s="22">
        <f t="shared" si="30"/>
        <v>15.581458410229267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217.65</v>
      </c>
      <c r="L36" s="12">
        <f>VLOOKUP(A36,'Données projet'!$A$35:$I$55,9,0)</f>
        <v>16.621666666666666</v>
      </c>
      <c r="M36" s="12">
        <f t="array" ref="M36">INDEX(L:L,MIN(IF(ISNUMBER(L36:L232),ROW(L36:L232),"")))</f>
        <v>16.621666666666666</v>
      </c>
      <c r="N36" s="13">
        <f>IF('Données projet'!$A$36&gt;35,N35+M36-V35,IF(A36&lt;'Données projet'!$A$36,$K$205^A36,IF(A36='Données projet'!$A$36,'Données projet'!$B$36,N35+M36-V35)))</f>
        <v>217.65000000000003</v>
      </c>
      <c r="O36" s="13">
        <f>N36*VLOOKUP('Données projet'!$B$9,Paramètres!$A$1:$I$89,3,0)*VLOOKUP('Données projet'!$B$9,Paramètres!$A$1:$I$89,5,0)</f>
        <v>130.15470000000002</v>
      </c>
      <c r="P36" s="13">
        <f t="shared" si="33"/>
        <v>34.032103485601695</v>
      </c>
      <c r="Q36" s="20">
        <f t="shared" si="53"/>
        <v>285.95868273742298</v>
      </c>
      <c r="R36" s="59">
        <f t="shared" si="0"/>
        <v>579.29201607075629</v>
      </c>
      <c r="S36" s="59">
        <f ca="1">AVERAGE(OFFSET($R$3,0,0,'Données projet'!$E$9+1,1))-AVERAGE(OFFSET($H$3,0,0,'Données projet'!$E$9+1,1))</f>
        <v>349.71285006949597</v>
      </c>
      <c r="T36" s="59">
        <f t="shared" si="34"/>
        <v>258.51550516456842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50.460000000000008</v>
      </c>
      <c r="W36" s="16">
        <f>IF(ISNA(VLOOKUP(A36,'Données projet'!$A$35:$I$55,5,0)),0%,VLOOKUP(A36,'Données projet'!$A$35:$I$55,5,0)*VLOOKUP('Données projet'!$B$9,Paramètres!$A$1:$I$89,7,0))</f>
        <v>0.1125</v>
      </c>
      <c r="X36" s="16">
        <f>IF(ISNA(VLOOKUP(A36,'Données projet'!$A$35:$I$55,6,0)),0%,VLOOKUP(A36,'Données projet'!$A$35:$I$55,6,0)*VLOOKUP('Données projet'!$B$9,Paramètres!$A$1:$I$89,7,0))</f>
        <v>0.16650000000000001</v>
      </c>
      <c r="Y36" s="16">
        <f>IF(ISNA(VLOOKUP(A36,'Données projet'!$A$35:$I$55,7,0)),0%,VLOOKUP(A36,'Données projet'!$A$35:$I$55,7,0))</f>
        <v>0.38</v>
      </c>
      <c r="Z36" s="21">
        <f>EXP(-LN(2)/35)*Z35+(1-EXP(-LN(2)/35))/(LN(2)/35)*V36*W36*VLOOKUP('Données projet'!$B$9,Paramètres!$A$1:$I$89,3,0)*0.475*44/12</f>
        <v>11.285877104480107</v>
      </c>
      <c r="AA36" s="21">
        <f>EXP(-LN(2)/25)*AA35+(1-EXP(-LN(2)/25))/(LN(2)/25)*Calculateur!V36*Calculateur!X36*VLOOKUP('Données projet'!$B$9,Paramètres!$A$1:$I$89,3,0)*0.475*44/12</f>
        <v>15.967029985418133</v>
      </c>
      <c r="AB36" s="21">
        <f>EXP(-LN(2)/2)*AB35+(1-EXP(-LN(2)/2))/(LN(2)/2)*V36*Y36*VLOOKUP('Données projet'!$B$9,Paramètres!$A$1:$I$89,3,0)*0.475*44/12</f>
        <v>14.501806839279157</v>
      </c>
      <c r="AC36" s="22">
        <f t="shared" si="3"/>
        <v>41.754713929177399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4.016578947368421</v>
      </c>
      <c r="AI36" s="13">
        <f>IF('Données projet'!$A$62&gt;35,AI35+AH36-AQ35,IF(A36&lt;'Données projet'!$A$62,$AF$205^A36,IF(A36='Données projet'!$A$62,'Données projet'!$B$62,AI35+AH36-AQ35)))</f>
        <v>132.54710526315785</v>
      </c>
      <c r="AJ36" s="13">
        <f>AI36*VLOOKUP('Données projet'!$B$10,Paramètres!$A$1:$I$89,3,0)*VLOOKUP('Données projet'!$B$10,Paramètres!$A$1:$I$89,5,0)</f>
        <v>126.131825368421</v>
      </c>
      <c r="AK36" s="13">
        <f t="shared" si="35"/>
        <v>33.100972455620806</v>
      </c>
      <c r="AL36" s="20">
        <f t="shared" si="4"/>
        <v>277.33045621020614</v>
      </c>
      <c r="AM36" s="59">
        <f t="shared" si="5"/>
        <v>570.66378954353945</v>
      </c>
      <c r="AN36" s="59">
        <f ca="1">AVERAGE(OFFSET($AM$3,0,0,'Données projet'!$E$10+1,1))-AVERAGE(OFFSET($H$3,0,0,'Données projet'!$E$10+1,1))</f>
        <v>449.28947235329758</v>
      </c>
      <c r="AO36" s="59">
        <f t="shared" si="36"/>
        <v>289.36994109443964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122.24882057142865</v>
      </c>
      <c r="BF36" s="13">
        <f t="shared" si="37"/>
        <v>32.198931651835657</v>
      </c>
      <c r="BG36" s="20">
        <f t="shared" si="7"/>
        <v>268.99650178885196</v>
      </c>
      <c r="BH36" s="59">
        <f t="shared" si="8"/>
        <v>562.32983512218527</v>
      </c>
      <c r="BI36" s="59">
        <f ca="1">AVERAGE(OFFSET($BH$3,0,0,'Données projet'!$E$11+1,1))-AVERAGE(OFFSET($H$3,0,0,'Données projet'!$E$11+1,1))</f>
        <v>635.71275911100679</v>
      </c>
      <c r="BJ36" s="59">
        <f t="shared" si="38"/>
        <v>281.7776857269169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3.3603333333333336</v>
      </c>
      <c r="BY36" s="12">
        <f>IF('Données projet'!$A$114&gt;35,BY35+BX36-CG35,IF(A36&lt;'Données projet'!$A$114,$BV$205^A36,IF(A36='Données projet'!$A$114,'Données projet'!$B$114,BY35+BX36-CG35)))</f>
        <v>110.89099999999999</v>
      </c>
      <c r="BZ36" s="13">
        <f>BY36*VLOOKUP('Données projet'!$B$12,Paramètres!$A$1:$I$89,3,0)*VLOOKUP('Données projet'!$B$12,Paramètres!$A$1:$I$89,5,0)</f>
        <v>126.28267080000001</v>
      </c>
      <c r="CA36" s="13">
        <f t="shared" si="39"/>
        <v>33.135948744330882</v>
      </c>
      <c r="CB36" s="20">
        <f t="shared" si="10"/>
        <v>277.65409570637627</v>
      </c>
      <c r="CC36" s="59">
        <f t="shared" si="11"/>
        <v>570.98742903970958</v>
      </c>
      <c r="CD36" s="59">
        <f ca="1">AVERAGE(OFFSET($CC$3,0,0,'Données projet'!$E$12+1,1))-AVERAGE(OFFSET($H$3,0,0,'Données projet'!$E$12+1,1))</f>
        <v>593.28343396240075</v>
      </c>
      <c r="CE36" s="59">
        <f t="shared" si="40"/>
        <v>289.66477662068695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6.7948717948717929</v>
      </c>
      <c r="CT36" s="12">
        <f>IF('Données projet'!$A$140&gt;35,CT35+CS36-DB35,IF(A36&lt;'Données projet'!$A$140,$CQ$205^A36,IF(A36='Données projet'!$A$140,'Données projet'!$B$140,CT35+CS36-DB35)))</f>
        <v>101.15384615384615</v>
      </c>
      <c r="CU36" s="17">
        <f>CT36*VLOOKUP('Données projet'!$B$13,Paramètres!$A$1:$I$89,3,0)*VLOOKUP('Données projet'!$B$13,Paramètres!$A$1:$I$89,5,0)</f>
        <v>105.72600000000001</v>
      </c>
      <c r="CV36" s="13">
        <f t="shared" si="41"/>
        <v>28.321686081443879</v>
      </c>
      <c r="CW36" s="20">
        <f t="shared" si="13"/>
        <v>233.46638659184808</v>
      </c>
      <c r="CX36" s="59">
        <f t="shared" si="14"/>
        <v>526.79971992518142</v>
      </c>
      <c r="CY36" s="59">
        <f ca="1">AVERAGE(OFFSET($CX$3,0,0,'Données projet'!$E$13+1,1))-AVERAGE(OFFSET($H$3,0,0,'Données projet'!$E$13+1,1))</f>
        <v>260.65406541614402</v>
      </c>
      <c r="CZ36" s="59">
        <f t="shared" si="42"/>
        <v>277.63456890196886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15.632419712061642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15.632419712061642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5.512820512820511</v>
      </c>
      <c r="DO36" s="12">
        <f>IF('Données projet'!$A$166&gt;35,DO35+DN36-DW35,IF(A36&lt;'Données projet'!$A$166,$DL$205^A36,IF(A36='Données projet'!$A$166,'Données projet'!$B$166,DO35+DN36-DW35)))</f>
        <v>105</v>
      </c>
      <c r="DP36" s="17">
        <f>DO36*VLOOKUP('Données projet'!$B$14,Paramètres!$A$1:$I$89,3,0)*VLOOKUP('Données projet'!$B$14,Paramètres!$A$1:$I$89,5,0)</f>
        <v>68.796000000000006</v>
      </c>
      <c r="DQ36" s="13">
        <f t="shared" si="43"/>
        <v>19.374160697102734</v>
      </c>
      <c r="DR36" s="20">
        <f t="shared" si="16"/>
        <v>153.56302988078727</v>
      </c>
      <c r="DS36" s="59">
        <f t="shared" si="17"/>
        <v>446.89636321412058</v>
      </c>
      <c r="DT36" s="59">
        <f ca="1">AVERAGE(OFFSET($DS$3,0,0,'Données projet'!$E$14+1,1))-AVERAGE(OFFSET($H$3,0,0,'Données projet'!$E$14+1,1))</f>
        <v>181.4272795535777</v>
      </c>
      <c r="DU36" s="59">
        <f t="shared" si="44"/>
        <v>187.67131775419904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2.3822358540496338</v>
      </c>
      <c r="EC36" s="21">
        <f>EXP(-LN(2)/2)*EC35+(1-EXP(-LN(2)/2))/(LN(2)/2)*DW36*DZ36*VLOOKUP('Données projet'!$B$14,Paramètres!$A$1:$I$89,3,0)*0.475*44/12</f>
        <v>0.94739676613363555</v>
      </c>
      <c r="ED36" s="22">
        <f t="shared" si="18"/>
        <v>3.3296326201832693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5.1282051282051269</v>
      </c>
      <c r="EJ36" s="12">
        <f>IF('Données projet'!$A$192&gt;35,EJ35+EI36-ER35,IF(A36&lt;'Données projet'!$A$192,$EG$205^A36,IF(A36='Données projet'!$A$192,'Données projet'!$B$192,EJ35+EI36-ER35)))</f>
        <v>115.38461538461544</v>
      </c>
      <c r="EK36" s="17">
        <f>EJ36*VLOOKUP('Données projet'!$B$15,Paramètres!$A$1:$I$89,3,0)*VLOOKUP('Données projet'!$B$15,Paramètres!$A$1:$I$89,5,0)</f>
        <v>93.600000000000065</v>
      </c>
      <c r="EL36" s="13">
        <f t="shared" si="45"/>
        <v>25.431466524572961</v>
      </c>
      <c r="EM36" s="20">
        <f t="shared" si="19"/>
        <v>207.31313753029804</v>
      </c>
      <c r="EN36" s="59">
        <f t="shared" si="20"/>
        <v>500.64647086363135</v>
      </c>
      <c r="EO36" s="59">
        <f ca="1">AVERAGE(OFFSET($EN$3,0,0,'Données projet'!$E$15+1,1))-AVERAGE(OFFSET($H$3,0,0,'Données projet'!$E$15+1,1))</f>
        <v>159.68591355116837</v>
      </c>
      <c r="EP36" s="59">
        <f t="shared" si="46"/>
        <v>284.32631786390112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5.8204143115359894</v>
      </c>
      <c r="EX36" s="21">
        <f>EXP(-LN(2)/2)*EX35+(1-EXP(-LN(2)/2))/(LN(2)/2)*ER36*EU36*VLOOKUP('Données projet'!$B$15,Paramètres!$A$1:$I$89,3,0)*0.475*44/12</f>
        <v>2.6554253017190348</v>
      </c>
      <c r="EY36" s="22">
        <f t="shared" si="21"/>
        <v>8.4758396132550242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150.4</v>
      </c>
      <c r="FF36" s="17">
        <f>FE36*VLOOKUP('Données projet'!$B$16,Paramètres!$A$1:$I$89,3,0)*VLOOKUP('Données projet'!$B$16,Paramètres!$A$1:$I$89,5,0)</f>
        <v>119.65824000000002</v>
      </c>
      <c r="FG36" s="13">
        <f t="shared" si="47"/>
        <v>31.595276160231336</v>
      </c>
      <c r="FH36" s="20">
        <f t="shared" si="22"/>
        <v>263.43320731240294</v>
      </c>
      <c r="FI36" s="59">
        <f t="shared" si="23"/>
        <v>556.76654064573631</v>
      </c>
      <c r="FJ36" s="59">
        <f ca="1">AVERAGE(OFFSET($FI$3,0,0,'Données projet'!$E$16+1,1))-AVERAGE(OFFSET($H$3,0,0,'Données projet'!$E$16+1,1))</f>
        <v>299.10536994156814</v>
      </c>
      <c r="FK36" s="59">
        <f t="shared" si="48"/>
        <v>292.57799203101769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8.9179371257012487</v>
      </c>
      <c r="FS36" s="21">
        <f>EXP(-LN(2)/2)*FS35+(1-EXP(-LN(2)/2))/(LN(2)/2)*FM36*FP36*VLOOKUP('Données projet'!$B$16,Paramètres!$A$1:$I$89,3,0)*0.475*44/12</f>
        <v>2.2497863728595124</v>
      </c>
      <c r="FT36" s="22">
        <f t="shared" si="24"/>
        <v>11.167723498560761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3.7179487179487181</v>
      </c>
      <c r="FZ36" s="12">
        <f>IF('Données projet'!$A$244&gt;35,FZ35+FY36-GH35,IF(A36&lt;'Données projet'!$A$244,$FW$205^A36,IF(A36='Données projet'!$A$244,'Données projet'!$B$244,FZ35+FY36-GH35)))</f>
        <v>131.02564102564108</v>
      </c>
      <c r="GA36" s="17">
        <f>FZ36*VLOOKUP('Données projet'!$B$17,Paramètres!$A$1:$I$89,3,0)*VLOOKUP('Données projet'!$B$17,Paramètres!$A$1:$I$89,5,0)</f>
        <v>118.55200000000005</v>
      </c>
      <c r="GB36" s="13">
        <f t="shared" si="49"/>
        <v>31.337038825554682</v>
      </c>
      <c r="GC36" s="20">
        <f t="shared" si="25"/>
        <v>261.05674262117452</v>
      </c>
      <c r="GD36" s="59">
        <f t="shared" si="26"/>
        <v>554.39007595450789</v>
      </c>
      <c r="GE36" s="59">
        <f ca="1">AVERAGE(OFFSET($GD$3,0,0,'Données projet'!$E$17+1,1))-AVERAGE(OFFSET($H$3,0,0,'Données projet'!$E$17+1,1))</f>
        <v>204.78565758021779</v>
      </c>
      <c r="GF36" s="59">
        <f t="shared" si="50"/>
        <v>287.25131613242439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1.0811698870784225</v>
      </c>
      <c r="GM36" s="21">
        <f>EXP(-LN(2)/25)*GM35+(1-EXP(-LN(2)/25))/(LN(2)/25)*Calculateur!GH36*Calculateur!GJ36*VLOOKUP('Données projet'!$B$17,Paramètres!$A$1:$I$89,3,0)*0.475*44/12</f>
        <v>3.8408091155695665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4.9219790026479888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11.5</v>
      </c>
      <c r="GU36" s="12">
        <f>IF('Données projet'!$A$270&gt;35,GU35+GT36-HC35,IF(A36&lt;'Données projet'!$A$270,$GR$205^A36,IF(A36='Données projet'!$A$270,'Données projet'!$B$270,GU35+GT36-HC35)))</f>
        <v>141.99999999999994</v>
      </c>
      <c r="GV36" s="17">
        <f>GU36*VLOOKUP('Données projet'!$B$18,Paramètres!$A$1:$I$89,3,0)*VLOOKUP('Données projet'!$B$18,Paramètres!$A$1:$I$89,5,0)</f>
        <v>110.75999999999996</v>
      </c>
      <c r="GW36" s="13">
        <f t="shared" si="51"/>
        <v>29.509974682362923</v>
      </c>
      <c r="GX36" s="20">
        <f t="shared" si="28"/>
        <v>244.30353923844871</v>
      </c>
      <c r="GY36" s="59">
        <f t="shared" si="29"/>
        <v>537.63687257178208</v>
      </c>
      <c r="GZ36" s="59">
        <f ca="1">AVERAGE(OFFSET($GY$3,0,0,'Données projet'!$E$18+1,1))-AVERAGE(OFFSET($H$3,0,0,'Données projet'!$E$18+1,1))</f>
        <v>288.82868507674738</v>
      </c>
      <c r="HA36" s="59">
        <f t="shared" si="52"/>
        <v>283.48738729114024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3.2073840418154931</v>
      </c>
      <c r="HH36" s="21">
        <f>EXP(-LN(2)/25)*HH35+(1-EXP(-LN(2)/25))/(LN(2)/25)*Calculateur!HC36*Calculateur!HE36*VLOOKUP('Données projet'!$B$18,Paramètres!$A$1:$I$89,3,0)*0.475*44/12</f>
        <v>6.9193497979151752</v>
      </c>
      <c r="HI36" s="21">
        <f>EXP(-LN(2)/2)*HI35+(1-EXP(-LN(2)/2))/(LN(2)/2)*HC36*HF36*VLOOKUP('Données projet'!$B$18,Paramètres!$A$1:$I$89,3,0)*0.475*44/12</f>
        <v>3.6741567646402844</v>
      </c>
      <c r="HJ36" s="22">
        <f t="shared" si="30"/>
        <v>13.800890604370952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16.693750000000001</v>
      </c>
      <c r="N37" s="13">
        <f>IF('Données projet'!$A$36&gt;35,N36+M37-V36,IF(A37&lt;'Données projet'!$A$36,$K$205^A37,IF(A37='Données projet'!$A$36,'Données projet'!$B$36,N36+M37-V36)))</f>
        <v>183.88375000000002</v>
      </c>
      <c r="O37" s="13">
        <f>N37*VLOOKUP('Données projet'!$B$9,Paramètres!$A$1:$I$89,3,0)*VLOOKUP('Données projet'!$B$9,Paramètres!$A$1:$I$89,5,0)</f>
        <v>109.96248250000002</v>
      </c>
      <c r="P37" s="13">
        <f t="shared" si="33"/>
        <v>29.322144981447174</v>
      </c>
      <c r="Q37" s="20">
        <f t="shared" si="53"/>
        <v>242.58739286352048</v>
      </c>
      <c r="R37" s="59">
        <f t="shared" si="0"/>
        <v>535.92072619685382</v>
      </c>
      <c r="S37" s="59">
        <f ca="1">AVERAGE(OFFSET($R$3,0,0,'Données projet'!$E$9+1,1))-AVERAGE(OFFSET($H$3,0,0,'Données projet'!$E$9+1,1))</f>
        <v>349.71285006949597</v>
      </c>
      <c r="T37" s="59">
        <f t="shared" si="34"/>
        <v>258.51550516456842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11.064567938166578</v>
      </c>
      <c r="AA37" s="21">
        <f>EXP(-LN(2)/25)*AA36+(1-EXP(-LN(2)/25))/(LN(2)/25)*Calculateur!V37*Calculateur!X37*VLOOKUP('Données projet'!$B$9,Paramètres!$A$1:$I$89,3,0)*0.475*44/12</f>
        <v>15.530410710797261</v>
      </c>
      <c r="AB37" s="21">
        <f>EXP(-LN(2)/2)*AB36+(1-EXP(-LN(2)/2))/(LN(2)/2)*V37*Y37*VLOOKUP('Données projet'!$B$9,Paramètres!$A$1:$I$89,3,0)*0.475*44/12</f>
        <v>10.254325955511746</v>
      </c>
      <c r="AC37" s="22">
        <f t="shared" si="3"/>
        <v>36.849304604475584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4.016578947368421</v>
      </c>
      <c r="AI37" s="13">
        <f>IF('Données projet'!$A$62&gt;35,AI36+AH37-AQ36,IF(A37&lt;'Données projet'!$A$62,$AF$205^A37,IF(A37='Données projet'!$A$62,'Données projet'!$B$62,AI36+AH37-AQ36)))</f>
        <v>136.56368421052628</v>
      </c>
      <c r="AJ37" s="13">
        <f>AI37*VLOOKUP('Données projet'!$B$10,Paramètres!$A$1:$I$89,3,0)*VLOOKUP('Données projet'!$B$10,Paramètres!$A$1:$I$89,5,0)</f>
        <v>129.95400189473682</v>
      </c>
      <c r="AK37" s="13">
        <f t="shared" si="35"/>
        <v>33.985730301853138</v>
      </c>
      <c r="AL37" s="20">
        <f t="shared" si="4"/>
        <v>285.52836690906082</v>
      </c>
      <c r="AM37" s="59">
        <f t="shared" si="5"/>
        <v>578.86170024239414</v>
      </c>
      <c r="AN37" s="59">
        <f ca="1">AVERAGE(OFFSET($AM$3,0,0,'Données projet'!$E$10+1,1))-AVERAGE(OFFSET($H$3,0,0,'Données projet'!$E$10+1,1))</f>
        <v>449.28947235329758</v>
      </c>
      <c r="AO37" s="59">
        <f t="shared" si="36"/>
        <v>289.36994109443964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125.95333028571436</v>
      </c>
      <c r="BF37" s="13">
        <f t="shared" si="37"/>
        <v>33.059578796189285</v>
      </c>
      <c r="BG37" s="20">
        <f t="shared" si="7"/>
        <v>276.94748331764885</v>
      </c>
      <c r="BH37" s="59">
        <f t="shared" si="8"/>
        <v>570.28081665098216</v>
      </c>
      <c r="BI37" s="59">
        <f ca="1">AVERAGE(OFFSET($BH$3,0,0,'Données projet'!$E$11+1,1))-AVERAGE(OFFSET($H$3,0,0,'Données projet'!$E$11+1,1))</f>
        <v>635.71275911100679</v>
      </c>
      <c r="BJ37" s="59">
        <f t="shared" si="38"/>
        <v>281.7776857269169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3.3603333333333336</v>
      </c>
      <c r="BY37" s="12">
        <f>IF('Données projet'!$A$114&gt;35,BY36+BX37-CG36,IF(A37&lt;'Données projet'!$A$114,$BV$205^A37,IF(A37='Données projet'!$A$114,'Données projet'!$B$114,BY36+BX37-CG36)))</f>
        <v>114.25133333333332</v>
      </c>
      <c r="BZ37" s="13">
        <f>BY37*VLOOKUP('Données projet'!$B$12,Paramètres!$A$1:$I$89,3,0)*VLOOKUP('Données projet'!$B$12,Paramètres!$A$1:$I$89,5,0)</f>
        <v>130.10941839999998</v>
      </c>
      <c r="CA37" s="13">
        <f t="shared" si="39"/>
        <v>34.021641473848256</v>
      </c>
      <c r="CB37" s="20">
        <f t="shared" si="10"/>
        <v>285.86159594695238</v>
      </c>
      <c r="CC37" s="59">
        <f t="shared" si="11"/>
        <v>579.19492928028569</v>
      </c>
      <c r="CD37" s="59">
        <f ca="1">AVERAGE(OFFSET($CC$3,0,0,'Données projet'!$E$12+1,1))-AVERAGE(OFFSET($H$3,0,0,'Données projet'!$E$12+1,1))</f>
        <v>593.28343396240075</v>
      </c>
      <c r="CE37" s="59">
        <f t="shared" si="40"/>
        <v>289.66477662068695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6.7948717948717929</v>
      </c>
      <c r="CT37" s="12">
        <f>IF('Données projet'!$A$140&gt;35,CT36+CS37-DB36,IF(A37&lt;'Données projet'!$A$140,$CQ$205^A37,IF(A37='Données projet'!$A$140,'Données projet'!$B$140,CT36+CS37-DB36)))</f>
        <v>107.94871794871794</v>
      </c>
      <c r="CU37" s="17">
        <f>CT37*VLOOKUP('Données projet'!$B$13,Paramètres!$A$1:$I$89,3,0)*VLOOKUP('Données projet'!$B$13,Paramètres!$A$1:$I$89,5,0)</f>
        <v>112.82799999999999</v>
      </c>
      <c r="CV37" s="13">
        <f t="shared" si="41"/>
        <v>29.996295878205338</v>
      </c>
      <c r="CW37" s="20">
        <f t="shared" si="13"/>
        <v>248.75231532120759</v>
      </c>
      <c r="CX37" s="59">
        <f t="shared" si="14"/>
        <v>542.08564865454093</v>
      </c>
      <c r="CY37" s="59">
        <f ca="1">AVERAGE(OFFSET($CX$3,0,0,'Données projet'!$E$13+1,1))-AVERAGE(OFFSET($H$3,0,0,'Données projet'!$E$13+1,1))</f>
        <v>260.65406541614402</v>
      </c>
      <c r="CZ37" s="59">
        <f t="shared" si="42"/>
        <v>277.63456890196886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15.204950372962092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15.204950372962092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5.512820512820511</v>
      </c>
      <c r="DO37" s="12">
        <f>IF('Données projet'!$A$166&gt;35,DO36+DN37-DW36,IF(A37&lt;'Données projet'!$A$166,$DL$205^A37,IF(A37='Données projet'!$A$166,'Données projet'!$B$166,DO36+DN37-DW36)))</f>
        <v>110.51282051282051</v>
      </c>
      <c r="DP37" s="17">
        <f>DO37*VLOOKUP('Données projet'!$B$14,Paramètres!$A$1:$I$89,3,0)*VLOOKUP('Données projet'!$B$14,Paramètres!$A$1:$I$89,5,0)</f>
        <v>72.408000000000001</v>
      </c>
      <c r="DQ37" s="13">
        <f t="shared" si="43"/>
        <v>20.270266666655246</v>
      </c>
      <c r="DR37" s="20">
        <f t="shared" si="16"/>
        <v>161.41464777775786</v>
      </c>
      <c r="DS37" s="59">
        <f t="shared" si="17"/>
        <v>454.74798111109118</v>
      </c>
      <c r="DT37" s="59">
        <f ca="1">AVERAGE(OFFSET($DS$3,0,0,'Données projet'!$E$14+1,1))-AVERAGE(OFFSET($H$3,0,0,'Données projet'!$E$14+1,1))</f>
        <v>181.4272795535777</v>
      </c>
      <c r="DU37" s="59">
        <f t="shared" si="44"/>
        <v>187.67131775419904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2.3170934893443076</v>
      </c>
      <c r="EC37" s="21">
        <f>EXP(-LN(2)/2)*EC36+(1-EXP(-LN(2)/2))/(LN(2)/2)*DW37*DZ37*VLOOKUP('Données projet'!$B$14,Paramètres!$A$1:$I$89,3,0)*0.475*44/12</f>
        <v>0.6699106778072994</v>
      </c>
      <c r="ED37" s="22">
        <f t="shared" si="18"/>
        <v>2.987004167151607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5.1282051282051269</v>
      </c>
      <c r="EJ37" s="12">
        <f>IF('Données projet'!$A$192&gt;35,EJ36+EI37-ER36,IF(A37&lt;'Données projet'!$A$192,$EG$205^A37,IF(A37='Données projet'!$A$192,'Données projet'!$B$192,EJ36+EI37-ER36)))</f>
        <v>120.51282051282057</v>
      </c>
      <c r="EK37" s="17">
        <f>EJ37*VLOOKUP('Données projet'!$B$15,Paramètres!$A$1:$I$89,3,0)*VLOOKUP('Données projet'!$B$15,Paramètres!$A$1:$I$89,5,0)</f>
        <v>97.760000000000062</v>
      </c>
      <c r="EL37" s="13">
        <f t="shared" si="45"/>
        <v>26.427646860544989</v>
      </c>
      <c r="EM37" s="20">
        <f t="shared" si="19"/>
        <v>216.29348494878261</v>
      </c>
      <c r="EN37" s="59">
        <f t="shared" si="20"/>
        <v>509.62681828211589</v>
      </c>
      <c r="EO37" s="59">
        <f ca="1">AVERAGE(OFFSET($EN$3,0,0,'Données projet'!$E$15+1,1))-AVERAGE(OFFSET($H$3,0,0,'Données projet'!$E$15+1,1))</f>
        <v>159.68591355116837</v>
      </c>
      <c r="EP37" s="59">
        <f t="shared" si="46"/>
        <v>284.32631786390112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5.6612547761047516</v>
      </c>
      <c r="EX37" s="21">
        <f>EXP(-LN(2)/2)*EX36+(1-EXP(-LN(2)/2))/(LN(2)/2)*ER37*EU37*VLOOKUP('Données projet'!$B$15,Paramètres!$A$1:$I$89,3,0)*0.475*44/12</f>
        <v>1.8776692377798636</v>
      </c>
      <c r="EY37" s="22">
        <f t="shared" si="21"/>
        <v>7.538924013884615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161.20000000000002</v>
      </c>
      <c r="FF37" s="17">
        <f>FE37*VLOOKUP('Données projet'!$B$16,Paramètres!$A$1:$I$89,3,0)*VLOOKUP('Données projet'!$B$16,Paramètres!$A$1:$I$89,5,0)</f>
        <v>128.25072</v>
      </c>
      <c r="FG37" s="13">
        <f t="shared" si="47"/>
        <v>33.591833937449593</v>
      </c>
      <c r="FH37" s="20">
        <f t="shared" si="22"/>
        <v>281.875781441058</v>
      </c>
      <c r="FI37" s="59">
        <f t="shared" si="23"/>
        <v>575.20911477439131</v>
      </c>
      <c r="FJ37" s="59">
        <f ca="1">AVERAGE(OFFSET($FI$3,0,0,'Données projet'!$E$16+1,1))-AVERAGE(OFFSET($H$3,0,0,'Données projet'!$E$16+1,1))</f>
        <v>299.10536994156814</v>
      </c>
      <c r="FK37" s="59">
        <f t="shared" si="48"/>
        <v>292.57799203101769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8.6740756660250167</v>
      </c>
      <c r="FS37" s="21">
        <f>EXP(-LN(2)/2)*FS36+(1-EXP(-LN(2)/2))/(LN(2)/2)*FM37*FP37*VLOOKUP('Données projet'!$B$16,Paramètres!$A$1:$I$89,3,0)*0.475*44/12</f>
        <v>1.5908392004700478</v>
      </c>
      <c r="FT37" s="22">
        <f t="shared" si="24"/>
        <v>10.264914866495065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3.7179487179487181</v>
      </c>
      <c r="FZ37" s="12">
        <f>IF('Données projet'!$A$244&gt;35,FZ36+FY37-GH36,IF(A37&lt;'Données projet'!$A$244,$FW$205^A37,IF(A37='Données projet'!$A$244,'Données projet'!$B$244,FZ36+FY37-GH36)))</f>
        <v>134.74358974358981</v>
      </c>
      <c r="GA37" s="17">
        <f>FZ37*VLOOKUP('Données projet'!$B$17,Paramètres!$A$1:$I$89,3,0)*VLOOKUP('Données projet'!$B$17,Paramètres!$A$1:$I$89,5,0)</f>
        <v>121.91600000000005</v>
      </c>
      <c r="GB37" s="13">
        <f t="shared" si="49"/>
        <v>32.121462013015105</v>
      </c>
      <c r="GC37" s="20">
        <f t="shared" si="25"/>
        <v>268.28191300600139</v>
      </c>
      <c r="GD37" s="59">
        <f t="shared" si="26"/>
        <v>561.6152463393347</v>
      </c>
      <c r="GE37" s="59">
        <f ca="1">AVERAGE(OFFSET($GD$3,0,0,'Données projet'!$E$17+1,1))-AVERAGE(OFFSET($H$3,0,0,'Données projet'!$E$17+1,1))</f>
        <v>204.78565758021779</v>
      </c>
      <c r="GF37" s="59">
        <f t="shared" si="50"/>
        <v>287.25131613242439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1.0599688050413307</v>
      </c>
      <c r="GM37" s="21">
        <f>EXP(-LN(2)/25)*GM36+(1-EXP(-LN(2)/25))/(LN(2)/25)*Calculateur!GH37*Calculateur!GJ37*VLOOKUP('Données projet'!$B$17,Paramètres!$A$1:$I$89,3,0)*0.475*44/12</f>
        <v>3.7357819883249435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4.795750793366274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11.5</v>
      </c>
      <c r="GU37" s="12">
        <f>IF('Données projet'!$A$270&gt;35,GU36+GT37-HC36,IF(A37&lt;'Données projet'!$A$270,$GR$205^A37,IF(A37='Données projet'!$A$270,'Données projet'!$B$270,GU36+GT37-HC36)))</f>
        <v>153.49999999999994</v>
      </c>
      <c r="GV37" s="17">
        <f>GU37*VLOOKUP('Données projet'!$B$18,Paramètres!$A$1:$I$89,3,0)*VLOOKUP('Données projet'!$B$18,Paramètres!$A$1:$I$89,5,0)</f>
        <v>119.72999999999996</v>
      </c>
      <c r="GW37" s="13">
        <f t="shared" si="51"/>
        <v>31.612017974790529</v>
      </c>
      <c r="GX37" s="20">
        <f t="shared" si="28"/>
        <v>263.58734797276003</v>
      </c>
      <c r="GY37" s="59">
        <f t="shared" si="29"/>
        <v>556.92068130609334</v>
      </c>
      <c r="GZ37" s="59">
        <f ca="1">AVERAGE(OFFSET($GY$3,0,0,'Données projet'!$E$18+1,1))-AVERAGE(OFFSET($H$3,0,0,'Données projet'!$E$18+1,1))</f>
        <v>288.82868507674738</v>
      </c>
      <c r="HA37" s="59">
        <f t="shared" si="52"/>
        <v>283.48738729114024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3.1444891970665871</v>
      </c>
      <c r="HH37" s="21">
        <f>EXP(-LN(2)/25)*HH36+(1-EXP(-LN(2)/25))/(LN(2)/25)*Calculateur!HC37*Calculateur!HE37*VLOOKUP('Données projet'!$B$18,Paramètres!$A$1:$I$89,3,0)*0.475*44/12</f>
        <v>6.7301398138183934</v>
      </c>
      <c r="HI37" s="21">
        <f>EXP(-LN(2)/2)*HI36+(1-EXP(-LN(2)/2))/(LN(2)/2)*HC37*HF37*VLOOKUP('Données projet'!$B$18,Paramètres!$A$1:$I$89,3,0)*0.475*44/12</f>
        <v>2.5980211634195713</v>
      </c>
      <c r="HJ37" s="22">
        <f t="shared" si="30"/>
        <v>12.472650174304551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16.693750000000001</v>
      </c>
      <c r="N38" s="13">
        <f>IF('Données projet'!$A$36&gt;35,N37+M38-V37,IF(A38&lt;'Données projet'!$A$36,$K$205^A38,IF(A38='Données projet'!$A$36,'Données projet'!$B$36,N37+M38-V37)))</f>
        <v>200.57750000000001</v>
      </c>
      <c r="O38" s="13">
        <f>N38*VLOOKUP('Données projet'!$B$9,Paramètres!$A$1:$I$89,3,0)*VLOOKUP('Données projet'!$B$9,Paramètres!$A$1:$I$89,5,0)</f>
        <v>119.94534500000002</v>
      </c>
      <c r="P38" s="13">
        <f t="shared" si="33"/>
        <v>31.662251574949313</v>
      </c>
      <c r="Q38" s="20">
        <f t="shared" si="53"/>
        <v>264.04989736803674</v>
      </c>
      <c r="R38" s="59">
        <f t="shared" si="0"/>
        <v>557.38323070137005</v>
      </c>
      <c r="S38" s="59">
        <f ca="1">AVERAGE(OFFSET($R$3,0,0,'Données projet'!$E$9+1,1))-AVERAGE(OFFSET($H$3,0,0,'Données projet'!$E$9+1,1))</f>
        <v>349.71285006949597</v>
      </c>
      <c r="T38" s="59">
        <f t="shared" si="34"/>
        <v>258.51550516456842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10.847598509619193</v>
      </c>
      <c r="AA38" s="21">
        <f>EXP(-LN(2)/25)*AA37+(1-EXP(-LN(2)/25))/(LN(2)/25)*Calculateur!V38*Calculateur!X38*VLOOKUP('Données projet'!$B$9,Paramètres!$A$1:$I$89,3,0)*0.475*44/12</f>
        <v>15.105730813201706</v>
      </c>
      <c r="AB38" s="21">
        <f>EXP(-LN(2)/2)*AB37+(1-EXP(-LN(2)/2))/(LN(2)/2)*V38*Y38*VLOOKUP('Données projet'!$B$9,Paramètres!$A$1:$I$89,3,0)*0.475*44/12</f>
        <v>7.2509034196395792</v>
      </c>
      <c r="AC38" s="22">
        <f t="shared" si="3"/>
        <v>33.204232742460476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4.016578947368421</v>
      </c>
      <c r="AI38" s="13">
        <f>IF('Données projet'!$A$62&gt;35,AI37+AH38-AQ37,IF(A38&lt;'Données projet'!$A$62,$AF$205^A38,IF(A38='Données projet'!$A$62,'Données projet'!$B$62,AI37+AH38-AQ37)))</f>
        <v>140.58026315789471</v>
      </c>
      <c r="AJ38" s="13">
        <f>AI38*VLOOKUP('Données projet'!$B$10,Paramètres!$A$1:$I$89,3,0)*VLOOKUP('Données projet'!$B$10,Paramètres!$A$1:$I$89,5,0)</f>
        <v>133.77617842105261</v>
      </c>
      <c r="AK38" s="13">
        <f t="shared" si="35"/>
        <v>34.867463871880652</v>
      </c>
      <c r="AL38" s="20">
        <f t="shared" si="4"/>
        <v>293.72101032685873</v>
      </c>
      <c r="AM38" s="59">
        <f t="shared" si="5"/>
        <v>587.05434366019199</v>
      </c>
      <c r="AN38" s="59">
        <f ca="1">AVERAGE(OFFSET($AM$3,0,0,'Données projet'!$E$10+1,1))-AVERAGE(OFFSET($H$3,0,0,'Données projet'!$E$10+1,1))</f>
        <v>449.28947235329758</v>
      </c>
      <c r="AO38" s="59">
        <f t="shared" si="36"/>
        <v>289.36994109443964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129.65784000000008</v>
      </c>
      <c r="BF38" s="13">
        <f t="shared" si="37"/>
        <v>33.917284079455818</v>
      </c>
      <c r="BG38" s="20">
        <f t="shared" si="7"/>
        <v>284.89334110505234</v>
      </c>
      <c r="BH38" s="59">
        <f t="shared" si="8"/>
        <v>578.22667443838566</v>
      </c>
      <c r="BI38" s="59">
        <f ca="1">AVERAGE(OFFSET($BH$3,0,0,'Données projet'!$E$11+1,1))-AVERAGE(OFFSET($H$3,0,0,'Données projet'!$E$11+1,1))</f>
        <v>635.71275911100679</v>
      </c>
      <c r="BJ38" s="59">
        <f t="shared" si="38"/>
        <v>281.7776857269169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3.3603333333333336</v>
      </c>
      <c r="BY38" s="12">
        <f>IF('Données projet'!$A$114&gt;35,BY37+BX38-CG37,IF(A38&lt;'Données projet'!$A$114,$BV$205^A38,IF(A38='Données projet'!$A$114,'Données projet'!$B$114,BY37+BX38-CG37)))</f>
        <v>117.61166666666665</v>
      </c>
      <c r="BZ38" s="13">
        <f>BY38*VLOOKUP('Données projet'!$B$12,Paramètres!$A$1:$I$89,3,0)*VLOOKUP('Données projet'!$B$12,Paramètres!$A$1:$I$89,5,0)</f>
        <v>133.93616599999999</v>
      </c>
      <c r="CA38" s="13">
        <f t="shared" si="39"/>
        <v>34.904306731546029</v>
      </c>
      <c r="CB38" s="20">
        <f t="shared" si="10"/>
        <v>294.06382334077597</v>
      </c>
      <c r="CC38" s="59">
        <f t="shared" si="11"/>
        <v>587.39715667410928</v>
      </c>
      <c r="CD38" s="59">
        <f ca="1">AVERAGE(OFFSET($CC$3,0,0,'Données projet'!$E$12+1,1))-AVERAGE(OFFSET($H$3,0,0,'Données projet'!$E$12+1,1))</f>
        <v>593.28343396240075</v>
      </c>
      <c r="CE38" s="59">
        <f t="shared" si="40"/>
        <v>289.66477662068695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114.74358974358974</v>
      </c>
      <c r="CR38" s="12">
        <f>VLOOKUP(A38,'Données projet'!$A$139:$I$159,9,0)</f>
        <v>6.7948717948717929</v>
      </c>
      <c r="CS38" s="12">
        <f t="array" ref="CS38">INDEX(CR:CR,MIN(IF(ISNUMBER(CR38:CR234),ROW(CR38:CR234),"")))</f>
        <v>6.7948717948717929</v>
      </c>
      <c r="CT38" s="12">
        <f>IF('Données projet'!$A$140&gt;35,CT37+CS38-DB37,IF(A38&lt;'Données projet'!$A$140,$CQ$205^A38,IF(A38='Données projet'!$A$140,'Données projet'!$B$140,CT37+CS38-DB37)))</f>
        <v>114.74358974358974</v>
      </c>
      <c r="CU38" s="17">
        <f>CT38*VLOOKUP('Données projet'!$B$13,Paramètres!$A$1:$I$89,3,0)*VLOOKUP('Données projet'!$B$13,Paramètres!$A$1:$I$89,5,0)</f>
        <v>119.92999999999999</v>
      </c>
      <c r="CV38" s="13">
        <f t="shared" si="41"/>
        <v>31.658672389253589</v>
      </c>
      <c r="CW38" s="20">
        <f t="shared" si="13"/>
        <v>264.01693774461665</v>
      </c>
      <c r="CX38" s="59">
        <f t="shared" si="14"/>
        <v>557.35027107794997</v>
      </c>
      <c r="CY38" s="59">
        <f ca="1">AVERAGE(OFFSET($CX$3,0,0,'Données projet'!$E$13+1,1))-AVERAGE(OFFSET($H$3,0,0,'Données projet'!$E$13+1,1))</f>
        <v>260.65406541614402</v>
      </c>
      <c r="CZ38" s="59">
        <f t="shared" si="42"/>
        <v>277.63456890196886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23.076923076923077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0.215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20.499346485219284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20.499346485219284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116.02564102564102</v>
      </c>
      <c r="DM38" s="12">
        <f>VLOOKUP(A38,'Données projet'!$A$165:$I$185,9,0)</f>
        <v>5.512820512820511</v>
      </c>
      <c r="DN38" s="12">
        <f t="array" ref="DN38">INDEX(DM:DM,MIN(IF(ISNUMBER(DM38:DM234),ROW(DM38:DM234),"")))</f>
        <v>5.512820512820511</v>
      </c>
      <c r="DO38" s="12">
        <f>IF('Données projet'!$A$166&gt;35,DO37+DN38-DW37,IF(A38&lt;'Données projet'!$A$166,$DL$205^A38,IF(A38='Données projet'!$A$166,'Données projet'!$B$166,DO37+DN38-DW37)))</f>
        <v>116.02564102564102</v>
      </c>
      <c r="DP38" s="17">
        <f>DO38*VLOOKUP('Données projet'!$B$14,Paramètres!$A$1:$I$89,3,0)*VLOOKUP('Données projet'!$B$14,Paramètres!$A$1:$I$89,5,0)</f>
        <v>76.02</v>
      </c>
      <c r="DQ38" s="13">
        <f t="shared" si="43"/>
        <v>21.161182204399836</v>
      </c>
      <c r="DR38" s="20">
        <f t="shared" si="16"/>
        <v>169.25722567266303</v>
      </c>
      <c r="DS38" s="59">
        <f t="shared" si="17"/>
        <v>462.59055900599634</v>
      </c>
      <c r="DT38" s="59">
        <f ca="1">AVERAGE(OFFSET($DS$3,0,0,'Données projet'!$E$14+1,1))-AVERAGE(OFFSET($H$3,0,0,'Données projet'!$E$14+1,1))</f>
        <v>181.4272795535777</v>
      </c>
      <c r="DU38" s="59">
        <f t="shared" si="44"/>
        <v>187.67131775419904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16.025641025641026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0.1075</v>
      </c>
      <c r="DZ38" s="16">
        <f>IF(ISNA(VLOOKUP(A38,'Données projet'!$A$165:$I$185,7,0)),0%,VLOOKUP(A38,'Données projet'!$A$165:$I$185,7,0))</f>
        <v>0.25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3.4966190740933323</v>
      </c>
      <c r="EC38" s="21">
        <f>EXP(-LN(2)/2)*EC37+(1-EXP(-LN(2)/2))/(LN(2)/2)*DW38*DZ38*VLOOKUP('Données projet'!$B$14,Paramètres!$A$1:$I$89,3,0)*0.475*44/12</f>
        <v>2.9504565339059616</v>
      </c>
      <c r="ED38" s="22">
        <f t="shared" si="18"/>
        <v>6.4470756079992935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5.1282051282051269</v>
      </c>
      <c r="EJ38" s="12">
        <f>IF('Données projet'!$A$192&gt;35,EJ37+EI38-ER37,IF(A38&lt;'Données projet'!$A$192,$EG$205^A38,IF(A38='Données projet'!$A$192,'Données projet'!$B$192,EJ37+EI38-ER37)))</f>
        <v>125.64102564102569</v>
      </c>
      <c r="EK38" s="17">
        <f>EJ38*VLOOKUP('Données projet'!$B$15,Paramètres!$A$1:$I$89,3,0)*VLOOKUP('Données projet'!$B$15,Paramètres!$A$1:$I$89,5,0)</f>
        <v>101.92000000000004</v>
      </c>
      <c r="EL38" s="13">
        <f t="shared" si="45"/>
        <v>27.418903555387669</v>
      </c>
      <c r="EM38" s="20">
        <f t="shared" si="19"/>
        <v>225.26525702563356</v>
      </c>
      <c r="EN38" s="59">
        <f t="shared" si="20"/>
        <v>518.59859035896693</v>
      </c>
      <c r="EO38" s="59">
        <f ca="1">AVERAGE(OFFSET($EN$3,0,0,'Données projet'!$E$15+1,1))-AVERAGE(OFFSET($H$3,0,0,'Données projet'!$E$15+1,1))</f>
        <v>159.68591355116837</v>
      </c>
      <c r="EP38" s="59">
        <f t="shared" si="46"/>
        <v>284.32631786390112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5.5064474665397176</v>
      </c>
      <c r="EX38" s="21">
        <f>EXP(-LN(2)/2)*EX37+(1-EXP(-LN(2)/2))/(LN(2)/2)*ER38*EU38*VLOOKUP('Données projet'!$B$15,Paramètres!$A$1:$I$89,3,0)*0.475*44/12</f>
        <v>1.3277126508595176</v>
      </c>
      <c r="EY38" s="22">
        <f t="shared" si="21"/>
        <v>6.834160117399235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172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172.00000000000003</v>
      </c>
      <c r="FF38" s="17">
        <f>FE38*VLOOKUP('Données projet'!$B$16,Paramètres!$A$1:$I$89,3,0)*VLOOKUP('Données projet'!$B$16,Paramètres!$A$1:$I$89,5,0)</f>
        <v>136.84320000000002</v>
      </c>
      <c r="FG38" s="13">
        <f t="shared" si="47"/>
        <v>35.572869837729648</v>
      </c>
      <c r="FH38" s="20">
        <f t="shared" si="22"/>
        <v>300.2913216340458</v>
      </c>
      <c r="FI38" s="59">
        <f t="shared" si="23"/>
        <v>593.62465496737912</v>
      </c>
      <c r="FJ38" s="59">
        <f ca="1">AVERAGE(OFFSET($FI$3,0,0,'Données projet'!$E$16+1,1))-AVERAGE(OFFSET($H$3,0,0,'Données projet'!$E$16+1,1))</f>
        <v>299.10536994156814</v>
      </c>
      <c r="FK38" s="59">
        <f t="shared" si="48"/>
        <v>292.57799203101769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0.13250000000000001</v>
      </c>
      <c r="FP38" s="16">
        <f>IF(ISNA(VLOOKUP(A38,'Données projet'!$A$217:$I$237,7,0)),0%,VLOOKUP(A38,'Données projet'!$A$217:$I$237,7,0))</f>
        <v>0.25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11.687025362311767</v>
      </c>
      <c r="FS38" s="21">
        <f>EXP(-LN(2)/2)*FS37+(1-EXP(-LN(2)/2))/(LN(2)/2)*FM38*FP38*VLOOKUP('Données projet'!$B$16,Paramètres!$A$1:$I$89,3,0)*0.475*44/12</f>
        <v>6.3795832792500846</v>
      </c>
      <c r="FT38" s="22">
        <f t="shared" si="24"/>
        <v>18.066608641561849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138.46153846153845</v>
      </c>
      <c r="FX38" s="12">
        <f>VLOOKUP(A38,'Données projet'!$A$243:$I$263,9,0)</f>
        <v>3.7179487179487181</v>
      </c>
      <c r="FY38" s="12">
        <f t="array" ref="FY38">INDEX(FX:FX,MIN(IF(ISNUMBER(FX38:FX234),ROW(FX38:FX234),"")))</f>
        <v>3.7179487179487181</v>
      </c>
      <c r="FZ38" s="12">
        <f>IF('Données projet'!$A$244&gt;35,FZ37+FY38-GH37,IF(A38&lt;'Données projet'!$A$244,$FW$205^A38,IF(A38='Données projet'!$A$244,'Données projet'!$B$244,FZ37+FY38-GH37)))</f>
        <v>138.46153846153854</v>
      </c>
      <c r="GA38" s="17">
        <f>FZ38*VLOOKUP('Données projet'!$B$17,Paramètres!$A$1:$I$89,3,0)*VLOOKUP('Données projet'!$B$17,Paramètres!$A$1:$I$89,5,0)</f>
        <v>125.28000000000007</v>
      </c>
      <c r="GB38" s="13">
        <f t="shared" si="49"/>
        <v>32.903369495688672</v>
      </c>
      <c r="GC38" s="20">
        <f t="shared" si="25"/>
        <v>275.50270187165785</v>
      </c>
      <c r="GD38" s="59">
        <f t="shared" si="26"/>
        <v>568.83603520499116</v>
      </c>
      <c r="GE38" s="59">
        <f ca="1">AVERAGE(OFFSET($GD$3,0,0,'Données projet'!$E$17+1,1))-AVERAGE(OFFSET($H$3,0,0,'Données projet'!$E$17+1,1))</f>
        <v>204.78565758021779</v>
      </c>
      <c r="GF38" s="59">
        <f t="shared" si="50"/>
        <v>287.25131613242439</v>
      </c>
      <c r="GG38" s="15">
        <f>IF(ISNA(VLOOKUP(A38,'Données projet'!$A$243:$I$263,3,0)),0,VLOOKUP(A38,'Données projet'!$A$243:$I$263,3,0))</f>
        <v>7</v>
      </c>
      <c r="GH38" s="15">
        <f>IF(ISNA(VLOOKUP(A38,'Données projet'!$A$243:$I$263,4,0)),0,VLOOKUP(A38,'Données projet'!$A$243:$I$263,4,0))</f>
        <v>4.4871794871794872</v>
      </c>
      <c r="GI38" s="16">
        <f>IF(ISNA(VLOOKUP(A38,'Données projet'!$A$243:$I$263,5,0)),0%,VLOOKUP(A38,'Données projet'!$A$243:$I$263,5,0)*VLOOKUP('Données projet'!$B$17,Paramètres!$A$1:$I$89,7,0))</f>
        <v>0.03</v>
      </c>
      <c r="GJ38" s="16">
        <f>IF(ISNA(VLOOKUP(A38,'Données projet'!$A$243:$I$263,6,0)),0%,VLOOKUP(A38,'Données projet'!$A$243:$I$263,6,0)*VLOOKUP('Données projet'!$B$17,Paramètres!$A$1:$I$89,7,0))</f>
        <v>0.12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1.1738297555187165</v>
      </c>
      <c r="GM38" s="21">
        <f>EXP(-LN(2)/25)*GM37+(1-EXP(-LN(2)/25))/(LN(2)/25)*Calculateur!GH38*Calculateur!GJ38*VLOOKUP('Données projet'!$B$17,Paramètres!$A$1:$I$89,3,0)*0.475*44/12</f>
        <v>4.1700913872793839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5.3439211427981004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11.5</v>
      </c>
      <c r="GU38" s="12">
        <f>IF('Données projet'!$A$270&gt;35,GU37+GT38-HC37,IF(A38&lt;'Données projet'!$A$270,$GR$205^A38,IF(A38='Données projet'!$A$270,'Données projet'!$B$270,GU37+GT38-HC37)))</f>
        <v>164.99999999999994</v>
      </c>
      <c r="GV38" s="17">
        <f>GU38*VLOOKUP('Données projet'!$B$18,Paramètres!$A$1:$I$89,3,0)*VLOOKUP('Données projet'!$B$18,Paramètres!$A$1:$I$89,5,0)</f>
        <v>128.69999999999996</v>
      </c>
      <c r="GW38" s="13">
        <f t="shared" si="51"/>
        <v>33.695792019186115</v>
      </c>
      <c r="GX38" s="20">
        <f t="shared" si="28"/>
        <v>282.83933776674911</v>
      </c>
      <c r="GY38" s="59">
        <f t="shared" si="29"/>
        <v>576.17267110008243</v>
      </c>
      <c r="GZ38" s="59">
        <f ca="1">AVERAGE(OFFSET($GY$3,0,0,'Données projet'!$E$18+1,1))-AVERAGE(OFFSET($H$3,0,0,'Données projet'!$E$18+1,1))</f>
        <v>288.82868507674738</v>
      </c>
      <c r="HA38" s="59">
        <f t="shared" si="52"/>
        <v>283.48738729114024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3.08282768186114</v>
      </c>
      <c r="HH38" s="21">
        <f>EXP(-LN(2)/25)*HH37+(1-EXP(-LN(2)/25))/(LN(2)/25)*Calculateur!HC38*Calculateur!HE38*VLOOKUP('Données projet'!$B$18,Paramètres!$A$1:$I$89,3,0)*0.475*44/12</f>
        <v>6.5461037866868583</v>
      </c>
      <c r="HI38" s="21">
        <f>EXP(-LN(2)/2)*HI37+(1-EXP(-LN(2)/2))/(LN(2)/2)*HC38*HF38*VLOOKUP('Données projet'!$B$18,Paramètres!$A$1:$I$89,3,0)*0.475*44/12</f>
        <v>1.8370783823201426</v>
      </c>
      <c r="HJ38" s="22">
        <f t="shared" si="30"/>
        <v>11.46600985086814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16.693750000000001</v>
      </c>
      <c r="N39" s="13">
        <f>IF('Données projet'!$A$36&gt;35,N38+M39-V38,IF(A39&lt;'Données projet'!$A$36,$K$205^A39,IF(A39='Données projet'!$A$36,'Données projet'!$B$36,N38+M39-V38)))</f>
        <v>217.27125000000001</v>
      </c>
      <c r="O39" s="13">
        <f>N39*VLOOKUP('Données projet'!$B$9,Paramètres!$A$1:$I$89,3,0)*VLOOKUP('Données projet'!$B$9,Paramètres!$A$1:$I$89,5,0)</f>
        <v>129.92820750000001</v>
      </c>
      <c r="P39" s="13">
        <f t="shared" si="33"/>
        <v>33.97976966017913</v>
      </c>
      <c r="Q39" s="20">
        <f t="shared" si="53"/>
        <v>285.47306022064532</v>
      </c>
      <c r="R39" s="59">
        <f t="shared" si="0"/>
        <v>578.80639355397864</v>
      </c>
      <c r="S39" s="59">
        <f ca="1">AVERAGE(OFFSET($R$3,0,0,'Données projet'!$E$9+1,1))-AVERAGE(OFFSET($H$3,0,0,'Données projet'!$E$9+1,1))</f>
        <v>349.71285006949597</v>
      </c>
      <c r="T39" s="59">
        <f t="shared" si="34"/>
        <v>258.51550516456842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10.634883719227338</v>
      </c>
      <c r="AA39" s="21">
        <f>EXP(-LN(2)/25)*AA38+(1-EXP(-LN(2)/25))/(LN(2)/25)*Calculateur!V39*Calculateur!X39*VLOOKUP('Données projet'!$B$9,Paramètres!$A$1:$I$89,3,0)*0.475*44/12</f>
        <v>14.692663809738846</v>
      </c>
      <c r="AB39" s="21">
        <f>EXP(-LN(2)/2)*AB38+(1-EXP(-LN(2)/2))/(LN(2)/2)*V39*Y39*VLOOKUP('Données projet'!$B$9,Paramètres!$A$1:$I$89,3,0)*0.475*44/12</f>
        <v>5.1271629777558738</v>
      </c>
      <c r="AC39" s="22">
        <f t="shared" si="3"/>
        <v>30.454710506722058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4.016578947368421</v>
      </c>
      <c r="AI39" s="13">
        <f>IF('Données projet'!$A$62&gt;35,AI38+AH39-AQ38,IF(A39&lt;'Données projet'!$A$62,$AF$205^A39,IF(A39='Données projet'!$A$62,'Données projet'!$B$62,AI38+AH39-AQ38)))</f>
        <v>144.59684210526314</v>
      </c>
      <c r="AJ39" s="13">
        <f>AI39*VLOOKUP('Données projet'!$B$10,Paramètres!$A$1:$I$89,3,0)*VLOOKUP('Données projet'!$B$10,Paramètres!$A$1:$I$89,5,0)</f>
        <v>137.59835494736839</v>
      </c>
      <c r="AK39" s="13">
        <f t="shared" si="35"/>
        <v>35.746269497802267</v>
      </c>
      <c r="AL39" s="20">
        <f t="shared" si="4"/>
        <v>301.90855424200555</v>
      </c>
      <c r="AM39" s="59">
        <f t="shared" si="5"/>
        <v>595.24188757533886</v>
      </c>
      <c r="AN39" s="59">
        <f ca="1">AVERAGE(OFFSET($AM$3,0,0,'Données projet'!$E$10+1,1))-AVERAGE(OFFSET($H$3,0,0,'Données projet'!$E$10+1,1))</f>
        <v>449.28947235329758</v>
      </c>
      <c r="AO39" s="59">
        <f t="shared" si="36"/>
        <v>289.36994109443964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133.36234971428578</v>
      </c>
      <c r="BF39" s="13">
        <f t="shared" si="37"/>
        <v>34.772141208569977</v>
      </c>
      <c r="BG39" s="20">
        <f t="shared" si="7"/>
        <v>292.83423835730713</v>
      </c>
      <c r="BH39" s="59">
        <f t="shared" si="8"/>
        <v>586.16757169064044</v>
      </c>
      <c r="BI39" s="59">
        <f ca="1">AVERAGE(OFFSET($BH$3,0,0,'Données projet'!$E$11+1,1))-AVERAGE(OFFSET($H$3,0,0,'Données projet'!$E$11+1,1))</f>
        <v>635.71275911100679</v>
      </c>
      <c r="BJ39" s="59">
        <f t="shared" si="38"/>
        <v>281.7776857269169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3.3603333333333336</v>
      </c>
      <c r="BY39" s="12">
        <f>IF('Données projet'!$A$114&gt;35,BY38+BX39-CG38,IF(A39&lt;'Données projet'!$A$114,$BV$205^A39,IF(A39='Données projet'!$A$114,'Données projet'!$B$114,BY38+BX39-CG38)))</f>
        <v>120.97199999999998</v>
      </c>
      <c r="BZ39" s="13">
        <f>BY39*VLOOKUP('Données projet'!$B$12,Paramètres!$A$1:$I$89,3,0)*VLOOKUP('Données projet'!$B$12,Paramètres!$A$1:$I$89,5,0)</f>
        <v>137.76291359999996</v>
      </c>
      <c r="CA39" s="13">
        <f t="shared" si="39"/>
        <v>35.784040951312875</v>
      </c>
      <c r="CB39" s="20">
        <f t="shared" si="10"/>
        <v>302.26094584353649</v>
      </c>
      <c r="CC39" s="59">
        <f t="shared" si="11"/>
        <v>595.5942791768698</v>
      </c>
      <c r="CD39" s="59">
        <f ca="1">AVERAGE(OFFSET($CC$3,0,0,'Données projet'!$E$12+1,1))-AVERAGE(OFFSET($H$3,0,0,'Données projet'!$E$12+1,1))</f>
        <v>593.28343396240075</v>
      </c>
      <c r="CE39" s="59">
        <f t="shared" si="40"/>
        <v>289.66477662068695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6.1538461538461551</v>
      </c>
      <c r="CT39" s="12">
        <f>IF('Données projet'!$A$140&gt;35,CT38+CS39-DB38,IF(A39&lt;'Données projet'!$A$140,$CQ$205^A39,IF(A39='Données projet'!$A$140,'Données projet'!$B$140,CT38+CS39-DB38)))</f>
        <v>97.820512820512818</v>
      </c>
      <c r="CU39" s="17">
        <f>CT39*VLOOKUP('Données projet'!$B$13,Paramètres!$A$1:$I$89,3,0)*VLOOKUP('Données projet'!$B$13,Paramètres!$A$1:$I$89,5,0)</f>
        <v>102.242</v>
      </c>
      <c r="CV39" s="13">
        <f t="shared" si="41"/>
        <v>27.49543192815392</v>
      </c>
      <c r="CW39" s="20">
        <f t="shared" si="13"/>
        <v>225.95936060820137</v>
      </c>
      <c r="CX39" s="59">
        <f t="shared" si="14"/>
        <v>519.29269394153471</v>
      </c>
      <c r="CY39" s="59">
        <f ca="1">AVERAGE(OFFSET($CX$3,0,0,'Données projet'!$E$13+1,1))-AVERAGE(OFFSET($H$3,0,0,'Données projet'!$E$13+1,1))</f>
        <v>260.65406541614402</v>
      </c>
      <c r="CZ39" s="59">
        <f t="shared" si="42"/>
        <v>277.63456890196886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19.938790777567185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19.938790777567185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</v>
      </c>
      <c r="DO39" s="12">
        <f>IF('Données projet'!$A$166&gt;35,DO38+DN39-DW38,IF(A39&lt;'Données projet'!$A$166,$DL$205^A39,IF(A39='Données projet'!$A$166,'Données projet'!$B$166,DO38+DN39-DW38)))</f>
        <v>105</v>
      </c>
      <c r="DP39" s="17">
        <f>DO39*VLOOKUP('Données projet'!$B$14,Paramètres!$A$1:$I$89,3,0)*VLOOKUP('Données projet'!$B$14,Paramètres!$A$1:$I$89,5,0)</f>
        <v>68.796000000000006</v>
      </c>
      <c r="DQ39" s="13">
        <f t="shared" si="43"/>
        <v>19.374160697102734</v>
      </c>
      <c r="DR39" s="20">
        <f t="shared" si="16"/>
        <v>153.56302988078727</v>
      </c>
      <c r="DS39" s="59">
        <f t="shared" si="17"/>
        <v>446.89636321412058</v>
      </c>
      <c r="DT39" s="59">
        <f ca="1">AVERAGE(OFFSET($DS$3,0,0,'Données projet'!$E$14+1,1))-AVERAGE(OFFSET($H$3,0,0,'Données projet'!$E$14+1,1))</f>
        <v>181.4272795535777</v>
      </c>
      <c r="DU39" s="59">
        <f t="shared" si="44"/>
        <v>187.67131775419904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3.4010038416330448</v>
      </c>
      <c r="EC39" s="21">
        <f>EXP(-LN(2)/2)*EC38+(1-EXP(-LN(2)/2))/(LN(2)/2)*DW39*DZ39*VLOOKUP('Données projet'!$B$14,Paramètres!$A$1:$I$89,3,0)*0.475*44/12</f>
        <v>2.0862878227210624</v>
      </c>
      <c r="ED39" s="22">
        <f t="shared" si="18"/>
        <v>5.4872916643541068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5.1282051282051269</v>
      </c>
      <c r="EJ39" s="12">
        <f>IF('Données projet'!$A$192&gt;35,EJ38+EI39-ER38,IF(A39&lt;'Données projet'!$A$192,$EG$205^A39,IF(A39='Données projet'!$A$192,'Données projet'!$B$192,EJ38+EI39-ER38)))</f>
        <v>130.76923076923083</v>
      </c>
      <c r="EK39" s="17">
        <f>EJ39*VLOOKUP('Données projet'!$B$15,Paramètres!$A$1:$I$89,3,0)*VLOOKUP('Données projet'!$B$15,Paramètres!$A$1:$I$89,5,0)</f>
        <v>106.08000000000004</v>
      </c>
      <c r="EL39" s="13">
        <f t="shared" si="45"/>
        <v>28.405460561015641</v>
      </c>
      <c r="EM39" s="20">
        <f t="shared" si="19"/>
        <v>234.22884381043562</v>
      </c>
      <c r="EN39" s="59">
        <f t="shared" si="20"/>
        <v>527.56217714376896</v>
      </c>
      <c r="EO39" s="59">
        <f ca="1">AVERAGE(OFFSET($EN$3,0,0,'Données projet'!$E$15+1,1))-AVERAGE(OFFSET($H$3,0,0,'Données projet'!$E$15+1,1))</f>
        <v>159.68591355116837</v>
      </c>
      <c r="EP39" s="59">
        <f t="shared" si="46"/>
        <v>284.32631786390112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5.3558733709957016</v>
      </c>
      <c r="EX39" s="21">
        <f>EXP(-LN(2)/2)*EX38+(1-EXP(-LN(2)/2))/(LN(2)/2)*ER39*EU39*VLOOKUP('Données projet'!$B$15,Paramètres!$A$1:$I$89,3,0)*0.475*44/12</f>
        <v>0.93883461888993192</v>
      </c>
      <c r="EY39" s="22">
        <f t="shared" si="21"/>
        <v>6.2947079898856337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153.60000000000002</v>
      </c>
      <c r="FF39" s="17">
        <f>FE39*VLOOKUP('Données projet'!$B$16,Paramètres!$A$1:$I$89,3,0)*VLOOKUP('Données projet'!$B$16,Paramètres!$A$1:$I$89,5,0)</f>
        <v>122.20416000000003</v>
      </c>
      <c r="FG39" s="13">
        <f t="shared" si="47"/>
        <v>32.188537573102472</v>
      </c>
      <c r="FH39" s="20">
        <f t="shared" si="22"/>
        <v>268.90061493982017</v>
      </c>
      <c r="FI39" s="59">
        <f t="shared" si="23"/>
        <v>562.23394827315349</v>
      </c>
      <c r="FJ39" s="59">
        <f ca="1">AVERAGE(OFFSET($FI$3,0,0,'Données projet'!$E$16+1,1))-AVERAGE(OFFSET($H$3,0,0,'Données projet'!$E$16+1,1))</f>
        <v>299.10536994156814</v>
      </c>
      <c r="FK39" s="59">
        <f t="shared" si="48"/>
        <v>292.57799203101769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11.367443039185398</v>
      </c>
      <c r="FS39" s="21">
        <f>EXP(-LN(2)/2)*FS38+(1-EXP(-LN(2)/2))/(LN(2)/2)*FM39*FP39*VLOOKUP('Données projet'!$B$16,Paramètres!$A$1:$I$89,3,0)*0.475*44/12</f>
        <v>4.5110465979020473</v>
      </c>
      <c r="FT39" s="22">
        <f t="shared" si="24"/>
        <v>15.878489637087444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3.0769230769230775</v>
      </c>
      <c r="FZ39" s="12">
        <f>IF('Données projet'!$A$244&gt;35,FZ38+FY39-GH38,IF(A39&lt;'Données projet'!$A$244,$FW$205^A39,IF(A39='Données projet'!$A$244,'Données projet'!$B$244,FZ38+FY39-GH38)))</f>
        <v>137.05128205128213</v>
      </c>
      <c r="GA39" s="17">
        <f>FZ39*VLOOKUP('Données projet'!$B$17,Paramètres!$A$1:$I$89,3,0)*VLOOKUP('Données projet'!$B$17,Paramètres!$A$1:$I$89,5,0)</f>
        <v>124.00400000000006</v>
      </c>
      <c r="GB39" s="13">
        <f t="shared" si="49"/>
        <v>32.607075155489369</v>
      </c>
      <c r="GC39" s="20">
        <f t="shared" si="25"/>
        <v>272.76428922914408</v>
      </c>
      <c r="GD39" s="59">
        <f t="shared" si="26"/>
        <v>566.09762256247745</v>
      </c>
      <c r="GE39" s="59">
        <f ca="1">AVERAGE(OFFSET($GD$3,0,0,'Données projet'!$E$17+1,1))-AVERAGE(OFFSET($H$3,0,0,'Données projet'!$E$17+1,1))</f>
        <v>204.78565758021779</v>
      </c>
      <c r="GF39" s="59">
        <f t="shared" si="50"/>
        <v>287.25131613242439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1.1508116699784496</v>
      </c>
      <c r="GM39" s="21">
        <f>EXP(-LN(2)/25)*GM38+(1-EXP(-LN(2)/25))/(LN(2)/25)*Calculateur!GH39*Calculateur!GJ39*VLOOKUP('Données projet'!$B$17,Paramètres!$A$1:$I$89,3,0)*0.475*44/12</f>
        <v>4.0560600189986538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5.2068716889771034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11.5</v>
      </c>
      <c r="GU39" s="12">
        <f>IF('Données projet'!$A$270&gt;35,GU38+GT39-HC38,IF(A39&lt;'Données projet'!$A$270,$GR$205^A39,IF(A39='Données projet'!$A$270,'Données projet'!$B$270,GU38+GT39-HC38)))</f>
        <v>176.49999999999994</v>
      </c>
      <c r="GV39" s="17">
        <f>GU39*VLOOKUP('Données projet'!$B$18,Paramètres!$A$1:$I$89,3,0)*VLOOKUP('Données projet'!$B$18,Paramètres!$A$1:$I$89,5,0)</f>
        <v>137.66999999999996</v>
      </c>
      <c r="GW39" s="13">
        <f t="shared" si="51"/>
        <v>35.762714965854656</v>
      </c>
      <c r="GX39" s="20">
        <f t="shared" si="28"/>
        <v>302.06197856553007</v>
      </c>
      <c r="GY39" s="59">
        <f t="shared" si="29"/>
        <v>595.39531189886338</v>
      </c>
      <c r="GZ39" s="59">
        <f ca="1">AVERAGE(OFFSET($GY$3,0,0,'Données projet'!$E$18+1,1))-AVERAGE(OFFSET($H$3,0,0,'Données projet'!$E$18+1,1))</f>
        <v>288.82868507674738</v>
      </c>
      <c r="HA39" s="59">
        <f t="shared" si="52"/>
        <v>283.48738729114024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3.022375311359061</v>
      </c>
      <c r="HH39" s="21">
        <f>EXP(-LN(2)/25)*HH38+(1-EXP(-LN(2)/25))/(LN(2)/25)*Calculateur!HC39*Calculateur!HE39*VLOOKUP('Données projet'!$B$18,Paramètres!$A$1:$I$89,3,0)*0.475*44/12</f>
        <v>6.3671002343952692</v>
      </c>
      <c r="HI39" s="21">
        <f>EXP(-LN(2)/2)*HI38+(1-EXP(-LN(2)/2))/(LN(2)/2)*HC39*HF39*VLOOKUP('Données projet'!$B$18,Paramètres!$A$1:$I$89,3,0)*0.475*44/12</f>
        <v>1.2990105817097859</v>
      </c>
      <c r="HJ39" s="22">
        <f t="shared" si="30"/>
        <v>10.688486127464115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16.693750000000001</v>
      </c>
      <c r="N40" s="13">
        <f>IF('Données projet'!$A$36&gt;35,N39+M40-V39,IF(A40&lt;'Données projet'!$A$36,$K$205^A40,IF(A40='Données projet'!$A$36,'Données projet'!$B$36,N39+M40-V39)))</f>
        <v>233.965</v>
      </c>
      <c r="O40" s="13">
        <f>N40*VLOOKUP('Données projet'!$B$9,Paramètres!$A$1:$I$89,3,0)*VLOOKUP('Données projet'!$B$9,Paramètres!$A$1:$I$89,5,0)</f>
        <v>139.91107000000002</v>
      </c>
      <c r="P40" s="13">
        <f t="shared" si="33"/>
        <v>36.276632127461212</v>
      </c>
      <c r="Q40" s="20">
        <f t="shared" si="53"/>
        <v>306.860247871995</v>
      </c>
      <c r="R40" s="59">
        <f t="shared" si="0"/>
        <v>600.19358120532831</v>
      </c>
      <c r="S40" s="59">
        <f ca="1">AVERAGE(OFFSET($R$3,0,0,'Données projet'!$E$9+1,1))-AVERAGE(OFFSET($H$3,0,0,'Données projet'!$E$9+1,1))</f>
        <v>349.71285006949597</v>
      </c>
      <c r="T40" s="59">
        <f t="shared" si="34"/>
        <v>258.51550516456842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10.426340136131856</v>
      </c>
      <c r="AA40" s="21">
        <f>EXP(-LN(2)/25)*AA39+(1-EXP(-LN(2)/25))/(LN(2)/25)*Calculateur!V40*Calculateur!X40*VLOOKUP('Données projet'!$B$9,Paramètres!$A$1:$I$89,3,0)*0.475*44/12</f>
        <v>14.290892145207929</v>
      </c>
      <c r="AB40" s="21">
        <f>EXP(-LN(2)/2)*AB39+(1-EXP(-LN(2)/2))/(LN(2)/2)*V40*Y40*VLOOKUP('Données projet'!$B$9,Paramètres!$A$1:$I$89,3,0)*0.475*44/12</f>
        <v>3.6254517098197905</v>
      </c>
      <c r="AC40" s="22">
        <f t="shared" si="3"/>
        <v>28.342683991159575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4.016578947368421</v>
      </c>
      <c r="AI40" s="13">
        <f>IF('Données projet'!$A$62&gt;35,AI39+AH40-AQ39,IF(A40&lt;'Données projet'!$A$62,$AF$205^A40,IF(A40='Données projet'!$A$62,'Données projet'!$B$62,AI39+AH40-AQ39)))</f>
        <v>148.61342105263157</v>
      </c>
      <c r="AJ40" s="13">
        <f>AI40*VLOOKUP('Données projet'!$B$10,Paramètres!$A$1:$I$89,3,0)*VLOOKUP('Données projet'!$B$10,Paramètres!$A$1:$I$89,5,0)</f>
        <v>141.42053147368418</v>
      </c>
      <c r="AK40" s="13">
        <f t="shared" si="35"/>
        <v>36.62223785540634</v>
      </c>
      <c r="AL40" s="20">
        <f t="shared" si="4"/>
        <v>310.09115658149926</v>
      </c>
      <c r="AM40" s="59">
        <f t="shared" si="5"/>
        <v>603.42448991483252</v>
      </c>
      <c r="AN40" s="59">
        <f ca="1">AVERAGE(OFFSET($AM$3,0,0,'Données projet'!$E$10+1,1))-AVERAGE(OFFSET($H$3,0,0,'Données projet'!$E$10+1,1))</f>
        <v>449.28947235329758</v>
      </c>
      <c r="AO40" s="59">
        <f t="shared" si="36"/>
        <v>289.36994109443964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137.06685942857152</v>
      </c>
      <c r="BF40" s="13">
        <f t="shared" si="37"/>
        <v>35.624238388297236</v>
      </c>
      <c r="BG40" s="20">
        <f t="shared" si="7"/>
        <v>300.77032869771307</v>
      </c>
      <c r="BH40" s="59">
        <f t="shared" si="8"/>
        <v>594.10366203104638</v>
      </c>
      <c r="BI40" s="59">
        <f ca="1">AVERAGE(OFFSET($BH$3,0,0,'Données projet'!$E$11+1,1))-AVERAGE(OFFSET($H$3,0,0,'Données projet'!$E$11+1,1))</f>
        <v>635.71275911100679</v>
      </c>
      <c r="BJ40" s="59">
        <f t="shared" si="38"/>
        <v>281.7776857269169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3.3603333333333336</v>
      </c>
      <c r="BY40" s="12">
        <f>IF('Données projet'!$A$114&gt;35,BY39+BX40-CG39,IF(A40&lt;'Données projet'!$A$114,$BV$205^A40,IF(A40='Données projet'!$A$114,'Données projet'!$B$114,BY39+BX40-CG39)))</f>
        <v>124.33233333333331</v>
      </c>
      <c r="BZ40" s="13">
        <f>BY40*VLOOKUP('Données projet'!$B$12,Paramètres!$A$1:$I$89,3,0)*VLOOKUP('Données projet'!$B$12,Paramètres!$A$1:$I$89,5,0)</f>
        <v>141.58966119999997</v>
      </c>
      <c r="CA40" s="13">
        <f t="shared" si="39"/>
        <v>36.66093490475005</v>
      </c>
      <c r="CB40" s="20">
        <f t="shared" si="10"/>
        <v>310.45312154910624</v>
      </c>
      <c r="CC40" s="59">
        <f t="shared" si="11"/>
        <v>603.78645488243956</v>
      </c>
      <c r="CD40" s="59">
        <f ca="1">AVERAGE(OFFSET($CC$3,0,0,'Données projet'!$E$12+1,1))-AVERAGE(OFFSET($H$3,0,0,'Données projet'!$E$12+1,1))</f>
        <v>593.28343396240075</v>
      </c>
      <c r="CE40" s="59">
        <f t="shared" si="40"/>
        <v>289.66477662068695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6.1538461538461551</v>
      </c>
      <c r="CT40" s="12">
        <f>IF('Données projet'!$A$140&gt;35,CT39+CS40-DB39,IF(A40&lt;'Données projet'!$A$140,$CQ$205^A40,IF(A40='Données projet'!$A$140,'Données projet'!$B$140,CT39+CS40-DB39)))</f>
        <v>103.97435897435898</v>
      </c>
      <c r="CU40" s="17">
        <f>CT40*VLOOKUP('Données projet'!$B$13,Paramètres!$A$1:$I$89,3,0)*VLOOKUP('Données projet'!$B$13,Paramètres!$A$1:$I$89,5,0)</f>
        <v>108.67400000000001</v>
      </c>
      <c r="CV40" s="13">
        <f t="shared" si="41"/>
        <v>29.018348457516634</v>
      </c>
      <c r="CW40" s="20">
        <f t="shared" si="13"/>
        <v>239.81417356350812</v>
      </c>
      <c r="CX40" s="59">
        <f t="shared" si="14"/>
        <v>533.14750689684138</v>
      </c>
      <c r="CY40" s="59">
        <f ca="1">AVERAGE(OFFSET($CX$3,0,0,'Données projet'!$E$13+1,1))-AVERAGE(OFFSET($H$3,0,0,'Données projet'!$E$13+1,1))</f>
        <v>260.65406541614402</v>
      </c>
      <c r="CZ40" s="59">
        <f t="shared" si="42"/>
        <v>277.63456890196886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19.393563495219173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19.393563495219173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</v>
      </c>
      <c r="DO40" s="12">
        <f>IF('Données projet'!$A$166&gt;35,DO39+DN40-DW39,IF(A40&lt;'Données projet'!$A$166,$DL$205^A40,IF(A40='Données projet'!$A$166,'Données projet'!$B$166,DO39+DN40-DW39)))</f>
        <v>110</v>
      </c>
      <c r="DP40" s="17">
        <f>DO40*VLOOKUP('Données projet'!$B$14,Paramètres!$A$1:$I$89,3,0)*VLOOKUP('Données projet'!$B$14,Paramètres!$A$1:$I$89,5,0)</f>
        <v>72.072000000000003</v>
      </c>
      <c r="DQ40" s="13">
        <f t="shared" si="43"/>
        <v>20.187131385147271</v>
      </c>
      <c r="DR40" s="20">
        <f t="shared" si="16"/>
        <v>160.68465382913149</v>
      </c>
      <c r="DS40" s="59">
        <f t="shared" si="17"/>
        <v>454.01798716246481</v>
      </c>
      <c r="DT40" s="59">
        <f ca="1">AVERAGE(OFFSET($DS$3,0,0,'Données projet'!$E$14+1,1))-AVERAGE(OFFSET($H$3,0,0,'Données projet'!$E$14+1,1))</f>
        <v>181.4272795535777</v>
      </c>
      <c r="DU40" s="59">
        <f t="shared" si="44"/>
        <v>187.67131775419904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3.3080032127325705</v>
      </c>
      <c r="EC40" s="21">
        <f>EXP(-LN(2)/2)*EC39+(1-EXP(-LN(2)/2))/(LN(2)/2)*DW40*DZ40*VLOOKUP('Données projet'!$B$14,Paramètres!$A$1:$I$89,3,0)*0.475*44/12</f>
        <v>1.475228266952981</v>
      </c>
      <c r="ED40" s="22">
        <f t="shared" si="18"/>
        <v>4.7832314796855515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5.1282051282051269</v>
      </c>
      <c r="EJ40" s="12">
        <f>IF('Données projet'!$A$192&gt;35,EJ39+EI40-ER39,IF(A40&lt;'Données projet'!$A$192,$EG$205^A40,IF(A40='Données projet'!$A$192,'Données projet'!$B$192,EJ39+EI40-ER39)))</f>
        <v>135.89743589743597</v>
      </c>
      <c r="EK40" s="17">
        <f>EJ40*VLOOKUP('Données projet'!$B$15,Paramètres!$A$1:$I$89,3,0)*VLOOKUP('Données projet'!$B$15,Paramètres!$A$1:$I$89,5,0)</f>
        <v>110.24000000000005</v>
      </c>
      <c r="EL40" s="13">
        <f t="shared" si="45"/>
        <v>29.387523270015443</v>
      </c>
      <c r="EM40" s="20">
        <f t="shared" si="19"/>
        <v>243.18460302861033</v>
      </c>
      <c r="EN40" s="59">
        <f t="shared" si="20"/>
        <v>536.51793636194361</v>
      </c>
      <c r="EO40" s="59">
        <f ca="1">AVERAGE(OFFSET($EN$3,0,0,'Données projet'!$E$15+1,1))-AVERAGE(OFFSET($H$3,0,0,'Données projet'!$E$15+1,1))</f>
        <v>159.68591355116837</v>
      </c>
      <c r="EP40" s="59">
        <f t="shared" si="46"/>
        <v>284.32631786390112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5.2094167320126843</v>
      </c>
      <c r="EX40" s="21">
        <f>EXP(-LN(2)/2)*EX39+(1-EXP(-LN(2)/2))/(LN(2)/2)*ER40*EU40*VLOOKUP('Données projet'!$B$15,Paramètres!$A$1:$I$89,3,0)*0.475*44/12</f>
        <v>0.66385632542975892</v>
      </c>
      <c r="EY40" s="22">
        <f t="shared" si="21"/>
        <v>5.873273057442443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163.20000000000002</v>
      </c>
      <c r="FF40" s="17">
        <f>FE40*VLOOKUP('Données projet'!$B$16,Paramètres!$A$1:$I$89,3,0)*VLOOKUP('Données projet'!$B$16,Paramètres!$A$1:$I$89,5,0)</f>
        <v>129.84192000000002</v>
      </c>
      <c r="FG40" s="13">
        <f t="shared" si="47"/>
        <v>33.959829099416851</v>
      </c>
      <c r="FH40" s="20">
        <f t="shared" si="22"/>
        <v>285.288046348151</v>
      </c>
      <c r="FI40" s="59">
        <f t="shared" si="23"/>
        <v>578.62137968148431</v>
      </c>
      <c r="FJ40" s="59">
        <f ca="1">AVERAGE(OFFSET($FI$3,0,0,'Données projet'!$E$16+1,1))-AVERAGE(OFFSET($H$3,0,0,'Données projet'!$E$16+1,1))</f>
        <v>299.10536994156814</v>
      </c>
      <c r="FK40" s="59">
        <f t="shared" si="48"/>
        <v>292.57799203101769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11.056599711491025</v>
      </c>
      <c r="FS40" s="21">
        <f>EXP(-LN(2)/2)*FS39+(1-EXP(-LN(2)/2))/(LN(2)/2)*FM40*FP40*VLOOKUP('Données projet'!$B$16,Paramètres!$A$1:$I$89,3,0)*0.475*44/12</f>
        <v>3.1897916396250428</v>
      </c>
      <c r="FT40" s="22">
        <f t="shared" si="24"/>
        <v>14.246391351116067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3.0769230769230775</v>
      </c>
      <c r="FZ40" s="12">
        <f>IF('Données projet'!$A$244&gt;35,FZ39+FY40-GH39,IF(A40&lt;'Données projet'!$A$244,$FW$205^A40,IF(A40='Données projet'!$A$244,'Données projet'!$B$244,FZ39+FY40-GH39)))</f>
        <v>140.1282051282052</v>
      </c>
      <c r="GA40" s="17">
        <f>FZ40*VLOOKUP('Données projet'!$B$17,Paramètres!$A$1:$I$89,3,0)*VLOOKUP('Données projet'!$B$17,Paramètres!$A$1:$I$89,5,0)</f>
        <v>126.78800000000005</v>
      </c>
      <c r="GB40" s="13">
        <f t="shared" si="49"/>
        <v>33.253083222721962</v>
      </c>
      <c r="GC40" s="20">
        <f t="shared" si="25"/>
        <v>278.73821994624086</v>
      </c>
      <c r="GD40" s="59">
        <f t="shared" si="26"/>
        <v>572.07155327957412</v>
      </c>
      <c r="GE40" s="59">
        <f ca="1">AVERAGE(OFFSET($GD$3,0,0,'Données projet'!$E$17+1,1))-AVERAGE(OFFSET($H$3,0,0,'Données projet'!$E$17+1,1))</f>
        <v>204.78565758021779</v>
      </c>
      <c r="GF40" s="59">
        <f t="shared" si="50"/>
        <v>287.25131613242439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1.1282449550559814</v>
      </c>
      <c r="GM40" s="21">
        <f>EXP(-LN(2)/25)*GM39+(1-EXP(-LN(2)/25))/(LN(2)/25)*Calculateur!GH40*Calculateur!GJ40*VLOOKUP('Données projet'!$B$17,Paramètres!$A$1:$I$89,3,0)*0.475*44/12</f>
        <v>3.9451468444802096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5.073391799536191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>
        <f>VLOOKUP(A40,'Données projet'!$A$269:$I$289,2,0)</f>
        <v>188</v>
      </c>
      <c r="GS40" s="12">
        <f>VLOOKUP(A40,'Données projet'!$A$269:$I$289,9,0)</f>
        <v>11.5</v>
      </c>
      <c r="GT40" s="12">
        <f t="array" ref="GT40">INDEX(GS:GS,MIN(IF(ISNUMBER(GS40:GS236),ROW(GS40:GS236),"")))</f>
        <v>11.5</v>
      </c>
      <c r="GU40" s="12">
        <f>IF('Données projet'!$A$270&gt;35,GU39+GT40-HC39,IF(A40&lt;'Données projet'!$A$270,$GR$205^A40,IF(A40='Données projet'!$A$270,'Données projet'!$B$270,GU39+GT40-HC39)))</f>
        <v>187.99999999999994</v>
      </c>
      <c r="GV40" s="17">
        <f>GU40*VLOOKUP('Données projet'!$B$18,Paramètres!$A$1:$I$89,3,0)*VLOOKUP('Données projet'!$B$18,Paramètres!$A$1:$I$89,5,0)</f>
        <v>146.63999999999996</v>
      </c>
      <c r="GW40" s="13">
        <f t="shared" si="51"/>
        <v>37.814009712703026</v>
      </c>
      <c r="GX40" s="20">
        <f t="shared" si="28"/>
        <v>321.25740024962437</v>
      </c>
      <c r="GY40" s="59">
        <f t="shared" si="29"/>
        <v>614.59073358295768</v>
      </c>
      <c r="GZ40" s="59">
        <f ca="1">AVERAGE(OFFSET($GY$3,0,0,'Données projet'!$E$18+1,1))-AVERAGE(OFFSET($H$3,0,0,'Données projet'!$E$18+1,1))</f>
        <v>288.82868507674738</v>
      </c>
      <c r="HA40" s="59">
        <f t="shared" si="52"/>
        <v>283.48738729114024</v>
      </c>
      <c r="HB40" s="15">
        <f>IF(ISNA(VLOOKUP(A40,'Données projet'!$A$269:$I$289,3,0)),0,VLOOKUP(A40,'Données projet'!$A$269:$I$289,3,0))</f>
        <v>5</v>
      </c>
      <c r="HC40" s="15">
        <f>IF(ISNA(VLOOKUP(A40,'Données projet'!$A$269:$I$289,4,0)),0,VLOOKUP(A40,'Données projet'!$A$269:$I$289,4,0))</f>
        <v>36</v>
      </c>
      <c r="HD40" s="16">
        <f>IF(ISNA(VLOOKUP(A40,'Données projet'!$A$269:$I$289,5,0)),0%,VLOOKUP(A40,'Données projet'!$A$269:$I$289,5,0)*VLOOKUP('Données projet'!$B$18,Paramètres!$A$1:$I$89,7,0))</f>
        <v>0.1075</v>
      </c>
      <c r="HE40" s="16">
        <f>IF(ISNA(VLOOKUP(A40,'Données projet'!$A$269:$I$289,6,0)),0%,VLOOKUP(A40,'Données projet'!$A$269:$I$289,6,0)*VLOOKUP('Données projet'!$B$18,Paramètres!$A$1:$I$89,7,0))</f>
        <v>0.1075</v>
      </c>
      <c r="HF40" s="16">
        <f>IF(ISNA(VLOOKUP(A40,'Données projet'!$A$269:$I$289,7,0)),0%,VLOOKUP(A40,'Données projet'!$A$269:$I$289,7,0))</f>
        <v>0.25</v>
      </c>
      <c r="HG40" s="21">
        <f>EXP(-LN(2)/35)*HG39+(1-EXP(-LN(2)/35))/(LN(2)/35)*HC40*HD40*VLOOKUP('Données projet'!$B$18,Paramètres!$A$1:$I$89,3,0)*0.475*44/12</f>
        <v>6.3000812626283853</v>
      </c>
      <c r="HH40" s="21">
        <f>EXP(-LN(2)/25)*HH39+(1-EXP(-LN(2)/25))/(LN(2)/25)*Calculateur!HC40*Calculateur!HE40*VLOOKUP('Données projet'!$B$18,Paramètres!$A$1:$I$89,3,0)*0.475*44/12</f>
        <v>9.5168254975675808</v>
      </c>
      <c r="HI40" s="21">
        <f>EXP(-LN(2)/2)*HI39+(1-EXP(-LN(2)/2))/(LN(2)/2)*HC40*HF40*VLOOKUP('Données projet'!$B$18,Paramètres!$A$1:$I$89,3,0)*0.475*44/12</f>
        <v>7.5420981316898965</v>
      </c>
      <c r="HJ40" s="22">
        <f t="shared" si="30"/>
        <v>23.359004891885863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16.693750000000001</v>
      </c>
      <c r="N41" s="13">
        <f>IF('Données projet'!$A$36&gt;35,N40+M41-V40,IF(A41&lt;'Données projet'!$A$36,$K$205^A41,IF(A41='Données projet'!$A$36,'Données projet'!$B$36,N40+M41-V40)))</f>
        <v>250.65875</v>
      </c>
      <c r="O41" s="13">
        <f>N41*VLOOKUP('Données projet'!$B$9,Paramètres!$A$1:$I$89,3,0)*VLOOKUP('Données projet'!$B$9,Paramètres!$A$1:$I$89,5,0)</f>
        <v>149.89393250000001</v>
      </c>
      <c r="P41" s="13">
        <f t="shared" si="33"/>
        <v>38.554480408619099</v>
      </c>
      <c r="Q41" s="20">
        <f t="shared" si="53"/>
        <v>328.21431914917827</v>
      </c>
      <c r="R41" s="59">
        <f t="shared" si="0"/>
        <v>621.54765248251158</v>
      </c>
      <c r="S41" s="59">
        <f ca="1">AVERAGE(OFFSET($R$3,0,0,'Données projet'!$E$9+1,1))-AVERAGE(OFFSET($H$3,0,0,'Données projet'!$E$9+1,1))</f>
        <v>349.71285006949597</v>
      </c>
      <c r="T41" s="59">
        <f t="shared" si="34"/>
        <v>258.51550516456842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10.221885965501851</v>
      </c>
      <c r="AA41" s="21">
        <f>EXP(-LN(2)/25)*AA40+(1-EXP(-LN(2)/25))/(LN(2)/25)*Calculateur!V41*Calculateur!X41*VLOOKUP('Données projet'!$B$9,Paramètres!$A$1:$I$89,3,0)*0.475*44/12</f>
        <v>13.900106947971862</v>
      </c>
      <c r="AB41" s="21">
        <f>EXP(-LN(2)/2)*AB40+(1-EXP(-LN(2)/2))/(LN(2)/2)*V41*Y41*VLOOKUP('Données projet'!$B$9,Paramètres!$A$1:$I$89,3,0)*0.475*44/12</f>
        <v>2.5635814888779374</v>
      </c>
      <c r="AC41" s="22">
        <f t="shared" si="3"/>
        <v>26.685574402351648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152.63</v>
      </c>
      <c r="AG41" s="12">
        <f>VLOOKUP(A41,'Données projet'!$A$61:$I$81,9,0)</f>
        <v>4.016578947368421</v>
      </c>
      <c r="AH41" s="12">
        <f t="array" ref="AH41">INDEX(AG:AG,MIN(IF(ISNUMBER(AG41:AG237),ROW(AG41:AG237),"")))</f>
        <v>4.016578947368421</v>
      </c>
      <c r="AI41" s="13">
        <f>IF('Données projet'!$A$62&gt;35,AI40+AH41-AQ40,IF(A41&lt;'Données projet'!$A$62,$AF$205^A41,IF(A41='Données projet'!$A$62,'Données projet'!$B$62,AI40+AH41-AQ40)))</f>
        <v>152.63</v>
      </c>
      <c r="AJ41" s="13">
        <f>AI41*VLOOKUP('Données projet'!$B$10,Paramètres!$A$1:$I$89,3,0)*VLOOKUP('Données projet'!$B$10,Paramètres!$A$1:$I$89,5,0)</f>
        <v>145.24270799999999</v>
      </c>
      <c r="AK41" s="13">
        <f t="shared" si="35"/>
        <v>37.495454440070851</v>
      </c>
      <c r="AL41" s="20">
        <f t="shared" si="4"/>
        <v>318.26896624979003</v>
      </c>
      <c r="AM41" s="59">
        <f t="shared" si="5"/>
        <v>611.60229958312334</v>
      </c>
      <c r="AN41" s="59">
        <f ca="1">AVERAGE(OFFSET($AM$3,0,0,'Données projet'!$E$10+1,1))-AVERAGE(OFFSET($H$3,0,0,'Données projet'!$E$10+1,1))</f>
        <v>449.28947235329758</v>
      </c>
      <c r="AO41" s="59">
        <f t="shared" si="36"/>
        <v>289.36994109443964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71.569999999999993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0.34400000000000003</v>
      </c>
      <c r="AT41" s="16">
        <f>IF(ISNA(VLOOKUP(A41,'Données projet'!$A$61:$I$81,7,0)),0%,VLOOKUP(A41,'Données projet'!$A$61:$I$81,7,0))</f>
        <v>0.2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25.797501441733676</v>
      </c>
      <c r="AW41" s="21">
        <f>EXP(-LN(2)/2)*AW40+(1-EXP(-LN(2)/2))/(LN(2)/2)*AQ41*AT41*VLOOKUP('Données projet'!$B$10,Paramètres!$A$1:$I$89,3,0)*0.475*44/12</f>
        <v>12.851971073687507</v>
      </c>
      <c r="AX41" s="21">
        <f t="shared" si="6"/>
        <v>38.649472515421181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140.77136914285722</v>
      </c>
      <c r="BF41" s="13">
        <f t="shared" si="37"/>
        <v>36.473658784165018</v>
      </c>
      <c r="BG41" s="20">
        <f t="shared" si="7"/>
        <v>308.70175697289704</v>
      </c>
      <c r="BH41" s="59">
        <f t="shared" si="8"/>
        <v>602.03509030623036</v>
      </c>
      <c r="BI41" s="59">
        <f ca="1">AVERAGE(OFFSET($BH$3,0,0,'Données projet'!$E$11+1,1))-AVERAGE(OFFSET($H$3,0,0,'Données projet'!$E$11+1,1))</f>
        <v>635.71275911100679</v>
      </c>
      <c r="BJ41" s="59">
        <f t="shared" si="38"/>
        <v>281.7776857269169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3.3603333333333336</v>
      </c>
      <c r="BY41" s="12">
        <f>IF('Données projet'!$A$114&gt;35,BY40+BX41-CG40,IF(A41&lt;'Données projet'!$A$114,$BV$205^A41,IF(A41='Données projet'!$A$114,'Données projet'!$B$114,BY40+BX41-CG40)))</f>
        <v>127.69266666666664</v>
      </c>
      <c r="BZ41" s="13">
        <f>BY41*VLOOKUP('Données projet'!$B$12,Paramètres!$A$1:$I$89,3,0)*VLOOKUP('Données projet'!$B$12,Paramètres!$A$1:$I$89,5,0)</f>
        <v>145.41640879999997</v>
      </c>
      <c r="CA41" s="13">
        <f t="shared" si="39"/>
        <v>37.535074177574629</v>
      </c>
      <c r="CB41" s="20">
        <f t="shared" si="10"/>
        <v>318.64049951927569</v>
      </c>
      <c r="CC41" s="59">
        <f t="shared" si="11"/>
        <v>611.97383285260901</v>
      </c>
      <c r="CD41" s="59">
        <f ca="1">AVERAGE(OFFSET($CC$3,0,0,'Données projet'!$E$12+1,1))-AVERAGE(OFFSET($H$3,0,0,'Données projet'!$E$12+1,1))</f>
        <v>593.28343396240075</v>
      </c>
      <c r="CE41" s="59">
        <f t="shared" si="40"/>
        <v>289.66477662068695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6.1538461538461551</v>
      </c>
      <c r="CT41" s="12">
        <f>IF('Données projet'!$A$140&gt;35,CT40+CS41-DB40,IF(A41&lt;'Données projet'!$A$140,$CQ$205^A41,IF(A41='Données projet'!$A$140,'Données projet'!$B$140,CT40+CS41-DB40)))</f>
        <v>110.12820512820514</v>
      </c>
      <c r="CU41" s="17">
        <f>CT41*VLOOKUP('Données projet'!$B$13,Paramètres!$A$1:$I$89,3,0)*VLOOKUP('Données projet'!$B$13,Paramètres!$A$1:$I$89,5,0)</f>
        <v>115.10600000000004</v>
      </c>
      <c r="CV41" s="13">
        <f t="shared" si="41"/>
        <v>30.530802810537061</v>
      </c>
      <c r="CW41" s="20">
        <f t="shared" si="13"/>
        <v>253.65076489501874</v>
      </c>
      <c r="CX41" s="59">
        <f t="shared" si="14"/>
        <v>546.98409822835208</v>
      </c>
      <c r="CY41" s="59">
        <f ca="1">AVERAGE(OFFSET($CX$3,0,0,'Données projet'!$E$13+1,1))-AVERAGE(OFFSET($H$3,0,0,'Données projet'!$E$13+1,1))</f>
        <v>260.65406541614402</v>
      </c>
      <c r="CZ41" s="59">
        <f t="shared" si="42"/>
        <v>277.63456890196886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18.863245481579224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18.863245481579224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</v>
      </c>
      <c r="DO41" s="12">
        <f>IF('Données projet'!$A$166&gt;35,DO40+DN41-DW40,IF(A41&lt;'Données projet'!$A$166,$DL$205^A41,IF(A41='Données projet'!$A$166,'Données projet'!$B$166,DO40+DN41-DW40)))</f>
        <v>115</v>
      </c>
      <c r="DP41" s="17">
        <f>DO41*VLOOKUP('Données projet'!$B$14,Paramètres!$A$1:$I$89,3,0)*VLOOKUP('Données projet'!$B$14,Paramètres!$A$1:$I$89,5,0)</f>
        <v>75.347999999999999</v>
      </c>
      <c r="DQ41" s="13">
        <f t="shared" si="43"/>
        <v>20.99581051771704</v>
      </c>
      <c r="DR41" s="20">
        <f t="shared" si="16"/>
        <v>167.79880331835713</v>
      </c>
      <c r="DS41" s="59">
        <f t="shared" si="17"/>
        <v>461.13213665169042</v>
      </c>
      <c r="DT41" s="59">
        <f ca="1">AVERAGE(OFFSET($DS$3,0,0,'Données projet'!$E$14+1,1))-AVERAGE(OFFSET($H$3,0,0,'Données projet'!$E$14+1,1))</f>
        <v>181.4272795535777</v>
      </c>
      <c r="DU41" s="59">
        <f t="shared" si="44"/>
        <v>187.67131775419904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3.2175456909200699</v>
      </c>
      <c r="EC41" s="21">
        <f>EXP(-LN(2)/2)*EC40+(1-EXP(-LN(2)/2))/(LN(2)/2)*DW41*DZ41*VLOOKUP('Données projet'!$B$14,Paramètres!$A$1:$I$89,3,0)*0.475*44/12</f>
        <v>1.0431439113605314</v>
      </c>
      <c r="ED41" s="22">
        <f t="shared" si="18"/>
        <v>4.2606896022806016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5.1282051282051269</v>
      </c>
      <c r="EJ41" s="12">
        <f>IF('Données projet'!$A$192&gt;35,EJ40+EI41-ER40,IF(A41&lt;'Données projet'!$A$192,$EG$205^A41,IF(A41='Données projet'!$A$192,'Données projet'!$B$192,EJ40+EI41-ER40)))</f>
        <v>141.02564102564111</v>
      </c>
      <c r="EK41" s="17">
        <f>EJ41*VLOOKUP('Données projet'!$B$15,Paramètres!$A$1:$I$89,3,0)*VLOOKUP('Données projet'!$B$15,Paramètres!$A$1:$I$89,5,0)</f>
        <v>114.40000000000006</v>
      </c>
      <c r="EL41" s="13">
        <f t="shared" si="45"/>
        <v>30.365280695566284</v>
      </c>
      <c r="EM41" s="20">
        <f t="shared" si="19"/>
        <v>252.13286387811135</v>
      </c>
      <c r="EN41" s="59">
        <f t="shared" si="20"/>
        <v>545.46619721144464</v>
      </c>
      <c r="EO41" s="59">
        <f ca="1">AVERAGE(OFFSET($EN$3,0,0,'Données projet'!$E$15+1,1))-AVERAGE(OFFSET($H$3,0,0,'Données projet'!$E$15+1,1))</f>
        <v>159.68591355116837</v>
      </c>
      <c r="EP41" s="59">
        <f t="shared" si="46"/>
        <v>284.32631786390112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5.066964957524478</v>
      </c>
      <c r="EX41" s="21">
        <f>EXP(-LN(2)/2)*EX40+(1-EXP(-LN(2)/2))/(LN(2)/2)*ER41*EU41*VLOOKUP('Données projet'!$B$15,Paramètres!$A$1:$I$89,3,0)*0.475*44/12</f>
        <v>0.46941730944496607</v>
      </c>
      <c r="EY41" s="22">
        <f t="shared" si="21"/>
        <v>5.5363822669694436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172.8</v>
      </c>
      <c r="FF41" s="17">
        <f>FE41*VLOOKUP('Données projet'!$B$16,Paramètres!$A$1:$I$89,3,0)*VLOOKUP('Données projet'!$B$16,Paramètres!$A$1:$I$89,5,0)</f>
        <v>137.47968000000003</v>
      </c>
      <c r="FG41" s="13">
        <f t="shared" si="47"/>
        <v>35.719026553355249</v>
      </c>
      <c r="FH41" s="20">
        <f t="shared" si="22"/>
        <v>301.65441391376049</v>
      </c>
      <c r="FI41" s="59">
        <f t="shared" si="23"/>
        <v>594.98774724709381</v>
      </c>
      <c r="FJ41" s="59">
        <f ca="1">AVERAGE(OFFSET($FI$3,0,0,'Données projet'!$E$16+1,1))-AVERAGE(OFFSET($H$3,0,0,'Données projet'!$E$16+1,1))</f>
        <v>299.10536994156814</v>
      </c>
      <c r="FK41" s="59">
        <f t="shared" si="48"/>
        <v>292.57799203101769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10.754256410938995</v>
      </c>
      <c r="FS41" s="21">
        <f>EXP(-LN(2)/2)*FS40+(1-EXP(-LN(2)/2))/(LN(2)/2)*FM41*FP41*VLOOKUP('Données projet'!$B$16,Paramètres!$A$1:$I$89,3,0)*0.475*44/12</f>
        <v>2.2555232989510241</v>
      </c>
      <c r="FT41" s="22">
        <f t="shared" si="24"/>
        <v>13.009779709890019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3.0769230769230775</v>
      </c>
      <c r="FZ41" s="12">
        <f>IF('Données projet'!$A$244&gt;35,FZ40+FY41-GH40,IF(A41&lt;'Données projet'!$A$244,$FW$205^A41,IF(A41='Données projet'!$A$244,'Données projet'!$B$244,FZ40+FY41-GH40)))</f>
        <v>143.20512820512826</v>
      </c>
      <c r="GA41" s="17">
        <f>FZ41*VLOOKUP('Données projet'!$B$17,Paramètres!$A$1:$I$89,3,0)*VLOOKUP('Données projet'!$B$17,Paramètres!$A$1:$I$89,5,0)</f>
        <v>129.57200000000003</v>
      </c>
      <c r="GB41" s="13">
        <f t="shared" si="49"/>
        <v>33.897442125362474</v>
      </c>
      <c r="GC41" s="20">
        <f t="shared" si="25"/>
        <v>284.70927836833965</v>
      </c>
      <c r="GD41" s="59">
        <f t="shared" si="26"/>
        <v>578.04261170167297</v>
      </c>
      <c r="GE41" s="59">
        <f ca="1">AVERAGE(OFFSET($GD$3,0,0,'Données projet'!$E$17+1,1))-AVERAGE(OFFSET($H$3,0,0,'Données projet'!$E$17+1,1))</f>
        <v>204.78565758021779</v>
      </c>
      <c r="GF41" s="59">
        <f t="shared" si="50"/>
        <v>287.25131613242439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1.1061207596488059</v>
      </c>
      <c r="GM41" s="21">
        <f>EXP(-LN(2)/25)*GM40+(1-EXP(-LN(2)/25))/(LN(2)/25)*Calculateur!GH41*Calculateur!GJ41*VLOOKUP('Données projet'!$B$17,Paramètres!$A$1:$I$89,3,0)*0.475*44/12</f>
        <v>3.8372665965516424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4.9433873562004482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11.142857142857142</v>
      </c>
      <c r="GU41" s="12">
        <f>IF('Données projet'!$A$270&gt;35,GU40+GT41-HC40,IF(A41&lt;'Données projet'!$A$270,$GR$205^A41,IF(A41='Données projet'!$A$270,'Données projet'!$B$270,GU40+GT41-HC40)))</f>
        <v>163.14285714285708</v>
      </c>
      <c r="GV41" s="17">
        <f>GU41*VLOOKUP('Données projet'!$B$18,Paramètres!$A$1:$I$89,3,0)*VLOOKUP('Données projet'!$B$18,Paramètres!$A$1:$I$89,5,0)</f>
        <v>127.25142857142853</v>
      </c>
      <c r="GW41" s="13">
        <f t="shared" si="51"/>
        <v>33.360457439554281</v>
      </c>
      <c r="GX41" s="20">
        <f t="shared" si="28"/>
        <v>279.73236813579501</v>
      </c>
      <c r="GY41" s="59">
        <f t="shared" si="29"/>
        <v>573.06570146912827</v>
      </c>
      <c r="GZ41" s="59">
        <f ca="1">AVERAGE(OFFSET($GY$3,0,0,'Données projet'!$E$18+1,1))-AVERAGE(OFFSET($H$3,0,0,'Données projet'!$E$18+1,1))</f>
        <v>288.82868507674738</v>
      </c>
      <c r="HA41" s="59">
        <f t="shared" si="52"/>
        <v>283.48738729114024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6.1765405117383807</v>
      </c>
      <c r="HH41" s="21">
        <f>EXP(-LN(2)/25)*HH40+(1-EXP(-LN(2)/25))/(LN(2)/25)*Calculateur!HC41*Calculateur!HE41*VLOOKUP('Données projet'!$B$18,Paramètres!$A$1:$I$89,3,0)*0.475*44/12</f>
        <v>9.2565874038684939</v>
      </c>
      <c r="HI41" s="21">
        <f>EXP(-LN(2)/2)*HI40+(1-EXP(-LN(2)/2))/(LN(2)/2)*HC41*HF41*VLOOKUP('Données projet'!$B$18,Paramètres!$A$1:$I$89,3,0)*0.475*44/12</f>
        <v>5.3330687332923166</v>
      </c>
      <c r="HJ41" s="22">
        <f t="shared" si="30"/>
        <v>20.766196648899189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16.693750000000001</v>
      </c>
      <c r="N42" s="13">
        <f>IF('Données projet'!$A$36&gt;35,N41+M42-V41,IF(A42&lt;'Données projet'!$A$36,$K$205^A42,IF(A42='Données projet'!$A$36,'Données projet'!$B$36,N41+M42-V41)))</f>
        <v>267.35250000000002</v>
      </c>
      <c r="O42" s="13">
        <f>N42*VLOOKUP('Données projet'!$B$9,Paramètres!$A$1:$I$89,3,0)*VLOOKUP('Données projet'!$B$9,Paramètres!$A$1:$I$89,5,0)</f>
        <v>159.87679500000002</v>
      </c>
      <c r="P42" s="13">
        <f t="shared" si="33"/>
        <v>40.814724929285397</v>
      </c>
      <c r="Q42" s="20">
        <f t="shared" si="53"/>
        <v>349.5377305435054</v>
      </c>
      <c r="R42" s="59">
        <f t="shared" si="0"/>
        <v>642.87106387683866</v>
      </c>
      <c r="S42" s="59">
        <f ca="1">AVERAGE(OFFSET($R$3,0,0,'Données projet'!$E$9+1,1))-AVERAGE(OFFSET($H$3,0,0,'Données projet'!$E$9+1,1))</f>
        <v>349.71285006949597</v>
      </c>
      <c r="T42" s="59">
        <f t="shared" si="34"/>
        <v>258.51550516456842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10.021441016453171</v>
      </c>
      <c r="AA42" s="21">
        <f>EXP(-LN(2)/25)*AA41+(1-EXP(-LN(2)/25))/(LN(2)/25)*Calculateur!V42*Calculateur!X42*VLOOKUP('Données projet'!$B$9,Paramètres!$A$1:$I$89,3,0)*0.475*44/12</f>
        <v>13.520007792504716</v>
      </c>
      <c r="AB42" s="21">
        <f>EXP(-LN(2)/2)*AB41+(1-EXP(-LN(2)/2))/(LN(2)/2)*V42*Y42*VLOOKUP('Données projet'!$B$9,Paramètres!$A$1:$I$89,3,0)*0.475*44/12</f>
        <v>1.8127258549098955</v>
      </c>
      <c r="AC42" s="22">
        <f t="shared" si="3"/>
        <v>25.354174663867784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9.8128571428571423</v>
      </c>
      <c r="AI42" s="13">
        <f>IF('Données projet'!$A$62&gt;35,AI41+AH42-AQ41,IF(A42&lt;'Données projet'!$A$62,$AF$205^A42,IF(A42='Données projet'!$A$62,'Données projet'!$B$62,AI41+AH42-AQ41)))</f>
        <v>90.872857142857157</v>
      </c>
      <c r="AJ42" s="13">
        <f>AI42*VLOOKUP('Données projet'!$B$10,Paramètres!$A$1:$I$89,3,0)*VLOOKUP('Données projet'!$B$10,Paramètres!$A$1:$I$89,5,0)</f>
        <v>86.474610857142878</v>
      </c>
      <c r="AK42" s="13">
        <f t="shared" si="35"/>
        <v>23.713018835104659</v>
      </c>
      <c r="AL42" s="20">
        <f t="shared" si="4"/>
        <v>191.9101217139978</v>
      </c>
      <c r="AM42" s="59">
        <f t="shared" si="5"/>
        <v>485.24345504733111</v>
      </c>
      <c r="AN42" s="59">
        <f ca="1">AVERAGE(OFFSET($AM$3,0,0,'Données projet'!$E$10+1,1))-AVERAGE(OFFSET($H$3,0,0,'Données projet'!$E$10+1,1))</f>
        <v>449.28947235329758</v>
      </c>
      <c r="AO42" s="59">
        <f t="shared" si="36"/>
        <v>289.36994109443964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25.092067408177829</v>
      </c>
      <c r="AW42" s="21">
        <f>EXP(-LN(2)/2)*AW41+(1-EXP(-LN(2)/2))/(LN(2)/2)*AQ42*AT42*VLOOKUP('Données projet'!$B$10,Paramètres!$A$1:$I$89,3,0)*0.475*44/12</f>
        <v>9.087715897817791</v>
      </c>
      <c r="AX42" s="21">
        <f t="shared" si="6"/>
        <v>34.17978330599562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144.47587885714296</v>
      </c>
      <c r="BF42" s="13">
        <f t="shared" si="37"/>
        <v>37.320480935293446</v>
      </c>
      <c r="BG42" s="20">
        <f t="shared" si="7"/>
        <v>316.62865997182678</v>
      </c>
      <c r="BH42" s="59">
        <f t="shared" si="8"/>
        <v>609.96199330516015</v>
      </c>
      <c r="BI42" s="59">
        <f ca="1">AVERAGE(OFFSET($BH$3,0,0,'Données projet'!$E$11+1,1))-AVERAGE(OFFSET($H$3,0,0,'Données projet'!$E$11+1,1))</f>
        <v>635.71275911100679</v>
      </c>
      <c r="BJ42" s="59">
        <f t="shared" si="38"/>
        <v>281.7776857269169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3.3603333333333336</v>
      </c>
      <c r="BY42" s="12">
        <f>IF('Données projet'!$A$114&gt;35,BY41+BX42-CG41,IF(A42&lt;'Données projet'!$A$114,$BV$205^A42,IF(A42='Données projet'!$A$114,'Données projet'!$B$114,BY41+BX42-CG41)))</f>
        <v>131.05299999999997</v>
      </c>
      <c r="BZ42" s="13">
        <f>BY42*VLOOKUP('Données projet'!$B$12,Paramètres!$A$1:$I$89,3,0)*VLOOKUP('Données projet'!$B$12,Paramètres!$A$1:$I$89,5,0)</f>
        <v>149.24315639999995</v>
      </c>
      <c r="CA42" s="13">
        <f t="shared" si="39"/>
        <v>38.406539594463815</v>
      </c>
      <c r="CB42" s="20">
        <f t="shared" si="10"/>
        <v>326.82322052369108</v>
      </c>
      <c r="CC42" s="59">
        <f t="shared" si="11"/>
        <v>620.15655385702439</v>
      </c>
      <c r="CD42" s="59">
        <f ca="1">AVERAGE(OFFSET($CC$3,0,0,'Données projet'!$E$12+1,1))-AVERAGE(OFFSET($H$3,0,0,'Données projet'!$E$12+1,1))</f>
        <v>593.28343396240075</v>
      </c>
      <c r="CE42" s="59">
        <f t="shared" si="40"/>
        <v>289.66477662068695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6.1538461538461551</v>
      </c>
      <c r="CT42" s="12">
        <f>IF('Données projet'!$A$140&gt;35,CT41+CS42-DB41,IF(A42&lt;'Données projet'!$A$140,$CQ$205^A42,IF(A42='Données projet'!$A$140,'Données projet'!$B$140,CT41+CS42-DB41)))</f>
        <v>116.2820512820513</v>
      </c>
      <c r="CU42" s="17">
        <f>CT42*VLOOKUP('Données projet'!$B$13,Paramètres!$A$1:$I$89,3,0)*VLOOKUP('Données projet'!$B$13,Paramètres!$A$1:$I$89,5,0)</f>
        <v>121.53800000000003</v>
      </c>
      <c r="CV42" s="13">
        <f t="shared" si="41"/>
        <v>32.033446229941767</v>
      </c>
      <c r="CW42" s="20">
        <f t="shared" si="13"/>
        <v>267.47026885048189</v>
      </c>
      <c r="CX42" s="59">
        <f t="shared" si="14"/>
        <v>560.8036021838152</v>
      </c>
      <c r="CY42" s="59">
        <f ca="1">AVERAGE(OFFSET($CX$3,0,0,'Données projet'!$E$13+1,1))-AVERAGE(OFFSET($H$3,0,0,'Données projet'!$E$13+1,1))</f>
        <v>260.65406541614402</v>
      </c>
      <c r="CZ42" s="59">
        <f t="shared" si="42"/>
        <v>277.63456890196886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18.347429041910473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18.347429041910473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</v>
      </c>
      <c r="DO42" s="12">
        <f>IF('Données projet'!$A$166&gt;35,DO41+DN42-DW41,IF(A42&lt;'Données projet'!$A$166,$DL$205^A42,IF(A42='Données projet'!$A$166,'Données projet'!$B$166,DO41+DN42-DW41)))</f>
        <v>120</v>
      </c>
      <c r="DP42" s="17">
        <f>DO42*VLOOKUP('Données projet'!$B$14,Paramètres!$A$1:$I$89,3,0)*VLOOKUP('Données projet'!$B$14,Paramètres!$A$1:$I$89,5,0)</f>
        <v>78.623999999999995</v>
      </c>
      <c r="DQ42" s="13">
        <f t="shared" si="43"/>
        <v>21.800406010684444</v>
      </c>
      <c r="DR42" s="20">
        <f t="shared" si="16"/>
        <v>174.90584046860872</v>
      </c>
      <c r="DS42" s="59">
        <f t="shared" si="17"/>
        <v>468.239173801942</v>
      </c>
      <c r="DT42" s="59">
        <f ca="1">AVERAGE(OFFSET($DS$3,0,0,'Données projet'!$E$14+1,1))-AVERAGE(OFFSET($H$3,0,0,'Données projet'!$E$14+1,1))</f>
        <v>181.4272795535777</v>
      </c>
      <c r="DU42" s="59">
        <f t="shared" si="44"/>
        <v>187.67131775419904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3.1295617347984863</v>
      </c>
      <c r="EC42" s="21">
        <f>EXP(-LN(2)/2)*EC41+(1-EXP(-LN(2)/2))/(LN(2)/2)*DW42*DZ42*VLOOKUP('Données projet'!$B$14,Paramètres!$A$1:$I$89,3,0)*0.475*44/12</f>
        <v>0.73761413347649063</v>
      </c>
      <c r="ED42" s="22">
        <f t="shared" si="18"/>
        <v>3.8671758682749768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5.1282051282051269</v>
      </c>
      <c r="EJ42" s="12">
        <f>IF('Données projet'!$A$192&gt;35,EJ41+EI42-ER41,IF(A42&lt;'Données projet'!$A$192,$EG$205^A42,IF(A42='Données projet'!$A$192,'Données projet'!$B$192,EJ41+EI42-ER41)))</f>
        <v>146.15384615384625</v>
      </c>
      <c r="EK42" s="17">
        <f>EJ42*VLOOKUP('Données projet'!$B$15,Paramètres!$A$1:$I$89,3,0)*VLOOKUP('Données projet'!$B$15,Paramètres!$A$1:$I$89,5,0)</f>
        <v>118.56000000000009</v>
      </c>
      <c r="EL42" s="13">
        <f t="shared" si="45"/>
        <v>31.33890732536991</v>
      </c>
      <c r="EM42" s="20">
        <f t="shared" si="19"/>
        <v>261.07393025835273</v>
      </c>
      <c r="EN42" s="59">
        <f t="shared" si="20"/>
        <v>554.40726359168605</v>
      </c>
      <c r="EO42" s="59">
        <f ca="1">AVERAGE(OFFSET($EN$3,0,0,'Données projet'!$E$15+1,1))-AVERAGE(OFFSET($H$3,0,0,'Données projet'!$E$15+1,1))</f>
        <v>159.68591355116837</v>
      </c>
      <c r="EP42" s="59">
        <f t="shared" si="46"/>
        <v>284.32631786390112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4.928408534300865</v>
      </c>
      <c r="EX42" s="21">
        <f>EXP(-LN(2)/2)*EX41+(1-EXP(-LN(2)/2))/(LN(2)/2)*ER42*EU42*VLOOKUP('Données projet'!$B$15,Paramètres!$A$1:$I$89,3,0)*0.475*44/12</f>
        <v>0.33192816271487952</v>
      </c>
      <c r="EY42" s="22">
        <f t="shared" si="21"/>
        <v>5.2603366970157444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182.4</v>
      </c>
      <c r="FF42" s="17">
        <f>FE42*VLOOKUP('Données projet'!$B$16,Paramètres!$A$1:$I$89,3,0)*VLOOKUP('Données projet'!$B$16,Paramètres!$A$1:$I$89,5,0)</f>
        <v>145.11744000000002</v>
      </c>
      <c r="FG42" s="13">
        <f t="shared" si="47"/>
        <v>37.466878406916173</v>
      </c>
      <c r="FH42" s="20">
        <f t="shared" si="22"/>
        <v>318.00102122537902</v>
      </c>
      <c r="FI42" s="59">
        <f t="shared" si="23"/>
        <v>611.33435455871233</v>
      </c>
      <c r="FJ42" s="59">
        <f ca="1">AVERAGE(OFFSET($FI$3,0,0,'Données projet'!$E$16+1,1))-AVERAGE(OFFSET($H$3,0,0,'Données projet'!$E$16+1,1))</f>
        <v>299.10536994156814</v>
      </c>
      <c r="FK42" s="59">
        <f t="shared" si="48"/>
        <v>292.57799203101769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10.460180703840102</v>
      </c>
      <c r="FS42" s="21">
        <f>EXP(-LN(2)/2)*FS41+(1-EXP(-LN(2)/2))/(LN(2)/2)*FM42*FP42*VLOOKUP('Données projet'!$B$16,Paramètres!$A$1:$I$89,3,0)*0.475*44/12</f>
        <v>1.5948958198125218</v>
      </c>
      <c r="FT42" s="22">
        <f t="shared" si="24"/>
        <v>12.055076523652623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3.0769230769230775</v>
      </c>
      <c r="FZ42" s="12">
        <f>IF('Données projet'!$A$244&gt;35,FZ41+FY42-GH41,IF(A42&lt;'Données projet'!$A$244,$FW$205^A42,IF(A42='Données projet'!$A$244,'Données projet'!$B$244,FZ41+FY42-GH41)))</f>
        <v>146.28205128205133</v>
      </c>
      <c r="GA42" s="17">
        <f>FZ42*VLOOKUP('Données projet'!$B$17,Paramètres!$A$1:$I$89,3,0)*VLOOKUP('Données projet'!$B$17,Paramètres!$A$1:$I$89,5,0)</f>
        <v>132.35600000000002</v>
      </c>
      <c r="GB42" s="13">
        <f t="shared" si="49"/>
        <v>34.540191378814605</v>
      </c>
      <c r="GC42" s="20">
        <f t="shared" si="25"/>
        <v>290.67753331810212</v>
      </c>
      <c r="GD42" s="59">
        <f t="shared" si="26"/>
        <v>584.01086665143544</v>
      </c>
      <c r="GE42" s="59">
        <f ca="1">AVERAGE(OFFSET($GD$3,0,0,'Données projet'!$E$17+1,1))-AVERAGE(OFFSET($H$3,0,0,'Données projet'!$E$17+1,1))</f>
        <v>204.78565758021779</v>
      </c>
      <c r="GF42" s="59">
        <f t="shared" si="50"/>
        <v>287.25131613242439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1.0844304062191383</v>
      </c>
      <c r="GM42" s="21">
        <f>EXP(-LN(2)/25)*GM41+(1-EXP(-LN(2)/25))/(LN(2)/25)*Calculateur!GH42*Calculateur!GJ42*VLOOKUP('Données projet'!$B$17,Paramètres!$A$1:$I$89,3,0)*0.475*44/12</f>
        <v>3.7323363396758578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4.8167667458949959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11.142857142857142</v>
      </c>
      <c r="GU42" s="12">
        <f>IF('Données projet'!$A$270&gt;35,GU41+GT42-HC41,IF(A42&lt;'Données projet'!$A$270,$GR$205^A42,IF(A42='Données projet'!$A$270,'Données projet'!$B$270,GU41+GT42-HC41)))</f>
        <v>174.28571428571422</v>
      </c>
      <c r="GV42" s="17">
        <f>GU42*VLOOKUP('Données projet'!$B$18,Paramètres!$A$1:$I$89,3,0)*VLOOKUP('Données projet'!$B$18,Paramètres!$A$1:$I$89,5,0)</f>
        <v>135.94285714285709</v>
      </c>
      <c r="GW42" s="13">
        <f t="shared" si="51"/>
        <v>35.365986273808367</v>
      </c>
      <c r="GX42" s="20">
        <f t="shared" si="28"/>
        <v>298.36290228402567</v>
      </c>
      <c r="GY42" s="59">
        <f t="shared" si="29"/>
        <v>591.69623561735898</v>
      </c>
      <c r="GZ42" s="59">
        <f ca="1">AVERAGE(OFFSET($GY$3,0,0,'Données projet'!$E$18+1,1))-AVERAGE(OFFSET($H$3,0,0,'Données projet'!$E$18+1,1))</f>
        <v>288.82868507674738</v>
      </c>
      <c r="HA42" s="59">
        <f t="shared" si="52"/>
        <v>283.48738729114024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6.0554223196209112</v>
      </c>
      <c r="HH42" s="21">
        <f>EXP(-LN(2)/25)*HH41+(1-EXP(-LN(2)/25))/(LN(2)/25)*Calculateur!HC42*Calculateur!HE42*VLOOKUP('Données projet'!$B$18,Paramètres!$A$1:$I$89,3,0)*0.475*44/12</f>
        <v>9.003465534526935</v>
      </c>
      <c r="HI42" s="21">
        <f>EXP(-LN(2)/2)*HI41+(1-EXP(-LN(2)/2))/(LN(2)/2)*HC42*HF42*VLOOKUP('Données projet'!$B$18,Paramètres!$A$1:$I$89,3,0)*0.475*44/12</f>
        <v>3.7710490658449487</v>
      </c>
      <c r="HJ42" s="22">
        <f t="shared" si="30"/>
        <v>18.829936919992797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16.693750000000001</v>
      </c>
      <c r="N43" s="13">
        <f>IF('Données projet'!$A$36&gt;35,N42+M43-V42,IF(A43&lt;'Données projet'!$A$36,$K$205^A43,IF(A43='Données projet'!$A$36,'Données projet'!$B$36,N42+M43-V42)))</f>
        <v>284.04625000000004</v>
      </c>
      <c r="O43" s="13">
        <f>N43*VLOOKUP('Données projet'!$B$9,Paramètres!$A$1:$I$89,3,0)*VLOOKUP('Données projet'!$B$9,Paramètres!$A$1:$I$89,5,0)</f>
        <v>169.85965750000003</v>
      </c>
      <c r="P43" s="13">
        <f t="shared" si="33"/>
        <v>43.058590023226742</v>
      </c>
      <c r="Q43" s="20">
        <f t="shared" si="53"/>
        <v>370.83261443628663</v>
      </c>
      <c r="R43" s="59">
        <f t="shared" si="0"/>
        <v>664.16594776961995</v>
      </c>
      <c r="S43" s="59">
        <f ca="1">AVERAGE(OFFSET($R$3,0,0,'Données projet'!$E$9+1,1))-AVERAGE(OFFSET($H$3,0,0,'Données projet'!$E$9+1,1))</f>
        <v>349.71285006949597</v>
      </c>
      <c r="T43" s="59">
        <f t="shared" si="34"/>
        <v>258.51550516456842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9.8249266705959872</v>
      </c>
      <c r="AA43" s="21">
        <f>EXP(-LN(2)/25)*AA42+(1-EXP(-LN(2)/25))/(LN(2)/25)*Calculateur!V43*Calculateur!X43*VLOOKUP('Données projet'!$B$9,Paramètres!$A$1:$I$89,3,0)*0.475*44/12</f>
        <v>13.150302468432365</v>
      </c>
      <c r="AB43" s="21">
        <f>EXP(-LN(2)/2)*AB42+(1-EXP(-LN(2)/2))/(LN(2)/2)*V43*Y43*VLOOKUP('Données projet'!$B$9,Paramètres!$A$1:$I$89,3,0)*0.475*44/12</f>
        <v>1.2817907444389689</v>
      </c>
      <c r="AC43" s="22">
        <f t="shared" si="3"/>
        <v>24.257019883467319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9.8128571428571423</v>
      </c>
      <c r="AI43" s="13">
        <f>IF('Données projet'!$A$62&gt;35,AI42+AH43-AQ42,IF(A43&lt;'Données projet'!$A$62,$AF$205^A43,IF(A43='Données projet'!$A$62,'Données projet'!$B$62,AI42+AH43-AQ42)))</f>
        <v>100.6857142857143</v>
      </c>
      <c r="AJ43" s="13">
        <f>AI43*VLOOKUP('Données projet'!$B$10,Paramètres!$A$1:$I$89,3,0)*VLOOKUP('Données projet'!$B$10,Paramètres!$A$1:$I$89,5,0)</f>
        <v>95.812525714285727</v>
      </c>
      <c r="AK43" s="13">
        <f t="shared" si="35"/>
        <v>25.961919514574856</v>
      </c>
      <c r="AL43" s="20">
        <f t="shared" si="4"/>
        <v>212.09049210693217</v>
      </c>
      <c r="AM43" s="59">
        <f t="shared" si="5"/>
        <v>505.42382544026549</v>
      </c>
      <c r="AN43" s="59">
        <f ca="1">AVERAGE(OFFSET($AM$3,0,0,'Données projet'!$E$10+1,1))-AVERAGE(OFFSET($H$3,0,0,'Données projet'!$E$10+1,1))</f>
        <v>449.28947235329758</v>
      </c>
      <c r="AO43" s="59">
        <f t="shared" si="36"/>
        <v>289.36994109443964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24.405923505366729</v>
      </c>
      <c r="AW43" s="21">
        <f>EXP(-LN(2)/2)*AW42+(1-EXP(-LN(2)/2))/(LN(2)/2)*AQ43*AT43*VLOOKUP('Données projet'!$B$10,Paramètres!$A$1:$I$89,3,0)*0.475*44/12</f>
        <v>6.4259855368437542</v>
      </c>
      <c r="AX43" s="21">
        <f t="shared" si="6"/>
        <v>30.831909042210484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148.18038857142867</v>
      </c>
      <c r="BF43" s="13">
        <f t="shared" si="37"/>
        <v>38.16477912369308</v>
      </c>
      <c r="BG43" s="20">
        <f t="shared" si="7"/>
        <v>324.55116706900372</v>
      </c>
      <c r="BH43" s="59">
        <f t="shared" si="8"/>
        <v>617.88450040233704</v>
      </c>
      <c r="BI43" s="59">
        <f ca="1">AVERAGE(OFFSET($BH$3,0,0,'Données projet'!$E$11+1,1))-AVERAGE(OFFSET($H$3,0,0,'Données projet'!$E$11+1,1))</f>
        <v>635.71275911100679</v>
      </c>
      <c r="BJ43" s="59">
        <f t="shared" si="38"/>
        <v>281.7776857269169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3.3603333333333336</v>
      </c>
      <c r="BY43" s="12">
        <f>IF('Données projet'!$A$114&gt;35,BY42+BX43-CG42,IF(A43&lt;'Données projet'!$A$114,$BV$205^A43,IF(A43='Données projet'!$A$114,'Données projet'!$B$114,BY42+BX43-CG42)))</f>
        <v>134.4133333333333</v>
      </c>
      <c r="BZ43" s="13">
        <f>BY43*VLOOKUP('Données projet'!$B$12,Paramètres!$A$1:$I$89,3,0)*VLOOKUP('Données projet'!$B$12,Paramètres!$A$1:$I$89,5,0)</f>
        <v>153.06990399999998</v>
      </c>
      <c r="CA43" s="13">
        <f t="shared" si="39"/>
        <v>39.275407599099857</v>
      </c>
      <c r="CB43" s="20">
        <f t="shared" si="10"/>
        <v>335.00141770176555</v>
      </c>
      <c r="CC43" s="59">
        <f t="shared" si="11"/>
        <v>628.33475103509886</v>
      </c>
      <c r="CD43" s="59">
        <f ca="1">AVERAGE(OFFSET($CC$3,0,0,'Données projet'!$E$12+1,1))-AVERAGE(OFFSET($H$3,0,0,'Données projet'!$E$12+1,1))</f>
        <v>593.28343396240075</v>
      </c>
      <c r="CE43" s="59">
        <f t="shared" si="40"/>
        <v>289.66477662068695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122.43589743589743</v>
      </c>
      <c r="CR43" s="12">
        <f>VLOOKUP(A43,'Données projet'!$A$139:$I$159,9,0)</f>
        <v>6.1538461538461551</v>
      </c>
      <c r="CS43" s="12">
        <f t="array" ref="CS43">INDEX(CR:CR,MIN(IF(ISNUMBER(CR43:CR239),ROW(CR43:CR239),"")))</f>
        <v>6.1538461538461551</v>
      </c>
      <c r="CT43" s="12">
        <f>IF('Données projet'!$A$140&gt;35,CT42+CS43-DB42,IF(A43&lt;'Données projet'!$A$140,$CQ$205^A43,IF(A43='Données projet'!$A$140,'Données projet'!$B$140,CT42+CS43-DB42)))</f>
        <v>122.43589743589746</v>
      </c>
      <c r="CU43" s="17">
        <f>CT43*VLOOKUP('Données projet'!$B$13,Paramètres!$A$1:$I$89,3,0)*VLOOKUP('Données projet'!$B$13,Paramètres!$A$1:$I$89,5,0)</f>
        <v>127.97000000000003</v>
      </c>
      <c r="CV43" s="13">
        <f t="shared" si="41"/>
        <v>33.526857135589701</v>
      </c>
      <c r="CW43" s="20">
        <f t="shared" si="13"/>
        <v>281.27369284448542</v>
      </c>
      <c r="CX43" s="59">
        <f t="shared" si="14"/>
        <v>574.60702617781874</v>
      </c>
      <c r="CY43" s="59">
        <f ca="1">AVERAGE(OFFSET($CX$3,0,0,'Données projet'!$E$13+1,1))-AVERAGE(OFFSET($H$3,0,0,'Données projet'!$E$13+1,1))</f>
        <v>260.65406541614402</v>
      </c>
      <c r="CZ43" s="59">
        <f t="shared" si="42"/>
        <v>277.63456890196886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21.153846153846153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0.215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23.080045886392881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23.080045886392881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125</v>
      </c>
      <c r="DM43" s="12">
        <f>VLOOKUP(A43,'Données projet'!$A$165:$I$185,9,0)</f>
        <v>5</v>
      </c>
      <c r="DN43" s="12">
        <f t="array" ref="DN43">INDEX(DM:DM,MIN(IF(ISNUMBER(DM43:DM239),ROW(DM43:DM239),"")))</f>
        <v>5</v>
      </c>
      <c r="DO43" s="12">
        <f>IF('Données projet'!$A$166&gt;35,DO42+DN43-DW42,IF(A43&lt;'Données projet'!$A$166,$DL$205^A43,IF(A43='Données projet'!$A$166,'Données projet'!$B$166,DO42+DN43-DW42)))</f>
        <v>125</v>
      </c>
      <c r="DP43" s="17">
        <f>DO43*VLOOKUP('Données projet'!$B$14,Paramètres!$A$1:$I$89,3,0)*VLOOKUP('Données projet'!$B$14,Paramètres!$A$1:$I$89,5,0)</f>
        <v>81.900000000000006</v>
      </c>
      <c r="DQ43" s="13">
        <f t="shared" si="43"/>
        <v>22.601107473346342</v>
      </c>
      <c r="DR43" s="20">
        <f t="shared" si="16"/>
        <v>182.0060955160782</v>
      </c>
      <c r="DS43" s="59">
        <f t="shared" si="17"/>
        <v>475.33942884941155</v>
      </c>
      <c r="DT43" s="59">
        <f ca="1">AVERAGE(OFFSET($DS$3,0,0,'Données projet'!$E$14+1,1))-AVERAGE(OFFSET($H$3,0,0,'Données projet'!$E$14+1,1))</f>
        <v>181.4272795535777</v>
      </c>
      <c r="DU43" s="59">
        <f t="shared" si="44"/>
        <v>187.67131775419904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16.025641025641026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0.1075</v>
      </c>
      <c r="DZ43" s="16">
        <f>IF(ISNA(VLOOKUP(A43,'Données projet'!$A$165:$I$185,7,0)),0%,VLOOKUP(A43,'Données projet'!$A$165:$I$185,7,0))</f>
        <v>0.25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4.2868703326497188</v>
      </c>
      <c r="EC43" s="21">
        <f>EXP(-LN(2)/2)*EC42+(1-EXP(-LN(2)/2))/(LN(2)/2)*DW43*DZ43*VLOOKUP('Données projet'!$B$14,Paramètres!$A$1:$I$89,3,0)*0.475*44/12</f>
        <v>2.9983301065194095</v>
      </c>
      <c r="ED43" s="22">
        <f t="shared" si="18"/>
        <v>7.2852004391691283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151.28205128205127</v>
      </c>
      <c r="EH43" s="12">
        <f>VLOOKUP(A43,'Données projet'!$A$191:$I$211,9,0)</f>
        <v>5.1282051282051269</v>
      </c>
      <c r="EI43" s="12">
        <f t="array" ref="EI43">INDEX(EH:EH,MIN(IF(ISNUMBER(EH43:EH239),ROW(EH43:EH239),"")))</f>
        <v>5.1282051282051269</v>
      </c>
      <c r="EJ43" s="12">
        <f>IF('Données projet'!$A$192&gt;35,EJ42+EI43-ER42,IF(A43&lt;'Données projet'!$A$192,$EG$205^A43,IF(A43='Données projet'!$A$192,'Données projet'!$B$192,EJ42+EI43-ER42)))</f>
        <v>151.28205128205138</v>
      </c>
      <c r="EK43" s="17">
        <f>EJ43*VLOOKUP('Données projet'!$B$15,Paramètres!$A$1:$I$89,3,0)*VLOOKUP('Données projet'!$B$15,Paramètres!$A$1:$I$89,5,0)</f>
        <v>122.7200000000001</v>
      </c>
      <c r="EL43" s="13">
        <f t="shared" si="45"/>
        <v>32.308564708068758</v>
      </c>
      <c r="EM43" s="20">
        <f t="shared" si="19"/>
        <v>270.00808353321997</v>
      </c>
      <c r="EN43" s="59">
        <f t="shared" si="20"/>
        <v>563.34141686655335</v>
      </c>
      <c r="EO43" s="59">
        <f ca="1">AVERAGE(OFFSET($EN$3,0,0,'Données projet'!$E$15+1,1))-AVERAGE(OFFSET($H$3,0,0,'Données projet'!$E$15+1,1))</f>
        <v>159.68591355116837</v>
      </c>
      <c r="EP43" s="59">
        <f t="shared" si="46"/>
        <v>284.32631786390112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151.28205128205127</v>
      </c>
      <c r="ES43" s="16">
        <f>IF(ISNA(VLOOKUP(A43,'Données projet'!$A$191:$I$211,5,0)),0%,VLOOKUP(A43,'Données projet'!$A$191:$I$211,5,0)*VLOOKUP('Données projet'!$B$15,Paramètres!$A$1:$I$89,7,0))</f>
        <v>0.1075</v>
      </c>
      <c r="ET43" s="16">
        <f>IF(ISNA(VLOOKUP(A43,'Données projet'!$A$191:$I$211,6,0)),0%,VLOOKUP(A43,'Données projet'!$A$191:$I$211,6,0)*VLOOKUP('Données projet'!$B$15,Paramètres!$A$1:$I$89,7,0))</f>
        <v>0.1075</v>
      </c>
      <c r="EU43" s="16">
        <f>IF(ISNA(VLOOKUP(A43,'Données projet'!$A$191:$I$211,7,0)),0%,VLOOKUP(A43,'Données projet'!$A$191:$I$211,7,0))</f>
        <v>0.25</v>
      </c>
      <c r="EV43" s="21">
        <f>EXP(-LN(2)/35)*EV42+(1-EXP(-LN(2)/35))/(LN(2)/35)*ER43*ES43*VLOOKUP('Données projet'!$B$15,Paramètres!$A$1:$I$89,3,0)*0.475*44/12</f>
        <v>14.583807434950486</v>
      </c>
      <c r="EW43" s="21">
        <f>EXP(-LN(2)/25)*EW42+(1-EXP(-LN(2)/25))/(LN(2)/25)*Calculateur!ER43*Calculateur!ET43*VLOOKUP('Données projet'!$B$15,Paramètres!$A$1:$I$89,3,0)*0.475*44/12</f>
        <v>19.320026371969472</v>
      </c>
      <c r="EX43" s="21">
        <f>EXP(-LN(2)/2)*EX42+(1-EXP(-LN(2)/2))/(LN(2)/2)*ER43*EU43*VLOOKUP('Données projet'!$B$15,Paramètres!$A$1:$I$89,3,0)*0.475*44/12</f>
        <v>29.182114394815788</v>
      </c>
      <c r="EY43" s="22">
        <f t="shared" si="21"/>
        <v>63.085948201735746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192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192</v>
      </c>
      <c r="FF43" s="17">
        <f>FE43*VLOOKUP('Données projet'!$B$16,Paramètres!$A$1:$I$89,3,0)*VLOOKUP('Données projet'!$B$16,Paramètres!$A$1:$I$89,5,0)</f>
        <v>152.7552</v>
      </c>
      <c r="FG43" s="13">
        <f t="shared" si="47"/>
        <v>39.204049895729561</v>
      </c>
      <c r="FH43" s="20">
        <f t="shared" si="22"/>
        <v>334.32902690172892</v>
      </c>
      <c r="FI43" s="59">
        <f t="shared" si="23"/>
        <v>627.66236023506224</v>
      </c>
      <c r="FJ43" s="59">
        <f ca="1">AVERAGE(OFFSET($FI$3,0,0,'Données projet'!$E$16+1,1))-AVERAGE(OFFSET($H$3,0,0,'Données projet'!$E$16+1,1))</f>
        <v>299.10536994156814</v>
      </c>
      <c r="FK43" s="59">
        <f t="shared" si="48"/>
        <v>292.57799203101769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0.13250000000000001</v>
      </c>
      <c r="FO43" s="16">
        <f>IF(ISNA(VLOOKUP(A43,'Données projet'!$A$217:$I$237,6,0)),0%,VLOOKUP(A43,'Données projet'!$A$217:$I$237,6,0)*VLOOKUP('Données projet'!$B$16,Paramètres!$A$1:$I$89,7,0))</f>
        <v>0.13250000000000001</v>
      </c>
      <c r="FP43" s="16">
        <f>IF(ISNA(VLOOKUP(A43,'Données projet'!$A$217:$I$237,7,0)),0%,VLOOKUP(A43,'Données projet'!$A$217:$I$237,7,0))</f>
        <v>0.25</v>
      </c>
      <c r="FQ43" s="21">
        <f>EXP(-LN(2)/35)*FQ42+(1-EXP(-LN(2)/35))/(LN(2)/35)*FM43*FN43*VLOOKUP('Données projet'!$B$16,Paramètres!$A$1:$I$89,3,0)*0.475*44/12</f>
        <v>3.2629903879783004</v>
      </c>
      <c r="FR43" s="21">
        <f>EXP(-LN(2)/25)*FR42+(1-EXP(-LN(2)/25))/(LN(2)/25)*Calculateur!FM43*Calculateur!FO43*VLOOKUP('Données projet'!$B$16,Paramètres!$A$1:$I$89,3,0)*0.475*44/12</f>
        <v>13.424289263940617</v>
      </c>
      <c r="FS43" s="21">
        <f>EXP(-LN(2)/2)*FS42+(1-EXP(-LN(2)/2))/(LN(2)/2)*FM43*FP43*VLOOKUP('Données projet'!$B$16,Paramètres!$A$1:$I$89,3,0)*0.475*44/12</f>
        <v>6.3824517422958404</v>
      </c>
      <c r="FT43" s="22">
        <f t="shared" si="24"/>
        <v>23.069731394214756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149.35897435897436</v>
      </c>
      <c r="FX43" s="12">
        <f>VLOOKUP(A43,'Données projet'!$A$243:$I$263,9,0)</f>
        <v>3.0769230769230775</v>
      </c>
      <c r="FY43" s="12">
        <f t="array" ref="FY43">INDEX(FX:FX,MIN(IF(ISNUMBER(FX43:FX239),ROW(FX43:FX239),"")))</f>
        <v>3.0769230769230775</v>
      </c>
      <c r="FZ43" s="12">
        <f>IF('Données projet'!$A$244&gt;35,FZ42+FY43-GH42,IF(A43&lt;'Données projet'!$A$244,$FW$205^A43,IF(A43='Données projet'!$A$244,'Données projet'!$B$244,FZ42+FY43-GH42)))</f>
        <v>149.35897435897439</v>
      </c>
      <c r="GA43" s="17">
        <f>FZ43*VLOOKUP('Données projet'!$B$17,Paramètres!$A$1:$I$89,3,0)*VLOOKUP('Données projet'!$B$17,Paramètres!$A$1:$I$89,5,0)</f>
        <v>135.14000000000001</v>
      </c>
      <c r="GB43" s="13">
        <f t="shared" si="49"/>
        <v>35.181368741147637</v>
      </c>
      <c r="GC43" s="20">
        <f t="shared" si="25"/>
        <v>296.64305055749878</v>
      </c>
      <c r="GD43" s="59">
        <f t="shared" si="26"/>
        <v>589.97638389083204</v>
      </c>
      <c r="GE43" s="59">
        <f ca="1">AVERAGE(OFFSET($GD$3,0,0,'Données projet'!$E$17+1,1))-AVERAGE(OFFSET($H$3,0,0,'Données projet'!$E$17+1,1))</f>
        <v>204.78565758021779</v>
      </c>
      <c r="GF43" s="59">
        <f t="shared" si="50"/>
        <v>287.25131613242439</v>
      </c>
      <c r="GG43" s="15">
        <f>IF(ISNA(VLOOKUP(A43,'Données projet'!$A$243:$I$263,3,0)),0,VLOOKUP(A43,'Données projet'!$A$243:$I$263,3,0))</f>
        <v>8</v>
      </c>
      <c r="GH43" s="15">
        <f>IF(ISNA(VLOOKUP(A43,'Données projet'!$A$243:$I$263,4,0)),0,VLOOKUP(A43,'Données projet'!$A$243:$I$263,4,0))</f>
        <v>3.8461538461538458</v>
      </c>
      <c r="GI43" s="16">
        <f>IF(ISNA(VLOOKUP(A43,'Données projet'!$A$243:$I$263,5,0)),0%,VLOOKUP(A43,'Données projet'!$A$243:$I$263,5,0)*VLOOKUP('Données projet'!$B$17,Paramètres!$A$1:$I$89,7,0))</f>
        <v>0.03</v>
      </c>
      <c r="GJ43" s="16">
        <f>IF(ISNA(VLOOKUP(A43,'Données projet'!$A$243:$I$263,6,0)),0%,VLOOKUP(A43,'Données projet'!$A$243:$I$263,6,0)*VLOOKUP('Données projet'!$B$17,Paramètres!$A$1:$I$89,7,0))</f>
        <v>0.12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1.1785764950136572</v>
      </c>
      <c r="GM43" s="21">
        <f>EXP(-LN(2)/25)*GM42+(1-EXP(-LN(2)/25))/(LN(2)/25)*Calculateur!GH43*Calculateur!GJ43*VLOOKUP('Données projet'!$B$17,Paramètres!$A$1:$I$89,3,0)*0.475*44/12</f>
        <v>4.0901021666621746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5.2686786616758319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11.142857142857142</v>
      </c>
      <c r="GU43" s="12">
        <f>IF('Données projet'!$A$270&gt;35,GU42+GT43-HC42,IF(A43&lt;'Données projet'!$A$270,$GR$205^A43,IF(A43='Données projet'!$A$270,'Données projet'!$B$270,GU42+GT43-HC42)))</f>
        <v>185.42857142857136</v>
      </c>
      <c r="GV43" s="17">
        <f>GU43*VLOOKUP('Données projet'!$B$18,Paramètres!$A$1:$I$89,3,0)*VLOOKUP('Données projet'!$B$18,Paramètres!$A$1:$I$89,5,0)</f>
        <v>144.63428571428565</v>
      </c>
      <c r="GW43" s="13">
        <f t="shared" si="51"/>
        <v>37.356634728420524</v>
      </c>
      <c r="GX43" s="20">
        <f t="shared" si="28"/>
        <v>316.96751977104657</v>
      </c>
      <c r="GY43" s="59">
        <f t="shared" si="29"/>
        <v>610.30085310437994</v>
      </c>
      <c r="GZ43" s="59">
        <f ca="1">AVERAGE(OFFSET($GY$3,0,0,'Données projet'!$E$18+1,1))-AVERAGE(OFFSET($H$3,0,0,'Données projet'!$E$18+1,1))</f>
        <v>288.82868507674738</v>
      </c>
      <c r="HA43" s="59">
        <f t="shared" si="52"/>
        <v>283.48738729114024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5.9366791813760624</v>
      </c>
      <c r="HH43" s="21">
        <f>EXP(-LN(2)/25)*HH42+(1-EXP(-LN(2)/25))/(LN(2)/25)*Calculateur!HC43*Calculateur!HE43*VLOOKUP('Données projet'!$B$18,Paramètres!$A$1:$I$89,3,0)*0.475*44/12</f>
        <v>8.757265296013621</v>
      </c>
      <c r="HI43" s="21">
        <f>EXP(-LN(2)/2)*HI42+(1-EXP(-LN(2)/2))/(LN(2)/2)*HC43*HF43*VLOOKUP('Données projet'!$B$18,Paramètres!$A$1:$I$89,3,0)*0.475*44/12</f>
        <v>2.6665343666461587</v>
      </c>
      <c r="HJ43" s="22">
        <f t="shared" si="30"/>
        <v>17.360478844035843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300.74</v>
      </c>
      <c r="L44" s="12">
        <f>VLOOKUP(A44,'Données projet'!$A$35:$I$55,9,0)</f>
        <v>16.693750000000001</v>
      </c>
      <c r="M44" s="12">
        <f t="array" ref="M44">INDEX(L:L,MIN(IF(ISNUMBER(L44:L240),ROW(L44:L240),"")))</f>
        <v>16.693750000000001</v>
      </c>
      <c r="N44" s="13">
        <f>IF('Données projet'!$A$36&gt;35,N43+M44-V43,IF(A44&lt;'Données projet'!$A$36,$K$205^A44,IF(A44='Données projet'!$A$36,'Données projet'!$B$36,N43+M44-V43)))</f>
        <v>300.74000000000007</v>
      </c>
      <c r="O44" s="13">
        <f>N44*VLOOKUP('Données projet'!$B$9,Paramètres!$A$1:$I$89,3,0)*VLOOKUP('Données projet'!$B$9,Paramètres!$A$1:$I$89,5,0)</f>
        <v>179.84252000000006</v>
      </c>
      <c r="P44" s="13">
        <f t="shared" si="33"/>
        <v>45.287147983377729</v>
      </c>
      <c r="Q44" s="20">
        <f t="shared" si="53"/>
        <v>392.10083840438301</v>
      </c>
      <c r="R44" s="59">
        <f t="shared" si="0"/>
        <v>685.43417173771627</v>
      </c>
      <c r="S44" s="59">
        <f ca="1">AVERAGE(OFFSET($R$3,0,0,'Données projet'!$E$9+1,1))-AVERAGE(OFFSET($H$3,0,0,'Données projet'!$E$9+1,1))</f>
        <v>349.71285006949597</v>
      </c>
      <c r="T44" s="59">
        <f t="shared" si="34"/>
        <v>258.51550516456842</v>
      </c>
      <c r="U44" s="15">
        <f>IF(ISNA(VLOOKUP(A44,'Données projet'!$A$35:$I$55,3,0)),0,VLOOKUP(A44,'Données projet'!$A$35:$I$55,3,0))</f>
        <v>4</v>
      </c>
      <c r="V44" s="15">
        <f>IF(ISNA(VLOOKUP(A44,'Données projet'!$A$35:$I$55,4,0)),0,VLOOKUP(A44,'Données projet'!$A$35:$I$55,4,0))</f>
        <v>72.16</v>
      </c>
      <c r="W44" s="16">
        <f>IF(ISNA(VLOOKUP(A44,'Données projet'!$A$35:$I$55,5,0)),0%,VLOOKUP(A44,'Données projet'!$A$35:$I$55,5,0)*VLOOKUP('Données projet'!$B$9,Paramètres!$A$1:$I$89,7,0))</f>
        <v>0.27</v>
      </c>
      <c r="X44" s="16">
        <f>IF(ISNA(VLOOKUP(A44,'Données projet'!$A$35:$I$55,6,0)),0%,VLOOKUP(A44,'Données projet'!$A$35:$I$55,6,0)*VLOOKUP('Données projet'!$B$9,Paramètres!$A$1:$I$89,7,0))</f>
        <v>9.0000000000000011E-2</v>
      </c>
      <c r="Y44" s="16">
        <f>IF(ISNA(VLOOKUP(A44,'Données projet'!$A$35:$I$55,7,0)),0%,VLOOKUP(A44,'Données projet'!$A$35:$I$55,7,0))</f>
        <v>0.2</v>
      </c>
      <c r="Z44" s="21">
        <f>EXP(-LN(2)/35)*Z43+(1-EXP(-LN(2)/35))/(LN(2)/35)*V44*W44*VLOOKUP('Données projet'!$B$9,Paramètres!$A$1:$I$89,3,0)*0.475*44/12</f>
        <v>25.088006768934498</v>
      </c>
      <c r="AA44" s="21">
        <f>EXP(-LN(2)/25)*AA43+(1-EXP(-LN(2)/25))/(LN(2)/25)*Calculateur!V44*Calculateur!X44*VLOOKUP('Données projet'!$B$9,Paramètres!$A$1:$I$89,3,0)*0.475*44/12</f>
        <v>17.922335348103143</v>
      </c>
      <c r="AB44" s="21">
        <f>EXP(-LN(2)/2)*AB43+(1-EXP(-LN(2)/2))/(LN(2)/2)*V44*Y44*VLOOKUP('Données projet'!$B$9,Paramètres!$A$1:$I$89,3,0)*0.475*44/12</f>
        <v>10.677908085160318</v>
      </c>
      <c r="AC44" s="22">
        <f t="shared" si="3"/>
        <v>53.688250202197956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9.8128571428571423</v>
      </c>
      <c r="AI44" s="13">
        <f>IF('Données projet'!$A$62&gt;35,AI43+AH44-AQ43,IF(A44&lt;'Données projet'!$A$62,$AF$205^A44,IF(A44='Données projet'!$A$62,'Données projet'!$B$62,AI43+AH44-AQ43)))</f>
        <v>110.49857142857144</v>
      </c>
      <c r="AJ44" s="13">
        <f>AI44*VLOOKUP('Données projet'!$B$10,Paramètres!$A$1:$I$89,3,0)*VLOOKUP('Données projet'!$B$10,Paramètres!$A$1:$I$89,5,0)</f>
        <v>105.15044057142858</v>
      </c>
      <c r="AK44" s="13">
        <f t="shared" si="35"/>
        <v>28.185409559827399</v>
      </c>
      <c r="AL44" s="20">
        <f t="shared" si="4"/>
        <v>232.22660564527078</v>
      </c>
      <c r="AM44" s="59">
        <f t="shared" si="5"/>
        <v>525.55993897860412</v>
      </c>
      <c r="AN44" s="59">
        <f ca="1">AVERAGE(OFFSET($AM$3,0,0,'Données projet'!$E$10+1,1))-AVERAGE(OFFSET($H$3,0,0,'Données projet'!$E$10+1,1))</f>
        <v>449.28947235329758</v>
      </c>
      <c r="AO44" s="59">
        <f t="shared" si="36"/>
        <v>289.36994109443964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23.738542243660739</v>
      </c>
      <c r="AW44" s="21">
        <f>EXP(-LN(2)/2)*AW43+(1-EXP(-LN(2)/2))/(LN(2)/2)*AQ44*AT44*VLOOKUP('Données projet'!$B$10,Paramètres!$A$1:$I$89,3,0)*0.475*44/12</f>
        <v>4.5438579489088955</v>
      </c>
      <c r="AX44" s="21">
        <f t="shared" si="6"/>
        <v>28.282400192569632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151.88489828571437</v>
      </c>
      <c r="BF44" s="13">
        <f t="shared" si="37"/>
        <v>39.006623705593562</v>
      </c>
      <c r="BG44" s="20">
        <f t="shared" si="7"/>
        <v>332.46940080152797</v>
      </c>
      <c r="BH44" s="59">
        <f t="shared" si="8"/>
        <v>625.80273413486134</v>
      </c>
      <c r="BI44" s="59">
        <f ca="1">AVERAGE(OFFSET($BH$3,0,0,'Données projet'!$E$11+1,1))-AVERAGE(OFFSET($H$3,0,0,'Données projet'!$E$11+1,1))</f>
        <v>635.71275911100679</v>
      </c>
      <c r="BJ44" s="59">
        <f t="shared" si="38"/>
        <v>281.7776857269169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3.3603333333333336</v>
      </c>
      <c r="BY44" s="12">
        <f>IF('Données projet'!$A$114&gt;35,BY43+BX44-CG43,IF(A44&lt;'Données projet'!$A$114,$BV$205^A44,IF(A44='Données projet'!$A$114,'Données projet'!$B$114,BY43+BX44-CG43)))</f>
        <v>137.77366666666663</v>
      </c>
      <c r="BZ44" s="13">
        <f>BY44*VLOOKUP('Données projet'!$B$12,Paramètres!$A$1:$I$89,3,0)*VLOOKUP('Données projet'!$B$12,Paramètres!$A$1:$I$89,5,0)</f>
        <v>156.89665159999996</v>
      </c>
      <c r="CA44" s="13">
        <f t="shared" si="39"/>
        <v>40.141750595140159</v>
      </c>
      <c r="CB44" s="20">
        <f t="shared" si="10"/>
        <v>343.17521715653567</v>
      </c>
      <c r="CC44" s="59">
        <f t="shared" si="11"/>
        <v>636.50855048986898</v>
      </c>
      <c r="CD44" s="59">
        <f ca="1">AVERAGE(OFFSET($CC$3,0,0,'Données projet'!$E$12+1,1))-AVERAGE(OFFSET($H$3,0,0,'Données projet'!$E$12+1,1))</f>
        <v>593.28343396240075</v>
      </c>
      <c r="CE44" s="59">
        <f t="shared" si="40"/>
        <v>289.66477662068695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5.5128205128205137</v>
      </c>
      <c r="CT44" s="12">
        <f>IF('Données projet'!$A$140&gt;35,CT43+CS44-DB43,IF(A44&lt;'Données projet'!$A$140,$CQ$205^A44,IF(A44='Données projet'!$A$140,'Données projet'!$B$140,CT43+CS44-DB43)))</f>
        <v>106.79487179487182</v>
      </c>
      <c r="CU44" s="17">
        <f>CT44*VLOOKUP('Données projet'!$B$13,Paramètres!$A$1:$I$89,3,0)*VLOOKUP('Données projet'!$B$13,Paramètres!$A$1:$I$89,5,0)</f>
        <v>111.62200000000006</v>
      </c>
      <c r="CV44" s="13">
        <f t="shared" si="41"/>
        <v>29.712814248796512</v>
      </c>
      <c r="CW44" s="20">
        <f t="shared" si="13"/>
        <v>246.15813481665398</v>
      </c>
      <c r="CX44" s="59">
        <f t="shared" si="14"/>
        <v>539.49146814998733</v>
      </c>
      <c r="CY44" s="59">
        <f ca="1">AVERAGE(OFFSET($CX$3,0,0,'Données projet'!$E$13+1,1))-AVERAGE(OFFSET($H$3,0,0,'Données projet'!$E$13+1,1))</f>
        <v>260.65406541614402</v>
      </c>
      <c r="CZ44" s="59">
        <f t="shared" si="42"/>
        <v>277.63456890196886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22.448920817902604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22.448920817902604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4.7435897435897401</v>
      </c>
      <c r="DO44" s="12">
        <f>IF('Données projet'!$A$166&gt;35,DO43+DN44-DW43,IF(A44&lt;'Données projet'!$A$166,$DL$205^A44,IF(A44='Données projet'!$A$166,'Données projet'!$B$166,DO43+DN44-DW43)))</f>
        <v>113.71794871794873</v>
      </c>
      <c r="DP44" s="17">
        <f>DO44*VLOOKUP('Données projet'!$B$14,Paramètres!$A$1:$I$89,3,0)*VLOOKUP('Données projet'!$B$14,Paramètres!$A$1:$I$89,5,0)</f>
        <v>74.50800000000001</v>
      </c>
      <c r="DQ44" s="13">
        <f t="shared" si="43"/>
        <v>20.788854158464918</v>
      </c>
      <c r="DR44" s="20">
        <f t="shared" si="16"/>
        <v>165.97535432599307</v>
      </c>
      <c r="DS44" s="59">
        <f t="shared" si="17"/>
        <v>459.30868765932638</v>
      </c>
      <c r="DT44" s="59">
        <f ca="1">AVERAGE(OFFSET($DS$3,0,0,'Données projet'!$E$14+1,1))-AVERAGE(OFFSET($H$3,0,0,'Données projet'!$E$14+1,1))</f>
        <v>181.4272795535777</v>
      </c>
      <c r="DU44" s="59">
        <f t="shared" si="44"/>
        <v>187.67131775419904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4.1696456379666991</v>
      </c>
      <c r="EC44" s="21">
        <f>EXP(-LN(2)/2)*EC43+(1-EXP(-LN(2)/2))/(LN(2)/2)*DW44*DZ44*VLOOKUP('Données projet'!$B$14,Paramètres!$A$1:$I$89,3,0)*0.475*44/12</f>
        <v>2.1201395505556579</v>
      </c>
      <c r="ED44" s="22">
        <f t="shared" si="18"/>
        <v>6.289785188522357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1.1368683772161603E-13</v>
      </c>
      <c r="EK44" s="17">
        <f>EJ44*VLOOKUP('Données projet'!$B$15,Paramètres!$A$1:$I$89,3,0)*VLOOKUP('Données projet'!$B$15,Paramètres!$A$1:$I$89,5,0)</f>
        <v>9.2222762759774927E-14</v>
      </c>
      <c r="EL44" s="13">
        <f t="shared" si="45"/>
        <v>1.3985662224947967E-12</v>
      </c>
      <c r="EM44" s="20">
        <f t="shared" si="19"/>
        <v>2.5964574826517121E-12</v>
      </c>
      <c r="EN44" s="59">
        <f t="shared" si="20"/>
        <v>293.33333333333593</v>
      </c>
      <c r="EO44" s="59">
        <f ca="1">AVERAGE(OFFSET($EN$3,0,0,'Données projet'!$E$15+1,1))-AVERAGE(OFFSET($H$3,0,0,'Données projet'!$E$15+1,1))</f>
        <v>159.68591355116837</v>
      </c>
      <c r="EP44" s="59">
        <f t="shared" si="46"/>
        <v>284.32631786390112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14.297827866395311</v>
      </c>
      <c r="EW44" s="21">
        <f>EXP(-LN(2)/25)*EW43+(1-EXP(-LN(2)/25))/(LN(2)/25)*Calculateur!ER44*Calculateur!ET44*VLOOKUP('Données projet'!$B$15,Paramètres!$A$1:$I$89,3,0)*0.475*44/12</f>
        <v>18.791719234831938</v>
      </c>
      <c r="EX44" s="21">
        <f>EXP(-LN(2)/2)*EX43+(1-EXP(-LN(2)/2))/(LN(2)/2)*ER44*EU44*VLOOKUP('Données projet'!$B$15,Paramètres!$A$1:$I$89,3,0)*0.475*44/12</f>
        <v>20.634870977935808</v>
      </c>
      <c r="EY44" s="22">
        <f t="shared" si="21"/>
        <v>53.724418079163058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8.1999999999999993</v>
      </c>
      <c r="FE44" s="12">
        <f>IF('Données projet'!$A$218&gt;35,FE43+FD44-FM43,IF(A44&lt;'Données projet'!$A$218,$FB$205^A44,IF(A44='Données projet'!$A$218,'Données projet'!$B$218,FE43+FD44-FM43)))</f>
        <v>172.2</v>
      </c>
      <c r="FF44" s="17">
        <f>FE44*VLOOKUP('Données projet'!$B$16,Paramètres!$A$1:$I$89,3,0)*VLOOKUP('Données projet'!$B$16,Paramètres!$A$1:$I$89,5,0)</f>
        <v>137.00232</v>
      </c>
      <c r="FG44" s="13">
        <f t="shared" si="47"/>
        <v>35.609416420931346</v>
      </c>
      <c r="FH44" s="20">
        <f t="shared" si="22"/>
        <v>300.63210759978875</v>
      </c>
      <c r="FI44" s="59">
        <f t="shared" si="23"/>
        <v>593.96544093312207</v>
      </c>
      <c r="FJ44" s="59">
        <f ca="1">AVERAGE(OFFSET($FI$3,0,0,'Données projet'!$E$16+1,1))-AVERAGE(OFFSET($H$3,0,0,'Données projet'!$E$16+1,1))</f>
        <v>299.10536994156814</v>
      </c>
      <c r="FK44" s="59">
        <f t="shared" si="48"/>
        <v>292.57799203101769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3.199005136697664</v>
      </c>
      <c r="FR44" s="21">
        <f>EXP(-LN(2)/25)*FR43+(1-EXP(-LN(2)/25))/(LN(2)/25)*Calculateur!FM44*Calculateur!FO44*VLOOKUP('Données projet'!$B$16,Paramètres!$A$1:$I$89,3,0)*0.475*44/12</f>
        <v>13.057201368065471</v>
      </c>
      <c r="FS44" s="21">
        <f>EXP(-LN(2)/2)*FS43+(1-EXP(-LN(2)/2))/(LN(2)/2)*FM44*FP44*VLOOKUP('Données projet'!$B$16,Paramètres!$A$1:$I$89,3,0)*0.475*44/12</f>
        <v>4.5130749075732846</v>
      </c>
      <c r="FT44" s="22">
        <f t="shared" si="24"/>
        <v>20.769281412336419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3.2051282051281986</v>
      </c>
      <c r="FZ44" s="12">
        <f>IF('Données projet'!$A$244&gt;35,FZ43+FY44-GH43,IF(A44&lt;'Données projet'!$A$244,$FW$205^A44,IF(A44='Données projet'!$A$244,'Données projet'!$B$244,FZ43+FY44-GH43)))</f>
        <v>148.71794871794876</v>
      </c>
      <c r="GA44" s="17">
        <f>FZ44*VLOOKUP('Données projet'!$B$17,Paramètres!$A$1:$I$89,3,0)*VLOOKUP('Données projet'!$B$17,Paramètres!$A$1:$I$89,5,0)</f>
        <v>134.56000000000003</v>
      </c>
      <c r="GB44" s="13">
        <f t="shared" si="49"/>
        <v>35.047917948259176</v>
      </c>
      <c r="GC44" s="20">
        <f t="shared" si="25"/>
        <v>295.40045709321811</v>
      </c>
      <c r="GD44" s="59">
        <f t="shared" si="26"/>
        <v>588.73379042655142</v>
      </c>
      <c r="GE44" s="59">
        <f ca="1">AVERAGE(OFFSET($GD$3,0,0,'Données projet'!$E$17+1,1))-AVERAGE(OFFSET($H$3,0,0,'Données projet'!$E$17+1,1))</f>
        <v>204.78565758021779</v>
      </c>
      <c r="GF44" s="59">
        <f t="shared" si="50"/>
        <v>287.25131613242439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1.1554653288071197</v>
      </c>
      <c r="GM44" s="21">
        <f>EXP(-LN(2)/25)*GM43+(1-EXP(-LN(2)/25))/(LN(2)/25)*Calculateur!GH44*Calculateur!GJ44*VLOOKUP('Données projet'!$B$17,Paramètres!$A$1:$I$89,3,0)*0.475*44/12</f>
        <v>3.9782581078256727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5.133723436632792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11.142857142857142</v>
      </c>
      <c r="GU44" s="12">
        <f>IF('Données projet'!$A$270&gt;35,GU43+GT44-HC43,IF(A44&lt;'Données projet'!$A$270,$GR$205^A44,IF(A44='Données projet'!$A$270,'Données projet'!$B$270,GU43+GT44-HC43)))</f>
        <v>196.5714285714285</v>
      </c>
      <c r="GV44" s="17">
        <f>GU44*VLOOKUP('Données projet'!$B$18,Paramètres!$A$1:$I$89,3,0)*VLOOKUP('Données projet'!$B$18,Paramètres!$A$1:$I$89,5,0)</f>
        <v>153.32571428571424</v>
      </c>
      <c r="GW44" s="13">
        <f t="shared" si="51"/>
        <v>39.333398837614155</v>
      </c>
      <c r="GX44" s="20">
        <f t="shared" si="28"/>
        <v>335.5479553564636</v>
      </c>
      <c r="GY44" s="59">
        <f t="shared" si="29"/>
        <v>628.88128868979697</v>
      </c>
      <c r="GZ44" s="59">
        <f ca="1">AVERAGE(OFFSET($GY$3,0,0,'Données projet'!$E$18+1,1))-AVERAGE(OFFSET($H$3,0,0,'Données projet'!$E$18+1,1))</f>
        <v>288.82868507674738</v>
      </c>
      <c r="HA44" s="59">
        <f t="shared" si="52"/>
        <v>283.48738729114024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5.8202645236460331</v>
      </c>
      <c r="HH44" s="21">
        <f>EXP(-LN(2)/25)*HH43+(1-EXP(-LN(2)/25))/(LN(2)/25)*Calculateur!HC44*Calculateur!HE44*VLOOKUP('Données projet'!$B$18,Paramètres!$A$1:$I$89,3,0)*0.475*44/12</f>
        <v>8.5177974159695609</v>
      </c>
      <c r="HI44" s="21">
        <f>EXP(-LN(2)/2)*HI43+(1-EXP(-LN(2)/2))/(LN(2)/2)*HC44*HF44*VLOOKUP('Données projet'!$B$18,Paramètres!$A$1:$I$89,3,0)*0.475*44/12</f>
        <v>1.8855245329224746</v>
      </c>
      <c r="HJ44" s="22">
        <f t="shared" si="30"/>
        <v>16.22358647253807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15.714444444444442</v>
      </c>
      <c r="N45" s="13">
        <f>IF('Données projet'!$A$36&gt;35,N44+M45-V44,IF(A45&lt;'Données projet'!$A$36,$K$205^A45,IF(A45='Données projet'!$A$36,'Données projet'!$B$36,N44+M45-V44)))</f>
        <v>244.29444444444451</v>
      </c>
      <c r="O45" s="13">
        <f>N45*VLOOKUP('Données projet'!$B$9,Paramètres!$A$1:$I$89,3,0)*VLOOKUP('Données projet'!$B$9,Paramètres!$A$1:$I$89,5,0)</f>
        <v>146.08807777777784</v>
      </c>
      <c r="P45" s="13">
        <f t="shared" si="33"/>
        <v>37.688224634642516</v>
      </c>
      <c r="Q45" s="20">
        <f t="shared" si="53"/>
        <v>320.07706003496543</v>
      </c>
      <c r="R45" s="59">
        <f t="shared" si="0"/>
        <v>613.41039336829874</v>
      </c>
      <c r="S45" s="59">
        <f ca="1">AVERAGE(OFFSET($R$3,0,0,'Données projet'!$E$9+1,1))-AVERAGE(OFFSET($H$3,0,0,'Données projet'!$E$9+1,1))</f>
        <v>349.71285006949597</v>
      </c>
      <c r="T45" s="59">
        <f t="shared" si="34"/>
        <v>258.51550516456842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24.596046258368858</v>
      </c>
      <c r="AA45" s="21">
        <f>EXP(-LN(2)/25)*AA44+(1-EXP(-LN(2)/25))/(LN(2)/25)*Calculateur!V45*Calculateur!X45*VLOOKUP('Données projet'!$B$9,Paramètres!$A$1:$I$89,3,0)*0.475*44/12</f>
        <v>17.43224814551461</v>
      </c>
      <c r="AB45" s="21">
        <f>EXP(-LN(2)/2)*AB44+(1-EXP(-LN(2)/2))/(LN(2)/2)*V45*Y45*VLOOKUP('Données projet'!$B$9,Paramètres!$A$1:$I$89,3,0)*0.475*44/12</f>
        <v>7.5504212159035244</v>
      </c>
      <c r="AC45" s="22">
        <f t="shared" si="3"/>
        <v>49.57871561978699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9.8128571428571423</v>
      </c>
      <c r="AI45" s="13">
        <f>IF('Données projet'!$A$62&gt;35,AI44+AH45-AQ44,IF(A45&lt;'Données projet'!$A$62,$AF$205^A45,IF(A45='Données projet'!$A$62,'Données projet'!$B$62,AI44+AH45-AQ44)))</f>
        <v>120.31142857142858</v>
      </c>
      <c r="AJ45" s="13">
        <f>AI45*VLOOKUP('Données projet'!$B$10,Paramètres!$A$1:$I$89,3,0)*VLOOKUP('Données projet'!$B$10,Paramètres!$A$1:$I$89,5,0)</f>
        <v>114.48835542857144</v>
      </c>
      <c r="AK45" s="13">
        <f t="shared" si="35"/>
        <v>30.386002172379861</v>
      </c>
      <c r="AL45" s="20">
        <f t="shared" si="4"/>
        <v>252.32283948832352</v>
      </c>
      <c r="AM45" s="59">
        <f t="shared" si="5"/>
        <v>545.65617282165681</v>
      </c>
      <c r="AN45" s="59">
        <f ca="1">AVERAGE(OFFSET($AM$3,0,0,'Données projet'!$E$10+1,1))-AVERAGE(OFFSET($H$3,0,0,'Données projet'!$E$10+1,1))</f>
        <v>449.28947235329758</v>
      </c>
      <c r="AO45" s="59">
        <f t="shared" si="36"/>
        <v>289.36994109443964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23.089410557652155</v>
      </c>
      <c r="AW45" s="21">
        <f>EXP(-LN(2)/2)*AW44+(1-EXP(-LN(2)/2))/(LN(2)/2)*AQ45*AT45*VLOOKUP('Données projet'!$B$10,Paramètres!$A$1:$I$89,3,0)*0.475*44/12</f>
        <v>3.2129927684218771</v>
      </c>
      <c r="AX45" s="21">
        <f t="shared" si="6"/>
        <v>26.302403326074032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155.58940800000011</v>
      </c>
      <c r="BF45" s="13">
        <f t="shared" si="37"/>
        <v>39.846081409537142</v>
      </c>
      <c r="BG45" s="20">
        <f t="shared" si="7"/>
        <v>340.3834773882773</v>
      </c>
      <c r="BH45" s="59">
        <f t="shared" si="8"/>
        <v>633.71681072161061</v>
      </c>
      <c r="BI45" s="59">
        <f ca="1">AVERAGE(OFFSET($BH$3,0,0,'Données projet'!$E$11+1,1))-AVERAGE(OFFSET($H$3,0,0,'Données projet'!$E$11+1,1))</f>
        <v>635.71275911100679</v>
      </c>
      <c r="BJ45" s="59">
        <f t="shared" si="38"/>
        <v>281.7776857269169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15.254654682209745</v>
      </c>
      <c r="BR45" s="21">
        <f>EXP(-LN(2)/2)*BR44+(1-EXP(-LN(2)/2))/(LN(2)/2)*BL45*BO45*VLOOKUP('Données projet'!$B$11,Paramètres!$A$1:$I$89,3,0)*0.475*44/12</f>
        <v>7.599665462085774</v>
      </c>
      <c r="BS45" s="22">
        <f t="shared" si="9"/>
        <v>22.854320144295521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3.3603333333333336</v>
      </c>
      <c r="BY45" s="12">
        <f>IF('Données projet'!$A$114&gt;35,BY44+BX45-CG44,IF(A45&lt;'Données projet'!$A$114,$BV$205^A45,IF(A45='Données projet'!$A$114,'Données projet'!$B$114,BY44+BX45-CG44)))</f>
        <v>141.13399999999996</v>
      </c>
      <c r="BZ45" s="13">
        <f>BY45*VLOOKUP('Données projet'!$B$12,Paramètres!$A$1:$I$89,3,0)*VLOOKUP('Données projet'!$B$12,Paramètres!$A$1:$I$89,5,0)</f>
        <v>160.72339919999996</v>
      </c>
      <c r="CA45" s="13">
        <f t="shared" si="39"/>
        <v>41.005637252985878</v>
      </c>
      <c r="CB45" s="20">
        <f t="shared" si="10"/>
        <v>351.34473848895027</v>
      </c>
      <c r="CC45" s="59">
        <f t="shared" si="11"/>
        <v>644.67807182228353</v>
      </c>
      <c r="CD45" s="59">
        <f ca="1">AVERAGE(OFFSET($CC$3,0,0,'Données projet'!$E$12+1,1))-AVERAGE(OFFSET($H$3,0,0,'Données projet'!$E$12+1,1))</f>
        <v>593.28343396240075</v>
      </c>
      <c r="CE45" s="59">
        <f t="shared" si="40"/>
        <v>289.66477662068695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5.5128205128205137</v>
      </c>
      <c r="CT45" s="12">
        <f>IF('Données projet'!$A$140&gt;35,CT44+CS45-DB44,IF(A45&lt;'Données projet'!$A$140,$CQ$205^A45,IF(A45='Données projet'!$A$140,'Données projet'!$B$140,CT44+CS45-DB44)))</f>
        <v>112.30769230769234</v>
      </c>
      <c r="CU45" s="17">
        <f>CT45*VLOOKUP('Données projet'!$B$13,Paramètres!$A$1:$I$89,3,0)*VLOOKUP('Données projet'!$B$13,Paramètres!$A$1:$I$89,5,0)</f>
        <v>117.38400000000004</v>
      </c>
      <c r="CV45" s="13">
        <f t="shared" si="41"/>
        <v>31.064079780221654</v>
      </c>
      <c r="CW45" s="20">
        <f t="shared" si="13"/>
        <v>258.54707228388611</v>
      </c>
      <c r="CX45" s="59">
        <f t="shared" si="14"/>
        <v>551.88040561721937</v>
      </c>
      <c r="CY45" s="59">
        <f ca="1">AVERAGE(OFFSET($CX$3,0,0,'Données projet'!$E$13+1,1))-AVERAGE(OFFSET($H$3,0,0,'Données projet'!$E$13+1,1))</f>
        <v>260.65406541614402</v>
      </c>
      <c r="CZ45" s="59">
        <f t="shared" si="42"/>
        <v>277.63456890196886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21.835053897599618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21.835053897599618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4.7435897435897401</v>
      </c>
      <c r="DO45" s="12">
        <f>IF('Données projet'!$A$166&gt;35,DO44+DN45-DW44,IF(A45&lt;'Données projet'!$A$166,$DL$205^A45,IF(A45='Données projet'!$A$166,'Données projet'!$B$166,DO44+DN45-DW44)))</f>
        <v>118.46153846153847</v>
      </c>
      <c r="DP45" s="17">
        <f>DO45*VLOOKUP('Données projet'!$B$14,Paramètres!$A$1:$I$89,3,0)*VLOOKUP('Données projet'!$B$14,Paramètres!$A$1:$I$89,5,0)</f>
        <v>77.616</v>
      </c>
      <c r="DQ45" s="13">
        <f t="shared" si="43"/>
        <v>21.553261384606433</v>
      </c>
      <c r="DR45" s="20">
        <f t="shared" si="16"/>
        <v>172.71979691152288</v>
      </c>
      <c r="DS45" s="59">
        <f t="shared" si="17"/>
        <v>466.05313024485622</v>
      </c>
      <c r="DT45" s="59">
        <f ca="1">AVERAGE(OFFSET($DS$3,0,0,'Données projet'!$E$14+1,1))-AVERAGE(OFFSET($H$3,0,0,'Données projet'!$E$14+1,1))</f>
        <v>181.4272795535777</v>
      </c>
      <c r="DU45" s="59">
        <f t="shared" si="44"/>
        <v>187.67131775419904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4.0556264587243653</v>
      </c>
      <c r="EC45" s="21">
        <f>EXP(-LN(2)/2)*EC44+(1-EXP(-LN(2)/2))/(LN(2)/2)*DW45*DZ45*VLOOKUP('Données projet'!$B$14,Paramètres!$A$1:$I$89,3,0)*0.475*44/12</f>
        <v>1.4991650532597049</v>
      </c>
      <c r="ED45" s="22">
        <f t="shared" si="18"/>
        <v>5.5547915119840701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1.1368683772161603E-13</v>
      </c>
      <c r="EK45" s="17">
        <f>EJ45*VLOOKUP('Données projet'!$B$15,Paramètres!$A$1:$I$89,3,0)*VLOOKUP('Données projet'!$B$15,Paramètres!$A$1:$I$89,5,0)</f>
        <v>9.2222762759774927E-14</v>
      </c>
      <c r="EL45" s="13">
        <f t="shared" si="45"/>
        <v>1.3985662224947967E-12</v>
      </c>
      <c r="EM45" s="20">
        <f t="shared" si="19"/>
        <v>2.5964574826517121E-12</v>
      </c>
      <c r="EN45" s="59">
        <f t="shared" si="20"/>
        <v>293.33333333333593</v>
      </c>
      <c r="EO45" s="59">
        <f ca="1">AVERAGE(OFFSET($EN$3,0,0,'Données projet'!$E$15+1,1))-AVERAGE(OFFSET($H$3,0,0,'Données projet'!$E$15+1,1))</f>
        <v>159.68591355116837</v>
      </c>
      <c r="EP45" s="59">
        <f t="shared" si="46"/>
        <v>284.32631786390112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14.017456182749189</v>
      </c>
      <c r="EW45" s="21">
        <f>EXP(-LN(2)/25)*EW44+(1-EXP(-LN(2)/25))/(LN(2)/25)*Calculateur!ER45*Calculateur!ET45*VLOOKUP('Données projet'!$B$15,Paramètres!$A$1:$I$89,3,0)*0.475*44/12</f>
        <v>18.277858684141894</v>
      </c>
      <c r="EX45" s="21">
        <f>EXP(-LN(2)/2)*EX44+(1-EXP(-LN(2)/2))/(LN(2)/2)*ER45*EU45*VLOOKUP('Données projet'!$B$15,Paramètres!$A$1:$I$89,3,0)*0.475*44/12</f>
        <v>14.591057197407897</v>
      </c>
      <c r="EY45" s="22">
        <f t="shared" si="21"/>
        <v>46.886372064298982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8.1999999999999993</v>
      </c>
      <c r="FE45" s="12">
        <f>IF('Données projet'!$A$218&gt;35,FE44+FD45-FM44,IF(A45&lt;'Données projet'!$A$218,$FB$205^A45,IF(A45='Données projet'!$A$218,'Données projet'!$B$218,FE44+FD45-FM44)))</f>
        <v>180.39999999999998</v>
      </c>
      <c r="FF45" s="17">
        <f>FE45*VLOOKUP('Données projet'!$B$16,Paramètres!$A$1:$I$89,3,0)*VLOOKUP('Données projet'!$B$16,Paramètres!$A$1:$I$89,5,0)</f>
        <v>143.52624</v>
      </c>
      <c r="FG45" s="13">
        <f t="shared" si="47"/>
        <v>37.103644337236275</v>
      </c>
      <c r="FH45" s="20">
        <f t="shared" si="22"/>
        <v>314.59704855401981</v>
      </c>
      <c r="FI45" s="59">
        <f t="shared" si="23"/>
        <v>607.93038188735318</v>
      </c>
      <c r="FJ45" s="59">
        <f ca="1">AVERAGE(OFFSET($FI$3,0,0,'Données projet'!$E$16+1,1))-AVERAGE(OFFSET($H$3,0,0,'Données projet'!$E$16+1,1))</f>
        <v>299.10536994156814</v>
      </c>
      <c r="FK45" s="59">
        <f t="shared" si="48"/>
        <v>292.57799203101769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3.1362745971674912</v>
      </c>
      <c r="FR45" s="21">
        <f>EXP(-LN(2)/25)*FR44+(1-EXP(-LN(2)/25))/(LN(2)/25)*Calculateur!FM45*Calculateur!FO45*VLOOKUP('Données projet'!$B$16,Paramètres!$A$1:$I$89,3,0)*0.475*44/12</f>
        <v>12.700151510007343</v>
      </c>
      <c r="FS45" s="21">
        <f>EXP(-LN(2)/2)*FS44+(1-EXP(-LN(2)/2))/(LN(2)/2)*FM45*FP45*VLOOKUP('Données projet'!$B$16,Paramètres!$A$1:$I$89,3,0)*0.475*44/12</f>
        <v>3.1912258711479211</v>
      </c>
      <c r="FT45" s="22">
        <f t="shared" si="24"/>
        <v>19.027651978322755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3.2051282051281986</v>
      </c>
      <c r="FZ45" s="12">
        <f>IF('Données projet'!$A$244&gt;35,FZ44+FY45-GH44,IF(A45&lt;'Données projet'!$A$244,$FW$205^A45,IF(A45='Données projet'!$A$244,'Données projet'!$B$244,FZ44+FY45-GH44)))</f>
        <v>151.92307692307696</v>
      </c>
      <c r="GA45" s="17">
        <f>FZ45*VLOOKUP('Données projet'!$B$17,Paramètres!$A$1:$I$89,3,0)*VLOOKUP('Données projet'!$B$17,Paramètres!$A$1:$I$89,5,0)</f>
        <v>137.46000000000004</v>
      </c>
      <c r="GB45" s="13">
        <f t="shared" si="49"/>
        <v>35.71450856068838</v>
      </c>
      <c r="GC45" s="20">
        <f t="shared" si="25"/>
        <v>301.61226907653236</v>
      </c>
      <c r="GD45" s="59">
        <f t="shared" si="26"/>
        <v>594.94560240986561</v>
      </c>
      <c r="GE45" s="59">
        <f ca="1">AVERAGE(OFFSET($GD$3,0,0,'Données projet'!$E$17+1,1))-AVERAGE(OFFSET($H$3,0,0,'Données projet'!$E$17+1,1))</f>
        <v>204.78565758021779</v>
      </c>
      <c r="GF45" s="59">
        <f t="shared" si="50"/>
        <v>287.25131613242439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1.132807358473473</v>
      </c>
      <c r="GM45" s="21">
        <f>EXP(-LN(2)/25)*GM44+(1-EXP(-LN(2)/25))/(LN(2)/25)*Calculateur!GH45*Calculateur!GJ45*VLOOKUP('Données projet'!$B$17,Paramètres!$A$1:$I$89,3,0)*0.475*44/12</f>
        <v>3.8694724306596782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5.0022797891331514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11.142857142857142</v>
      </c>
      <c r="GU45" s="12">
        <f>IF('Données projet'!$A$270&gt;35,GU44+GT45-HC44,IF(A45&lt;'Données projet'!$A$270,$GR$205^A45,IF(A45='Données projet'!$A$270,'Données projet'!$B$270,GU44+GT45-HC44)))</f>
        <v>207.71428571428564</v>
      </c>
      <c r="GV45" s="17">
        <f>GU45*VLOOKUP('Données projet'!$B$18,Paramètres!$A$1:$I$89,3,0)*VLOOKUP('Données projet'!$B$18,Paramètres!$A$1:$I$89,5,0)</f>
        <v>162.0171428571428</v>
      </c>
      <c r="GW45" s="13">
        <f t="shared" si="51"/>
        <v>41.29715533509664</v>
      </c>
      <c r="GX45" s="20">
        <f t="shared" si="28"/>
        <v>354.10573601815037</v>
      </c>
      <c r="GY45" s="59">
        <f t="shared" si="29"/>
        <v>647.43906935148368</v>
      </c>
      <c r="GZ45" s="59">
        <f ca="1">AVERAGE(OFFSET($GY$3,0,0,'Données projet'!$E$18+1,1))-AVERAGE(OFFSET($H$3,0,0,'Données projet'!$E$18+1,1))</f>
        <v>288.82868507674738</v>
      </c>
      <c r="HA45" s="59">
        <f t="shared" si="52"/>
        <v>283.48738729114024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5.706132686348159</v>
      </c>
      <c r="HH45" s="21">
        <f>EXP(-LN(2)/25)*HH44+(1-EXP(-LN(2)/25))/(LN(2)/25)*Calculateur!HC45*Calculateur!HE45*VLOOKUP('Données projet'!$B$18,Paramètres!$A$1:$I$89,3,0)*0.475*44/12</f>
        <v>8.2848777976983747</v>
      </c>
      <c r="HI45" s="21">
        <f>EXP(-LN(2)/2)*HI44+(1-EXP(-LN(2)/2))/(LN(2)/2)*HC45*HF45*VLOOKUP('Données projet'!$B$18,Paramètres!$A$1:$I$89,3,0)*0.475*44/12</f>
        <v>1.3332671833230796</v>
      </c>
      <c r="HJ45" s="22">
        <f t="shared" si="30"/>
        <v>15.324277667369614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15.714444444444442</v>
      </c>
      <c r="N46" s="13">
        <f>IF('Données projet'!$A$36&gt;35,N45+M46-V45,IF(A46&lt;'Données projet'!$A$36,$K$205^A46,IF(A46='Données projet'!$A$36,'Données projet'!$B$36,N45+M46-V45)))</f>
        <v>260.00888888888898</v>
      </c>
      <c r="O46" s="13">
        <f>N46*VLOOKUP('Données projet'!$B$9,Paramètres!$A$1:$I$89,3,0)*VLOOKUP('Données projet'!$B$9,Paramètres!$A$1:$I$89,5,0)</f>
        <v>155.48531555555562</v>
      </c>
      <c r="P46" s="13">
        <f t="shared" si="33"/>
        <v>39.822525633411466</v>
      </c>
      <c r="Q46" s="20">
        <f t="shared" si="53"/>
        <v>340.16115673745094</v>
      </c>
      <c r="R46" s="59">
        <f t="shared" si="0"/>
        <v>633.4944900707842</v>
      </c>
      <c r="S46" s="59">
        <f ca="1">AVERAGE(OFFSET($R$3,0,0,'Données projet'!$E$9+1,1))-AVERAGE(OFFSET($H$3,0,0,'Données projet'!$E$9+1,1))</f>
        <v>349.71285006949597</v>
      </c>
      <c r="T46" s="59">
        <f t="shared" si="34"/>
        <v>258.51550516456842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24.113732793349126</v>
      </c>
      <c r="AA46" s="21">
        <f>EXP(-LN(2)/25)*AA45+(1-EXP(-LN(2)/25))/(LN(2)/25)*Calculateur!V46*Calculateur!X46*VLOOKUP('Données projet'!$B$9,Paramètres!$A$1:$I$89,3,0)*0.475*44/12</f>
        <v>16.955562403253424</v>
      </c>
      <c r="AB46" s="21">
        <f>EXP(-LN(2)/2)*AB45+(1-EXP(-LN(2)/2))/(LN(2)/2)*V46*Y46*VLOOKUP('Données projet'!$B$9,Paramètres!$A$1:$I$89,3,0)*0.475*44/12</f>
        <v>5.33895404258016</v>
      </c>
      <c r="AC46" s="22">
        <f t="shared" si="3"/>
        <v>46.408249239182716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9.8128571428571423</v>
      </c>
      <c r="AI46" s="13">
        <f>IF('Données projet'!$A$62&gt;35,AI45+AH46-AQ45,IF(A46&lt;'Données projet'!$A$62,$AF$205^A46,IF(A46='Données projet'!$A$62,'Données projet'!$B$62,AI45+AH46-AQ45)))</f>
        <v>130.12428571428572</v>
      </c>
      <c r="AJ46" s="13">
        <f>AI46*VLOOKUP('Données projet'!$B$10,Paramètres!$A$1:$I$89,3,0)*VLOOKUP('Données projet'!$B$10,Paramètres!$A$1:$I$89,5,0)</f>
        <v>123.82627028571429</v>
      </c>
      <c r="AK46" s="13">
        <f t="shared" si="35"/>
        <v>32.565777238714922</v>
      </c>
      <c r="AL46" s="20">
        <f t="shared" si="4"/>
        <v>272.38281610504754</v>
      </c>
      <c r="AM46" s="59">
        <f t="shared" si="5"/>
        <v>565.71614943838085</v>
      </c>
      <c r="AN46" s="59">
        <f ca="1">AVERAGE(OFFSET($AM$3,0,0,'Données projet'!$E$10+1,1))-AVERAGE(OFFSET($H$3,0,0,'Données projet'!$E$10+1,1))</f>
        <v>449.28947235329758</v>
      </c>
      <c r="AO46" s="59">
        <f t="shared" si="36"/>
        <v>289.36994109443964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22.458029411733825</v>
      </c>
      <c r="AW46" s="21">
        <f>EXP(-LN(2)/2)*AW45+(1-EXP(-LN(2)/2))/(LN(2)/2)*AQ46*AT46*VLOOKUP('Données projet'!$B$10,Paramètres!$A$1:$I$89,3,0)*0.475*44/12</f>
        <v>2.2719289744544477</v>
      </c>
      <c r="AX46" s="21">
        <f t="shared" si="6"/>
        <v>24.729958386188272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124.4642880000001</v>
      </c>
      <c r="BF46" s="13">
        <f t="shared" si="37"/>
        <v>32.713997336243899</v>
      </c>
      <c r="BG46" s="20">
        <f t="shared" si="7"/>
        <v>273.75218029395825</v>
      </c>
      <c r="BH46" s="59">
        <f t="shared" si="8"/>
        <v>567.08551362729156</v>
      </c>
      <c r="BI46" s="59">
        <f ca="1">AVERAGE(OFFSET($BH$3,0,0,'Données projet'!$E$11+1,1))-AVERAGE(OFFSET($H$3,0,0,'Données projet'!$E$11+1,1))</f>
        <v>635.71275911100679</v>
      </c>
      <c r="BJ46" s="59">
        <f t="shared" si="38"/>
        <v>281.7776857269169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14.837515347717295</v>
      </c>
      <c r="BR46" s="21">
        <f>EXP(-LN(2)/2)*BR45+(1-EXP(-LN(2)/2))/(LN(2)/2)*BL46*BO46*VLOOKUP('Données projet'!$B$11,Paramètres!$A$1:$I$89,3,0)*0.475*44/12</f>
        <v>5.3737749829900485</v>
      </c>
      <c r="BS46" s="22">
        <f t="shared" si="9"/>
        <v>20.211290330707342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3.3603333333333336</v>
      </c>
      <c r="BY46" s="12">
        <f>IF('Données projet'!$A$114&gt;35,BY45+BX46-CG45,IF(A46&lt;'Données projet'!$A$114,$BV$205^A46,IF(A46='Données projet'!$A$114,'Données projet'!$B$114,BY45+BX46-CG45)))</f>
        <v>144.49433333333329</v>
      </c>
      <c r="BZ46" s="13">
        <f>BY46*VLOOKUP('Données projet'!$B$12,Paramètres!$A$1:$I$89,3,0)*VLOOKUP('Données projet'!$B$12,Paramètres!$A$1:$I$89,5,0)</f>
        <v>164.55014679999996</v>
      </c>
      <c r="CA46" s="13">
        <f t="shared" si="39"/>
        <v>41.867132786511242</v>
      </c>
      <c r="CB46" s="20">
        <f t="shared" si="10"/>
        <v>359.5100952798403</v>
      </c>
      <c r="CC46" s="59">
        <f t="shared" si="11"/>
        <v>652.84342861317361</v>
      </c>
      <c r="CD46" s="59">
        <f ca="1">AVERAGE(OFFSET($CC$3,0,0,'Données projet'!$E$12+1,1))-AVERAGE(OFFSET($H$3,0,0,'Données projet'!$E$12+1,1))</f>
        <v>593.28343396240075</v>
      </c>
      <c r="CE46" s="59">
        <f t="shared" si="40"/>
        <v>289.66477662068695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5.5128205128205137</v>
      </c>
      <c r="CT46" s="12">
        <f>IF('Données projet'!$A$140&gt;35,CT45+CS46-DB45,IF(A46&lt;'Données projet'!$A$140,$CQ$205^A46,IF(A46='Données projet'!$A$140,'Données projet'!$B$140,CT45+CS46-DB45)))</f>
        <v>117.82051282051285</v>
      </c>
      <c r="CU46" s="17">
        <f>CT46*VLOOKUP('Données projet'!$B$13,Paramètres!$A$1:$I$89,3,0)*VLOOKUP('Données projet'!$B$13,Paramètres!$A$1:$I$89,5,0)</f>
        <v>123.14600000000004</v>
      </c>
      <c r="CV46" s="13">
        <f t="shared" si="41"/>
        <v>32.407643337050757</v>
      </c>
      <c r="CW46" s="20">
        <f t="shared" si="13"/>
        <v>270.92259547869679</v>
      </c>
      <c r="CX46" s="59">
        <f t="shared" si="14"/>
        <v>564.25592881203011</v>
      </c>
      <c r="CY46" s="59">
        <f ca="1">AVERAGE(OFFSET($CX$3,0,0,'Données projet'!$E$13+1,1))-AVERAGE(OFFSET($H$3,0,0,'Données projet'!$E$13+1,1))</f>
        <v>260.65406541614402</v>
      </c>
      <c r="CZ46" s="59">
        <f t="shared" si="42"/>
        <v>277.63456890196886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21.237973200514176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21.237973200514176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4.7435897435897401</v>
      </c>
      <c r="DO46" s="12">
        <f>IF('Données projet'!$A$166&gt;35,DO45+DN46-DW45,IF(A46&lt;'Données projet'!$A$166,$DL$205^A46,IF(A46='Données projet'!$A$166,'Données projet'!$B$166,DO45+DN46-DW45)))</f>
        <v>123.2051282051282</v>
      </c>
      <c r="DP46" s="17">
        <f>DO46*VLOOKUP('Données projet'!$B$14,Paramètres!$A$1:$I$89,3,0)*VLOOKUP('Données projet'!$B$14,Paramètres!$A$1:$I$89,5,0)</f>
        <v>80.724000000000004</v>
      </c>
      <c r="DQ46" s="13">
        <f t="shared" si="43"/>
        <v>22.314112965903877</v>
      </c>
      <c r="DR46" s="20">
        <f t="shared" si="16"/>
        <v>179.45804674894927</v>
      </c>
      <c r="DS46" s="59">
        <f t="shared" si="17"/>
        <v>472.79138008228256</v>
      </c>
      <c r="DT46" s="59">
        <f ca="1">AVERAGE(OFFSET($DS$3,0,0,'Données projet'!$E$14+1,1))-AVERAGE(OFFSET($H$3,0,0,'Données projet'!$E$14+1,1))</f>
        <v>181.4272795535777</v>
      </c>
      <c r="DU46" s="59">
        <f t="shared" si="44"/>
        <v>187.67131775419904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3.9447251399344214</v>
      </c>
      <c r="EC46" s="21">
        <f>EXP(-LN(2)/2)*EC45+(1-EXP(-LN(2)/2))/(LN(2)/2)*DW46*DZ46*VLOOKUP('Données projet'!$B$14,Paramètres!$A$1:$I$89,3,0)*0.475*44/12</f>
        <v>1.0600697752778292</v>
      </c>
      <c r="ED46" s="22">
        <f t="shared" si="18"/>
        <v>5.0047949152122504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1.1368683772161603E-13</v>
      </c>
      <c r="EK46" s="17">
        <f>EJ46*VLOOKUP('Données projet'!$B$15,Paramètres!$A$1:$I$89,3,0)*VLOOKUP('Données projet'!$B$15,Paramètres!$A$1:$I$89,5,0)</f>
        <v>9.2222762759774927E-14</v>
      </c>
      <c r="EL46" s="13">
        <f t="shared" si="45"/>
        <v>1.3985662224947967E-12</v>
      </c>
      <c r="EM46" s="20">
        <f t="shared" si="19"/>
        <v>2.5964574826517121E-12</v>
      </c>
      <c r="EN46" s="59">
        <f t="shared" si="20"/>
        <v>293.33333333333593</v>
      </c>
      <c r="EO46" s="59">
        <f ca="1">AVERAGE(OFFSET($EN$3,0,0,'Données projet'!$E$15+1,1))-AVERAGE(OFFSET($H$3,0,0,'Données projet'!$E$15+1,1))</f>
        <v>159.68591355116837</v>
      </c>
      <c r="EP46" s="59">
        <f t="shared" si="46"/>
        <v>284.32631786390112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13.742582416809526</v>
      </c>
      <c r="EW46" s="21">
        <f>EXP(-LN(2)/25)*EW45+(1-EXP(-LN(2)/25))/(LN(2)/25)*Calculateur!ER46*Calculateur!ET46*VLOOKUP('Données projet'!$B$15,Paramètres!$A$1:$I$89,3,0)*0.475*44/12</f>
        <v>17.77804967723322</v>
      </c>
      <c r="EX46" s="21">
        <f>EXP(-LN(2)/2)*EX45+(1-EXP(-LN(2)/2))/(LN(2)/2)*ER46*EU46*VLOOKUP('Données projet'!$B$15,Paramètres!$A$1:$I$89,3,0)*0.475*44/12</f>
        <v>10.317435488967906</v>
      </c>
      <c r="EY46" s="22">
        <f t="shared" si="21"/>
        <v>41.838067583010655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8.1999999999999993</v>
      </c>
      <c r="FE46" s="12">
        <f>IF('Données projet'!$A$218&gt;35,FE45+FD46-FM45,IF(A46&lt;'Données projet'!$A$218,$FB$205^A46,IF(A46='Données projet'!$A$218,'Données projet'!$B$218,FE45+FD46-FM45)))</f>
        <v>188.59999999999997</v>
      </c>
      <c r="FF46" s="17">
        <f>FE46*VLOOKUP('Données projet'!$B$16,Paramètres!$A$1:$I$89,3,0)*VLOOKUP('Données projet'!$B$16,Paramètres!$A$1:$I$89,5,0)</f>
        <v>150.05015999999998</v>
      </c>
      <c r="FG46" s="13">
        <f t="shared" si="47"/>
        <v>38.589984439024569</v>
      </c>
      <c r="FH46" s="20">
        <f t="shared" si="22"/>
        <v>328.54825156463437</v>
      </c>
      <c r="FI46" s="59">
        <f t="shared" si="23"/>
        <v>621.88158489796774</v>
      </c>
      <c r="FJ46" s="59">
        <f ca="1">AVERAGE(OFFSET($FI$3,0,0,'Données projet'!$E$16+1,1))-AVERAGE(OFFSET($H$3,0,0,'Données projet'!$E$16+1,1))</f>
        <v>299.10536994156814</v>
      </c>
      <c r="FK46" s="59">
        <f t="shared" si="48"/>
        <v>292.57799203101769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3.0747741652556542</v>
      </c>
      <c r="FR46" s="21">
        <f>EXP(-LN(2)/25)*FR45+(1-EXP(-LN(2)/25))/(LN(2)/25)*Calculateur!FM46*Calculateur!FO46*VLOOKUP('Données projet'!$B$16,Paramètres!$A$1:$I$89,3,0)*0.475*44/12</f>
        <v>12.352865199094252</v>
      </c>
      <c r="FS46" s="21">
        <f>EXP(-LN(2)/2)*FS45+(1-EXP(-LN(2)/2))/(LN(2)/2)*FM46*FP46*VLOOKUP('Données projet'!$B$16,Paramètres!$A$1:$I$89,3,0)*0.475*44/12</f>
        <v>2.2565374537866427</v>
      </c>
      <c r="FT46" s="22">
        <f t="shared" si="24"/>
        <v>17.68417681813655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3.2051282051281986</v>
      </c>
      <c r="FZ46" s="12">
        <f>IF('Données projet'!$A$244&gt;35,FZ45+FY46-GH45,IF(A46&lt;'Données projet'!$A$244,$FW$205^A46,IF(A46='Données projet'!$A$244,'Données projet'!$B$244,FZ45+FY46-GH45)))</f>
        <v>155.12820512820517</v>
      </c>
      <c r="GA46" s="17">
        <f>FZ46*VLOOKUP('Données projet'!$B$17,Paramètres!$A$1:$I$89,3,0)*VLOOKUP('Données projet'!$B$17,Paramètres!$A$1:$I$89,5,0)</f>
        <v>140.36000000000004</v>
      </c>
      <c r="GB46" s="13">
        <f t="shared" si="49"/>
        <v>36.379464109150462</v>
      </c>
      <c r="GC46" s="20">
        <f t="shared" si="25"/>
        <v>307.82123332343713</v>
      </c>
      <c r="GD46" s="59">
        <f t="shared" si="26"/>
        <v>601.15456665677038</v>
      </c>
      <c r="GE46" s="59">
        <f ca="1">AVERAGE(OFFSET($GD$3,0,0,'Données projet'!$E$17+1,1))-AVERAGE(OFFSET($H$3,0,0,'Données projet'!$E$17+1,1))</f>
        <v>204.78565758021779</v>
      </c>
      <c r="GF46" s="59">
        <f t="shared" si="50"/>
        <v>287.25131613242439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1.1105936971180719</v>
      </c>
      <c r="GM46" s="21">
        <f>EXP(-LN(2)/25)*GM45+(1-EXP(-LN(2)/25))/(LN(2)/25)*Calculateur!GH46*Calculateur!GJ46*VLOOKUP('Données projet'!$B$17,Paramètres!$A$1:$I$89,3,0)*0.475*44/12</f>
        <v>3.7636615035565781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4.87425520067465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11.142857142857142</v>
      </c>
      <c r="GU46" s="12">
        <f>IF('Données projet'!$A$270&gt;35,GU45+GT46-HC45,IF(A46&lt;'Données projet'!$A$270,$GR$205^A46,IF(A46='Données projet'!$A$270,'Données projet'!$B$270,GU45+GT46-HC45)))</f>
        <v>218.85714285714278</v>
      </c>
      <c r="GV46" s="17">
        <f>GU46*VLOOKUP('Données projet'!$B$18,Paramètres!$A$1:$I$89,3,0)*VLOOKUP('Données projet'!$B$18,Paramètres!$A$1:$I$89,5,0)</f>
        <v>170.70857142857136</v>
      </c>
      <c r="GW46" s="13">
        <f t="shared" si="51"/>
        <v>43.248681576985376</v>
      </c>
      <c r="GX46" s="20">
        <f t="shared" si="28"/>
        <v>372.64221565134466</v>
      </c>
      <c r="GY46" s="59">
        <f t="shared" si="29"/>
        <v>665.97554898467797</v>
      </c>
      <c r="GZ46" s="59">
        <f ca="1">AVERAGE(OFFSET($GY$3,0,0,'Données projet'!$E$18+1,1))-AVERAGE(OFFSET($H$3,0,0,'Données projet'!$E$18+1,1))</f>
        <v>288.82868507674738</v>
      </c>
      <c r="HA46" s="59">
        <f t="shared" si="52"/>
        <v>283.48738729114024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5.5942389047661498</v>
      </c>
      <c r="HH46" s="21">
        <f>EXP(-LN(2)/25)*HH45+(1-EXP(-LN(2)/25))/(LN(2)/25)*Calculateur!HC46*Calculateur!HE46*VLOOKUP('Données projet'!$B$18,Paramètres!$A$1:$I$89,3,0)*0.475*44/12</f>
        <v>8.0583273786375251</v>
      </c>
      <c r="HI46" s="21">
        <f>EXP(-LN(2)/2)*HI45+(1-EXP(-LN(2)/2))/(LN(2)/2)*HC46*HF46*VLOOKUP('Données projet'!$B$18,Paramètres!$A$1:$I$89,3,0)*0.475*44/12</f>
        <v>0.9427622664612374</v>
      </c>
      <c r="HJ46" s="22">
        <f t="shared" si="30"/>
        <v>14.595328549864913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15.714444444444442</v>
      </c>
      <c r="N47" s="13">
        <f>IF('Données projet'!$A$36&gt;35,N46+M47-V46,IF(A47&lt;'Données projet'!$A$36,$K$205^A47,IF(A47='Données projet'!$A$36,'Données projet'!$B$36,N46+M47-V46)))</f>
        <v>275.72333333333341</v>
      </c>
      <c r="O47" s="13">
        <f>N47*VLOOKUP('Données projet'!$B$9,Paramètres!$A$1:$I$89,3,0)*VLOOKUP('Données projet'!$B$9,Paramètres!$A$1:$I$89,5,0)</f>
        <v>164.88255333333339</v>
      </c>
      <c r="P47" s="13">
        <f t="shared" si="33"/>
        <v>41.941854905576896</v>
      </c>
      <c r="Q47" s="20">
        <f t="shared" si="53"/>
        <v>360.2191776827687</v>
      </c>
      <c r="R47" s="59">
        <f t="shared" si="0"/>
        <v>653.55251101610202</v>
      </c>
      <c r="S47" s="59">
        <f ca="1">AVERAGE(OFFSET($R$3,0,0,'Données projet'!$E$9+1,1))-AVERAGE(OFFSET($H$3,0,0,'Données projet'!$E$9+1,1))</f>
        <v>349.71285006949597</v>
      </c>
      <c r="T47" s="59">
        <f t="shared" si="34"/>
        <v>258.51550516456842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23.640877201196265</v>
      </c>
      <c r="AA47" s="21">
        <f>EXP(-LN(2)/25)*AA46+(1-EXP(-LN(2)/25))/(LN(2)/25)*Calculateur!V47*Calculateur!X47*VLOOKUP('Données projet'!$B$9,Paramètres!$A$1:$I$89,3,0)*0.475*44/12</f>
        <v>16.491911657682184</v>
      </c>
      <c r="AB47" s="21">
        <f>EXP(-LN(2)/2)*AB46+(1-EXP(-LN(2)/2))/(LN(2)/2)*V47*Y47*VLOOKUP('Données projet'!$B$9,Paramètres!$A$1:$I$89,3,0)*0.475*44/12</f>
        <v>3.7752106079517627</v>
      </c>
      <c r="AC47" s="22">
        <f t="shared" si="3"/>
        <v>43.907999466830212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9.8128571428571423</v>
      </c>
      <c r="AI47" s="13">
        <f>IF('Données projet'!$A$62&gt;35,AI46+AH47-AQ46,IF(A47&lt;'Données projet'!$A$62,$AF$205^A47,IF(A47='Données projet'!$A$62,'Données projet'!$B$62,AI46+AH47-AQ46)))</f>
        <v>139.93714285714287</v>
      </c>
      <c r="AJ47" s="13">
        <f>AI47*VLOOKUP('Données projet'!$B$10,Paramètres!$A$1:$I$89,3,0)*VLOOKUP('Données projet'!$B$10,Paramètres!$A$1:$I$89,5,0)</f>
        <v>133.16418514285718</v>
      </c>
      <c r="AK47" s="13">
        <f t="shared" si="35"/>
        <v>34.726483144583192</v>
      </c>
      <c r="AL47" s="20">
        <f t="shared" si="4"/>
        <v>292.4095806006253</v>
      </c>
      <c r="AM47" s="59">
        <f t="shared" si="5"/>
        <v>585.74291393395856</v>
      </c>
      <c r="AN47" s="59">
        <f ca="1">AVERAGE(OFFSET($AM$3,0,0,'Données projet'!$E$10+1,1))-AVERAGE(OFFSET($H$3,0,0,'Données projet'!$E$10+1,1))</f>
        <v>449.28947235329758</v>
      </c>
      <c r="AO47" s="59">
        <f t="shared" si="36"/>
        <v>289.36994109443964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21.843913416453525</v>
      </c>
      <c r="AW47" s="21">
        <f>EXP(-LN(2)/2)*AW46+(1-EXP(-LN(2)/2))/(LN(2)/2)*AQ47*AT47*VLOOKUP('Données projet'!$B$10,Paramètres!$A$1:$I$89,3,0)*0.475*44/12</f>
        <v>1.6064963842109385</v>
      </c>
      <c r="AX47" s="21">
        <f t="shared" si="6"/>
        <v>23.450409800664463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133.61181600000012</v>
      </c>
      <c r="BF47" s="13">
        <f t="shared" si="37"/>
        <v>34.829608206917271</v>
      </c>
      <c r="BG47" s="20">
        <f t="shared" si="7"/>
        <v>293.36881382704775</v>
      </c>
      <c r="BH47" s="59">
        <f t="shared" si="8"/>
        <v>586.70214716038106</v>
      </c>
      <c r="BI47" s="59">
        <f ca="1">AVERAGE(OFFSET($BH$3,0,0,'Données projet'!$E$11+1,1))-AVERAGE(OFFSET($H$3,0,0,'Données projet'!$E$11+1,1))</f>
        <v>635.71275911100679</v>
      </c>
      <c r="BJ47" s="59">
        <f t="shared" si="38"/>
        <v>281.7776857269169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14.431782710262945</v>
      </c>
      <c r="BR47" s="21">
        <f>EXP(-LN(2)/2)*BR46+(1-EXP(-LN(2)/2))/(LN(2)/2)*BL47*BO47*VLOOKUP('Données projet'!$B$11,Paramètres!$A$1:$I$89,3,0)*0.475*44/12</f>
        <v>3.7998327310428874</v>
      </c>
      <c r="BS47" s="22">
        <f t="shared" si="9"/>
        <v>18.231615441305834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3.3603333333333336</v>
      </c>
      <c r="BY47" s="12">
        <f>IF('Données projet'!$A$114&gt;35,BY46+BX47-CG46,IF(A47&lt;'Données projet'!$A$114,$BV$205^A47,IF(A47='Données projet'!$A$114,'Données projet'!$B$114,BY46+BX47-CG46)))</f>
        <v>147.85466666666662</v>
      </c>
      <c r="BZ47" s="13">
        <f>BY47*VLOOKUP('Données projet'!$B$12,Paramètres!$A$1:$I$89,3,0)*VLOOKUP('Données projet'!$B$12,Paramètres!$A$1:$I$89,5,0)</f>
        <v>168.37689439999994</v>
      </c>
      <c r="CA47" s="13">
        <f t="shared" si="39"/>
        <v>42.726299203325233</v>
      </c>
      <c r="CB47" s="20">
        <f t="shared" si="10"/>
        <v>367.6713955257913</v>
      </c>
      <c r="CC47" s="59">
        <f t="shared" si="11"/>
        <v>661.00472885912461</v>
      </c>
      <c r="CD47" s="59">
        <f ca="1">AVERAGE(OFFSET($CC$3,0,0,'Données projet'!$E$12+1,1))-AVERAGE(OFFSET($H$3,0,0,'Données projet'!$E$12+1,1))</f>
        <v>593.28343396240075</v>
      </c>
      <c r="CE47" s="59">
        <f t="shared" si="40"/>
        <v>289.66477662068695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5.5128205128205137</v>
      </c>
      <c r="CT47" s="12">
        <f>IF('Données projet'!$A$140&gt;35,CT46+CS47-DB46,IF(A47&lt;'Données projet'!$A$140,$CQ$205^A47,IF(A47='Données projet'!$A$140,'Données projet'!$B$140,CT46+CS47-DB46)))</f>
        <v>123.33333333333336</v>
      </c>
      <c r="CU47" s="17">
        <f>CT47*VLOOKUP('Données projet'!$B$13,Paramètres!$A$1:$I$89,3,0)*VLOOKUP('Données projet'!$B$13,Paramètres!$A$1:$I$89,5,0)</f>
        <v>128.90800000000004</v>
      </c>
      <c r="CV47" s="13">
        <f t="shared" si="41"/>
        <v>33.743906448257633</v>
      </c>
      <c r="CW47" s="20">
        <f t="shared" si="13"/>
        <v>283.28540373071542</v>
      </c>
      <c r="CX47" s="59">
        <f t="shared" si="14"/>
        <v>576.61873706404867</v>
      </c>
      <c r="CY47" s="59">
        <f ca="1">AVERAGE(OFFSET($CX$3,0,0,'Données projet'!$E$13+1,1))-AVERAGE(OFFSET($H$3,0,0,'Données projet'!$E$13+1,1))</f>
        <v>260.65406541614402</v>
      </c>
      <c r="CZ47" s="59">
        <f t="shared" si="42"/>
        <v>277.63456890196886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20.657219706489645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20.657219706489645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4.7435897435897401</v>
      </c>
      <c r="DO47" s="12">
        <f>IF('Données projet'!$A$166&gt;35,DO46+DN47-DW46,IF(A47&lt;'Données projet'!$A$166,$DL$205^A47,IF(A47='Données projet'!$A$166,'Données projet'!$B$166,DO46+DN47-DW46)))</f>
        <v>127.94871794871794</v>
      </c>
      <c r="DP47" s="17">
        <f>DO47*VLOOKUP('Données projet'!$B$14,Paramètres!$A$1:$I$89,3,0)*VLOOKUP('Données projet'!$B$14,Paramètres!$A$1:$I$89,5,0)</f>
        <v>83.831999999999994</v>
      </c>
      <c r="DQ47" s="13">
        <f t="shared" si="43"/>
        <v>23.071561469947873</v>
      </c>
      <c r="DR47" s="20">
        <f t="shared" si="16"/>
        <v>186.19036956015921</v>
      </c>
      <c r="DS47" s="59">
        <f t="shared" si="17"/>
        <v>479.52370289349255</v>
      </c>
      <c r="DT47" s="59">
        <f ca="1">AVERAGE(OFFSET($DS$3,0,0,'Données projet'!$E$14+1,1))-AVERAGE(OFFSET($H$3,0,0,'Données projet'!$E$14+1,1))</f>
        <v>181.4272795535777</v>
      </c>
      <c r="DU47" s="59">
        <f t="shared" si="44"/>
        <v>187.67131775419904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3.8368564235388352</v>
      </c>
      <c r="EC47" s="21">
        <f>EXP(-LN(2)/2)*EC46+(1-EXP(-LN(2)/2))/(LN(2)/2)*DW47*DZ47*VLOOKUP('Données projet'!$B$14,Paramètres!$A$1:$I$89,3,0)*0.475*44/12</f>
        <v>0.74958252662985259</v>
      </c>
      <c r="ED47" s="22">
        <f t="shared" si="18"/>
        <v>4.586438950168688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1.1368683772161603E-13</v>
      </c>
      <c r="EK47" s="17">
        <f>EJ47*VLOOKUP('Données projet'!$B$15,Paramètres!$A$1:$I$89,3,0)*VLOOKUP('Données projet'!$B$15,Paramètres!$A$1:$I$89,5,0)</f>
        <v>9.2222762759774927E-14</v>
      </c>
      <c r="EL47" s="13">
        <f t="shared" si="45"/>
        <v>1.3985662224947967E-12</v>
      </c>
      <c r="EM47" s="20">
        <f t="shared" si="19"/>
        <v>2.5964574826517121E-12</v>
      </c>
      <c r="EN47" s="59">
        <f t="shared" si="20"/>
        <v>293.33333333333593</v>
      </c>
      <c r="EO47" s="59">
        <f ca="1">AVERAGE(OFFSET($EN$3,0,0,'Données projet'!$E$15+1,1))-AVERAGE(OFFSET($H$3,0,0,'Données projet'!$E$15+1,1))</f>
        <v>159.68591355116837</v>
      </c>
      <c r="EP47" s="59">
        <f t="shared" si="46"/>
        <v>284.32631786390112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13.473098757763497</v>
      </c>
      <c r="EW47" s="21">
        <f>EXP(-LN(2)/25)*EW46+(1-EXP(-LN(2)/25))/(LN(2)/25)*Calculateur!ER47*Calculateur!ET47*VLOOKUP('Données projet'!$B$15,Paramètres!$A$1:$I$89,3,0)*0.475*44/12</f>
        <v>17.291907973902276</v>
      </c>
      <c r="EX47" s="21">
        <f>EXP(-LN(2)/2)*EX46+(1-EXP(-LN(2)/2))/(LN(2)/2)*ER47*EU47*VLOOKUP('Données projet'!$B$15,Paramètres!$A$1:$I$89,3,0)*0.475*44/12</f>
        <v>7.2955285987039495</v>
      </c>
      <c r="EY47" s="22">
        <f t="shared" si="21"/>
        <v>38.060535330369717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8.1999999999999993</v>
      </c>
      <c r="FE47" s="12">
        <f>IF('Données projet'!$A$218&gt;35,FE46+FD47-FM46,IF(A47&lt;'Données projet'!$A$218,$FB$205^A47,IF(A47='Données projet'!$A$218,'Données projet'!$B$218,FE46+FD47-FM46)))</f>
        <v>196.79999999999995</v>
      </c>
      <c r="FF47" s="17">
        <f>FE47*VLOOKUP('Données projet'!$B$16,Paramètres!$A$1:$I$89,3,0)*VLOOKUP('Données projet'!$B$16,Paramètres!$A$1:$I$89,5,0)</f>
        <v>156.57407999999998</v>
      </c>
      <c r="FG47" s="13">
        <f t="shared" si="47"/>
        <v>40.068818872547467</v>
      </c>
      <c r="FH47" s="20">
        <f t="shared" si="22"/>
        <v>342.48638220302013</v>
      </c>
      <c r="FI47" s="59">
        <f t="shared" si="23"/>
        <v>635.81971553635344</v>
      </c>
      <c r="FJ47" s="59">
        <f ca="1">AVERAGE(OFFSET($FI$3,0,0,'Données projet'!$E$16+1,1))-AVERAGE(OFFSET($H$3,0,0,'Données projet'!$E$16+1,1))</f>
        <v>299.10536994156814</v>
      </c>
      <c r="FK47" s="59">
        <f t="shared" si="48"/>
        <v>292.57799203101769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3.0144797193020487</v>
      </c>
      <c r="FR47" s="21">
        <f>EXP(-LN(2)/25)*FR46+(1-EXP(-LN(2)/25))/(LN(2)/25)*Calculateur!FM47*Calculateur!FO47*VLOOKUP('Données projet'!$B$16,Paramètres!$A$1:$I$89,3,0)*0.475*44/12</f>
        <v>12.015075450616072</v>
      </c>
      <c r="FS47" s="21">
        <f>EXP(-LN(2)/2)*FS46+(1-EXP(-LN(2)/2))/(LN(2)/2)*FM47*FP47*VLOOKUP('Données projet'!$B$16,Paramètres!$A$1:$I$89,3,0)*0.475*44/12</f>
        <v>1.5956129355739608</v>
      </c>
      <c r="FT47" s="22">
        <f t="shared" si="24"/>
        <v>16.625168105492083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3.2051282051281986</v>
      </c>
      <c r="FZ47" s="12">
        <f>IF('Données projet'!$A$244&gt;35,FZ46+FY47-GH46,IF(A47&lt;'Données projet'!$A$244,$FW$205^A47,IF(A47='Données projet'!$A$244,'Données projet'!$B$244,FZ46+FY47-GH46)))</f>
        <v>158.33333333333337</v>
      </c>
      <c r="GA47" s="17">
        <f>FZ47*VLOOKUP('Données projet'!$B$17,Paramètres!$A$1:$I$89,3,0)*VLOOKUP('Données projet'!$B$17,Paramètres!$A$1:$I$89,5,0)</f>
        <v>143.26000000000002</v>
      </c>
      <c r="GB47" s="13">
        <f t="shared" si="49"/>
        <v>37.042822268316883</v>
      </c>
      <c r="GC47" s="20">
        <f t="shared" si="25"/>
        <v>314.02741545065192</v>
      </c>
      <c r="GD47" s="59">
        <f t="shared" si="26"/>
        <v>607.36074878398517</v>
      </c>
      <c r="GE47" s="59">
        <f ca="1">AVERAGE(OFFSET($GD$3,0,0,'Données projet'!$E$17+1,1))-AVERAGE(OFFSET($H$3,0,0,'Données projet'!$E$17+1,1))</f>
        <v>204.78565758021779</v>
      </c>
      <c r="GF47" s="59">
        <f t="shared" si="50"/>
        <v>287.25131613242439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1.0888156321128546</v>
      </c>
      <c r="GM47" s="21">
        <f>EXP(-LN(2)/25)*GM46+(1-EXP(-LN(2)/25))/(LN(2)/25)*Calculateur!GH47*Calculateur!GJ47*VLOOKUP('Données projet'!$B$17,Paramètres!$A$1:$I$89,3,0)*0.475*44/12</f>
        <v>3.6607439818194671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4.7495596139323215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>
        <f>VLOOKUP(A47,'Données projet'!$A$269:$I$289,2,0)</f>
        <v>230</v>
      </c>
      <c r="GS47" s="12">
        <f>VLOOKUP(A47,'Données projet'!$A$269:$I$289,9,0)</f>
        <v>11.142857142857142</v>
      </c>
      <c r="GT47" s="12">
        <f t="array" ref="GT47">INDEX(GS:GS,MIN(IF(ISNUMBER(GS47:GS243),ROW(GS47:GS243),"")))</f>
        <v>11.142857142857142</v>
      </c>
      <c r="GU47" s="12">
        <f>IF('Données projet'!$A$270&gt;35,GU46+GT47-HC46,IF(A47&lt;'Données projet'!$A$270,$GR$205^A47,IF(A47='Données projet'!$A$270,'Données projet'!$B$270,GU46+GT47-HC46)))</f>
        <v>229.99999999999991</v>
      </c>
      <c r="GV47" s="17">
        <f>GU47*VLOOKUP('Données projet'!$B$18,Paramètres!$A$1:$I$89,3,0)*VLOOKUP('Données projet'!$B$18,Paramètres!$A$1:$I$89,5,0)</f>
        <v>179.39999999999995</v>
      </c>
      <c r="GW47" s="13">
        <f t="shared" si="51"/>
        <v>45.188671291872232</v>
      </c>
      <c r="GX47" s="20">
        <f t="shared" si="28"/>
        <v>391.15860250001066</v>
      </c>
      <c r="GY47" s="59">
        <f t="shared" si="29"/>
        <v>684.49193583334397</v>
      </c>
      <c r="GZ47" s="59">
        <f ca="1">AVERAGE(OFFSET($GY$3,0,0,'Données projet'!$E$18+1,1))-AVERAGE(OFFSET($H$3,0,0,'Données projet'!$E$18+1,1))</f>
        <v>288.82868507674738</v>
      </c>
      <c r="HA47" s="59">
        <f t="shared" si="52"/>
        <v>283.48738729114024</v>
      </c>
      <c r="HB47" s="15">
        <f>IF(ISNA(VLOOKUP(A47,'Données projet'!$A$269:$I$289,3,0)),0,VLOOKUP(A47,'Données projet'!$A$269:$I$289,3,0))</f>
        <v>6</v>
      </c>
      <c r="HC47" s="15">
        <f>IF(ISNA(VLOOKUP(A47,'Données projet'!$A$269:$I$289,4,0)),0,VLOOKUP(A47,'Données projet'!$A$269:$I$289,4,0))</f>
        <v>43</v>
      </c>
      <c r="HD47" s="16">
        <f>IF(ISNA(VLOOKUP(A47,'Données projet'!$A$269:$I$289,5,0)),0%,VLOOKUP(A47,'Données projet'!$A$269:$I$289,5,0)*VLOOKUP('Données projet'!$B$18,Paramètres!$A$1:$I$89,7,0))</f>
        <v>0.1075</v>
      </c>
      <c r="HE47" s="16">
        <f>IF(ISNA(VLOOKUP(A47,'Données projet'!$A$269:$I$289,6,0)),0%,VLOOKUP(A47,'Données projet'!$A$269:$I$289,6,0)*VLOOKUP('Données projet'!$B$18,Paramètres!$A$1:$I$89,7,0))</f>
        <v>0.1075</v>
      </c>
      <c r="HF47" s="16">
        <f>IF(ISNA(VLOOKUP(A47,'Données projet'!$A$269:$I$289,7,0)),0%,VLOOKUP(A47,'Données projet'!$A$269:$I$289,7,0))</f>
        <v>0.25</v>
      </c>
      <c r="HG47" s="21">
        <f>EXP(-LN(2)/35)*HG46+(1-EXP(-LN(2)/35))/(LN(2)/35)*HC47*HD47*VLOOKUP('Données projet'!$B$18,Paramètres!$A$1:$I$89,3,0)*0.475*44/12</f>
        <v>9.4703680189175241</v>
      </c>
      <c r="HH47" s="21">
        <f>EXP(-LN(2)/25)*HH46+(1-EXP(-LN(2)/25))/(LN(2)/25)*Calculateur!HC47*Calculateur!HE47*VLOOKUP('Données projet'!$B$18,Paramètres!$A$1:$I$89,3,0)*0.475*44/12</f>
        <v>11.808106993206977</v>
      </c>
      <c r="HI47" s="21">
        <f>EXP(-LN(2)/2)*HI46+(1-EXP(-LN(2)/2))/(LN(2)/2)*HC47*HF47*VLOOKUP('Données projet'!$B$18,Paramètres!$A$1:$I$89,3,0)*0.475*44/12</f>
        <v>8.5781067706277199</v>
      </c>
      <c r="HJ47" s="22">
        <f t="shared" si="30"/>
        <v>29.856581782752222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15.714444444444442</v>
      </c>
      <c r="N48" s="13">
        <f>IF('Données projet'!$A$36&gt;35,N47+M48-V47,IF(A48&lt;'Données projet'!$A$36,$K$205^A48,IF(A48='Données projet'!$A$36,'Données projet'!$B$36,N47+M48-V47)))</f>
        <v>291.43777777777785</v>
      </c>
      <c r="O48" s="13">
        <f>N48*VLOOKUP('Données projet'!$B$9,Paramètres!$A$1:$I$89,3,0)*VLOOKUP('Données projet'!$B$9,Paramètres!$A$1:$I$89,5,0)</f>
        <v>174.27979111111117</v>
      </c>
      <c r="P48" s="13">
        <f t="shared" si="33"/>
        <v>44.047162970671543</v>
      </c>
      <c r="Q48" s="20">
        <f t="shared" si="53"/>
        <v>380.25277835910487</v>
      </c>
      <c r="R48" s="59">
        <f t="shared" si="0"/>
        <v>673.58611169243818</v>
      </c>
      <c r="S48" s="59">
        <f ca="1">AVERAGE(OFFSET($R$3,0,0,'Données projet'!$E$9+1,1))-AVERAGE(OFFSET($H$3,0,0,'Données projet'!$E$9+1,1))</f>
        <v>349.71285006949597</v>
      </c>
      <c r="T48" s="59">
        <f t="shared" si="34"/>
        <v>258.51550516456842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23.17729401879209</v>
      </c>
      <c r="AA48" s="21">
        <f>EXP(-LN(2)/25)*AA47+(1-EXP(-LN(2)/25))/(LN(2)/25)*Calculateur!V48*Calculateur!X48*VLOOKUP('Données projet'!$B$9,Paramètres!$A$1:$I$89,3,0)*0.475*44/12</f>
        <v>16.040939466130922</v>
      </c>
      <c r="AB48" s="21">
        <f>EXP(-LN(2)/2)*AB47+(1-EXP(-LN(2)/2))/(LN(2)/2)*V48*Y48*VLOOKUP('Données projet'!$B$9,Paramètres!$A$1:$I$89,3,0)*0.475*44/12</f>
        <v>2.6694770212900805</v>
      </c>
      <c r="AC48" s="22">
        <f t="shared" si="3"/>
        <v>41.887710506213089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149.75</v>
      </c>
      <c r="AG48" s="12">
        <f>VLOOKUP(A48,'Données projet'!$A$61:$I$81,9,0)</f>
        <v>9.8128571428571423</v>
      </c>
      <c r="AH48" s="12">
        <f t="array" ref="AH48">INDEX(AG:AG,MIN(IF(ISNUMBER(AG48:AG244),ROW(AG48:AG244),"")))</f>
        <v>9.8128571428571423</v>
      </c>
      <c r="AI48" s="13">
        <f>IF('Données projet'!$A$62&gt;35,AI47+AH48-AQ47,IF(A48&lt;'Données projet'!$A$62,$AF$205^A48,IF(A48='Données projet'!$A$62,'Données projet'!$B$62,AI47+AH48-AQ47)))</f>
        <v>149.75000000000003</v>
      </c>
      <c r="AJ48" s="13">
        <f>AI48*VLOOKUP('Données projet'!$B$10,Paramètres!$A$1:$I$89,3,0)*VLOOKUP('Données projet'!$B$10,Paramètres!$A$1:$I$89,5,0)</f>
        <v>142.50210000000001</v>
      </c>
      <c r="AK48" s="13">
        <f t="shared" si="35"/>
        <v>36.869609182810613</v>
      </c>
      <c r="AL48" s="20">
        <f t="shared" si="4"/>
        <v>312.40572682672854</v>
      </c>
      <c r="AM48" s="59">
        <f t="shared" si="5"/>
        <v>605.73906016006185</v>
      </c>
      <c r="AN48" s="59">
        <f ca="1">AVERAGE(OFFSET($AM$3,0,0,'Données projet'!$E$10+1,1))-AVERAGE(OFFSET($H$3,0,0,'Données projet'!$E$10+1,1))</f>
        <v>449.28947235329758</v>
      </c>
      <c r="AO48" s="59">
        <f t="shared" si="36"/>
        <v>289.36994109443964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41.69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0.34400000000000003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36.273806259549104</v>
      </c>
      <c r="AW48" s="21">
        <f>EXP(-LN(2)/2)*AW47+(1-EXP(-LN(2)/2))/(LN(2)/2)*AQ48*AT48*VLOOKUP('Données projet'!$B$10,Paramètres!$A$1:$I$89,3,0)*0.475*44/12</f>
        <v>8.6223229343703309</v>
      </c>
      <c r="AX48" s="21">
        <f t="shared" si="6"/>
        <v>44.896129193919435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142.75934400000011</v>
      </c>
      <c r="BF48" s="13">
        <f t="shared" si="37"/>
        <v>36.928412609012774</v>
      </c>
      <c r="BG48" s="20">
        <f t="shared" si="7"/>
        <v>312.95617609403075</v>
      </c>
      <c r="BH48" s="59">
        <f t="shared" si="8"/>
        <v>606.28950942736401</v>
      </c>
      <c r="BI48" s="59">
        <f ca="1">AVERAGE(OFFSET($BH$3,0,0,'Données projet'!$E$11+1,1))-AVERAGE(OFFSET($H$3,0,0,'Données projet'!$E$11+1,1))</f>
        <v>635.71275911100679</v>
      </c>
      <c r="BJ48" s="59">
        <f t="shared" si="38"/>
        <v>281.7776857269169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14.037144853116336</v>
      </c>
      <c r="BR48" s="21">
        <f>EXP(-LN(2)/2)*BR47+(1-EXP(-LN(2)/2))/(LN(2)/2)*BL48*BO48*VLOOKUP('Données projet'!$B$11,Paramètres!$A$1:$I$89,3,0)*0.475*44/12</f>
        <v>2.6868874914950243</v>
      </c>
      <c r="BS48" s="22">
        <f t="shared" si="9"/>
        <v>16.724032344611359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3.3603333333333336</v>
      </c>
      <c r="BY48" s="12">
        <f>IF('Données projet'!$A$114&gt;35,BY47+BX48-CG47,IF(A48&lt;'Données projet'!$A$114,$BV$205^A48,IF(A48='Données projet'!$A$114,'Données projet'!$B$114,BY47+BX48-CG47)))</f>
        <v>151.21499999999995</v>
      </c>
      <c r="BZ48" s="13">
        <f>BY48*VLOOKUP('Données projet'!$B$12,Paramètres!$A$1:$I$89,3,0)*VLOOKUP('Données projet'!$B$12,Paramètres!$A$1:$I$89,5,0)</f>
        <v>172.20364199999995</v>
      </c>
      <c r="CA48" s="13">
        <f t="shared" si="39"/>
        <v>43.583195531641088</v>
      </c>
      <c r="CB48" s="20">
        <f t="shared" si="10"/>
        <v>375.82874203427474</v>
      </c>
      <c r="CC48" s="59">
        <f t="shared" si="11"/>
        <v>669.16207536760805</v>
      </c>
      <c r="CD48" s="59">
        <f ca="1">AVERAGE(OFFSET($CC$3,0,0,'Données projet'!$E$12+1,1))-AVERAGE(OFFSET($H$3,0,0,'Données projet'!$E$12+1,1))</f>
        <v>593.28343396240075</v>
      </c>
      <c r="CE48" s="59">
        <f t="shared" si="40"/>
        <v>289.66477662068695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128.84615384615384</v>
      </c>
      <c r="CR48" s="12">
        <f>VLOOKUP(A48,'Données projet'!$A$139:$I$159,9,0)</f>
        <v>5.5128205128205137</v>
      </c>
      <c r="CS48" s="12">
        <f t="array" ref="CS48">INDEX(CR:CR,MIN(IF(ISNUMBER(CR48:CR244),ROW(CR48:CR244),"")))</f>
        <v>5.5128205128205137</v>
      </c>
      <c r="CT48" s="12">
        <f>IF('Données projet'!$A$140&gt;35,CT47+CS48-DB47,IF(A48&lt;'Données projet'!$A$140,$CQ$205^A48,IF(A48='Données projet'!$A$140,'Données projet'!$B$140,CT47+CS48-DB47)))</f>
        <v>128.84615384615387</v>
      </c>
      <c r="CU48" s="17">
        <f>CT48*VLOOKUP('Données projet'!$B$13,Paramètres!$A$1:$I$89,3,0)*VLOOKUP('Données projet'!$B$13,Paramètres!$A$1:$I$89,5,0)</f>
        <v>134.67000000000004</v>
      </c>
      <c r="CV48" s="13">
        <f t="shared" si="41"/>
        <v>35.073232717947938</v>
      </c>
      <c r="CW48" s="20">
        <f t="shared" si="13"/>
        <v>295.63613031709275</v>
      </c>
      <c r="CX48" s="59">
        <f t="shared" si="14"/>
        <v>588.96946365042606</v>
      </c>
      <c r="CY48" s="59">
        <f ca="1">AVERAGE(OFFSET($CX$3,0,0,'Données projet'!$E$13+1,1))-AVERAGE(OFFSET($H$3,0,0,'Données projet'!$E$13+1,1))</f>
        <v>260.65406541614402</v>
      </c>
      <c r="CZ48" s="59">
        <f t="shared" si="42"/>
        <v>277.63456890196886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19.871794871794872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0.215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25.009443188238112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25.009443188238112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132.69230769230768</v>
      </c>
      <c r="DM48" s="12">
        <f>VLOOKUP(A48,'Données projet'!$A$165:$I$185,9,0)</f>
        <v>4.7435897435897401</v>
      </c>
      <c r="DN48" s="12">
        <f t="array" ref="DN48">INDEX(DM:DM,MIN(IF(ISNUMBER(DM48:DM244),ROW(DM48:DM244),"")))</f>
        <v>4.7435897435897401</v>
      </c>
      <c r="DO48" s="12">
        <f>IF('Données projet'!$A$166&gt;35,DO47+DN48-DW47,IF(A48&lt;'Données projet'!$A$166,$DL$205^A48,IF(A48='Données projet'!$A$166,'Données projet'!$B$166,DO47+DN48-DW47)))</f>
        <v>132.69230769230768</v>
      </c>
      <c r="DP48" s="17">
        <f>DO48*VLOOKUP('Données projet'!$B$14,Paramètres!$A$1:$I$89,3,0)*VLOOKUP('Données projet'!$B$14,Paramètres!$A$1:$I$89,5,0)</f>
        <v>86.94</v>
      </c>
      <c r="DQ48" s="13">
        <f t="shared" si="43"/>
        <v>23.825747510740353</v>
      </c>
      <c r="DR48" s="20">
        <f t="shared" si="16"/>
        <v>192.91701024787278</v>
      </c>
      <c r="DS48" s="59">
        <f t="shared" si="17"/>
        <v>486.2503435812061</v>
      </c>
      <c r="DT48" s="59">
        <f ca="1">AVERAGE(OFFSET($DS$3,0,0,'Données projet'!$E$14+1,1))-AVERAGE(OFFSET($H$3,0,0,'Données projet'!$E$14+1,1))</f>
        <v>181.4272795535777</v>
      </c>
      <c r="DU48" s="59">
        <f t="shared" si="44"/>
        <v>187.67131775419904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16.025641025641026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0.1075</v>
      </c>
      <c r="DZ48" s="16">
        <f>IF(ISNA(VLOOKUP(A48,'Données projet'!$A$165:$I$185,7,0)),0%,VLOOKUP(A48,'Données projet'!$A$165:$I$185,7,0))</f>
        <v>0.25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4.9748240109314512</v>
      </c>
      <c r="EC48" s="21">
        <f>EXP(-LN(2)/2)*EC47+(1-EXP(-LN(2)/2))/(LN(2)/2)*DW48*DZ48*VLOOKUP('Données projet'!$B$14,Paramètres!$A$1:$I$89,3,0)*0.475*44/12</f>
        <v>3.0067930384780581</v>
      </c>
      <c r="ED48" s="22">
        <f t="shared" si="18"/>
        <v>7.9816170494095093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1.1368683772161603E-13</v>
      </c>
      <c r="EK48" s="17">
        <f>EJ48*VLOOKUP('Données projet'!$B$15,Paramètres!$A$1:$I$89,3,0)*VLOOKUP('Données projet'!$B$15,Paramètres!$A$1:$I$89,5,0)</f>
        <v>9.2222762759774927E-14</v>
      </c>
      <c r="EL48" s="13">
        <f t="shared" si="45"/>
        <v>1.3985662224947967E-12</v>
      </c>
      <c r="EM48" s="20">
        <f t="shared" si="19"/>
        <v>2.5964574826517121E-12</v>
      </c>
      <c r="EN48" s="59">
        <f t="shared" si="20"/>
        <v>293.33333333333593</v>
      </c>
      <c r="EO48" s="59">
        <f ca="1">AVERAGE(OFFSET($EN$3,0,0,'Données projet'!$E$15+1,1))-AVERAGE(OFFSET($H$3,0,0,'Données projet'!$E$15+1,1))</f>
        <v>159.68591355116837</v>
      </c>
      <c r="EP48" s="59">
        <f t="shared" si="46"/>
        <v>284.32631786390112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13.208899508902558</v>
      </c>
      <c r="EW48" s="21">
        <f>EXP(-LN(2)/25)*EW47+(1-EXP(-LN(2)/25))/(LN(2)/25)*Calculateur!ER48*Calculateur!ET48*VLOOKUP('Données projet'!$B$15,Paramètres!$A$1:$I$89,3,0)*0.475*44/12</f>
        <v>16.819059841013999</v>
      </c>
      <c r="EX48" s="21">
        <f>EXP(-LN(2)/2)*EX47+(1-EXP(-LN(2)/2))/(LN(2)/2)*ER48*EU48*VLOOKUP('Données projet'!$B$15,Paramètres!$A$1:$I$89,3,0)*0.475*44/12</f>
        <v>5.1587177444839538</v>
      </c>
      <c r="EY48" s="22">
        <f t="shared" si="21"/>
        <v>35.186677094400508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205</v>
      </c>
      <c r="FC48" s="12">
        <f>VLOOKUP(A48,'Données projet'!$A$217:$I$237,9,0)</f>
        <v>8.1999999999999993</v>
      </c>
      <c r="FD48" s="12">
        <f t="array" ref="FD48">INDEX(FC:FC,MIN(IF(ISNUMBER(FC48:FC244),ROW(FC48:FC244),"")))</f>
        <v>8.1999999999999993</v>
      </c>
      <c r="FE48" s="12">
        <f>IF('Données projet'!$A$218&gt;35,FE47+FD48-FM47,IF(A48&lt;'Données projet'!$A$218,$FB$205^A48,IF(A48='Données projet'!$A$218,'Données projet'!$B$218,FE47+FD48-FM47)))</f>
        <v>204.99999999999994</v>
      </c>
      <c r="FF48" s="17">
        <f>FE48*VLOOKUP('Données projet'!$B$16,Paramètres!$A$1:$I$89,3,0)*VLOOKUP('Données projet'!$B$16,Paramètres!$A$1:$I$89,5,0)</f>
        <v>163.09799999999996</v>
      </c>
      <c r="FG48" s="13">
        <f t="shared" si="47"/>
        <v>41.540496136845142</v>
      </c>
      <c r="FH48" s="20">
        <f t="shared" si="22"/>
        <v>356.4120474383385</v>
      </c>
      <c r="FI48" s="59">
        <f t="shared" si="23"/>
        <v>649.74538077167176</v>
      </c>
      <c r="FJ48" s="59">
        <f ca="1">AVERAGE(OFFSET($FI$3,0,0,'Données projet'!$E$16+1,1))-AVERAGE(OFFSET($H$3,0,0,'Données projet'!$E$16+1,1))</f>
        <v>299.10536994156814</v>
      </c>
      <c r="FK48" s="59">
        <f t="shared" si="48"/>
        <v>292.57799203101769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0.13250000000000001</v>
      </c>
      <c r="FO48" s="16">
        <f>IF(ISNA(VLOOKUP(A48,'Données projet'!$A$217:$I$237,6,0)),0%,VLOOKUP(A48,'Données projet'!$A$217:$I$237,6,0)*VLOOKUP('Données projet'!$B$16,Paramètres!$A$1:$I$89,7,0))</f>
        <v>0.13250000000000001</v>
      </c>
      <c r="FP48" s="16">
        <f>IF(ISNA(VLOOKUP(A48,'Données projet'!$A$217:$I$237,7,0)),0%,VLOOKUP(A48,'Données projet'!$A$217:$I$237,7,0))</f>
        <v>0.25</v>
      </c>
      <c r="FQ48" s="21">
        <f>EXP(-LN(2)/35)*FQ47+(1-EXP(-LN(2)/35))/(LN(2)/35)*FM48*FN48*VLOOKUP('Données projet'!$B$16,Paramètres!$A$1:$I$89,3,0)*0.475*44/12</f>
        <v>5.5191457726405631</v>
      </c>
      <c r="FR48" s="21">
        <f>EXP(-LN(2)/25)*FR47+(1-EXP(-LN(2)/25))/(LN(2)/25)*Calculateur!FM48*Calculateur!FO48*VLOOKUP('Données projet'!$B$16,Paramètres!$A$1:$I$89,3,0)*0.475*44/12</f>
        <v>14.240206171056776</v>
      </c>
      <c r="FS48" s="21">
        <f>EXP(-LN(2)/2)*FS47+(1-EXP(-LN(2)/2))/(LN(2)/2)*FM48*FP48*VLOOKUP('Données projet'!$B$16,Paramètres!$A$1:$I$89,3,0)*0.475*44/12</f>
        <v>5.2569537998235791</v>
      </c>
      <c r="FT48" s="22">
        <f t="shared" si="24"/>
        <v>25.016305743520917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161.53846153846152</v>
      </c>
      <c r="FX48" s="12">
        <f>VLOOKUP(A48,'Données projet'!$A$243:$I$263,9,0)</f>
        <v>3.2051282051281986</v>
      </c>
      <c r="FY48" s="12">
        <f t="array" ref="FY48">INDEX(FX:FX,MIN(IF(ISNUMBER(FX48:FX244),ROW(FX48:FX244),"")))</f>
        <v>3.2051282051281986</v>
      </c>
      <c r="FZ48" s="12">
        <f>IF('Données projet'!$A$244&gt;35,FZ47+FY48-GH47,IF(A48&lt;'Données projet'!$A$244,$FW$205^A48,IF(A48='Données projet'!$A$244,'Données projet'!$B$244,FZ47+FY48-GH47)))</f>
        <v>161.53846153846158</v>
      </c>
      <c r="GA48" s="17">
        <f>FZ48*VLOOKUP('Données projet'!$B$17,Paramètres!$A$1:$I$89,3,0)*VLOOKUP('Données projet'!$B$17,Paramètres!$A$1:$I$89,5,0)</f>
        <v>146.16000000000003</v>
      </c>
      <c r="GB48" s="13">
        <f t="shared" si="49"/>
        <v>37.7046191003666</v>
      </c>
      <c r="GC48" s="20">
        <f t="shared" si="25"/>
        <v>320.23087826647179</v>
      </c>
      <c r="GD48" s="59">
        <f t="shared" si="26"/>
        <v>613.56421159980505</v>
      </c>
      <c r="GE48" s="59">
        <f ca="1">AVERAGE(OFFSET($GD$3,0,0,'Données projet'!$E$17+1,1))-AVERAGE(OFFSET($H$3,0,0,'Données projet'!$E$17+1,1))</f>
        <v>204.78565758021779</v>
      </c>
      <c r="GF48" s="59">
        <f t="shared" si="50"/>
        <v>287.25131613242439</v>
      </c>
      <c r="GG48" s="15">
        <f>IF(ISNA(VLOOKUP(A48,'Données projet'!$A$243:$I$263,3,0)),0,VLOOKUP(A48,'Données projet'!$A$243:$I$263,3,0))</f>
        <v>9</v>
      </c>
      <c r="GH48" s="15">
        <f>IF(ISNA(VLOOKUP(A48,'Données projet'!$A$243:$I$263,4,0)),0,VLOOKUP(A48,'Données projet'!$A$243:$I$263,4,0))</f>
        <v>161.53846153846152</v>
      </c>
      <c r="GI48" s="16">
        <f>IF(ISNA(VLOOKUP(A48,'Données projet'!$A$243:$I$263,5,0)),0%,VLOOKUP(A48,'Données projet'!$A$243:$I$263,5,0)*VLOOKUP('Données projet'!$B$17,Paramètres!$A$1:$I$89,7,0))</f>
        <v>0.09</v>
      </c>
      <c r="GJ48" s="16">
        <f>IF(ISNA(VLOOKUP(A48,'Données projet'!$A$243:$I$263,6,0)),0%,VLOOKUP(A48,'Données projet'!$A$243:$I$263,6,0)*VLOOKUP('Données projet'!$B$17,Paramètres!$A$1:$I$89,7,0))</f>
        <v>0.06</v>
      </c>
      <c r="GK48" s="16">
        <f>IF(ISNA(VLOOKUP(A48,'Données projet'!$A$243:$I$263,7,0)),0%,VLOOKUP(A48,'Données projet'!$A$243:$I$263,7,0))</f>
        <v>0.1</v>
      </c>
      <c r="GL48" s="21">
        <f>EXP(-LN(2)/35)*GL47+(1-EXP(-LN(2)/35))/(LN(2)/35)*GH48*GI48*VLOOKUP('Données projet'!$B$17,Paramètres!$A$1:$I$89,3,0)*0.475*44/12</f>
        <v>15.609264182207315</v>
      </c>
      <c r="GM48" s="21">
        <f>EXP(-LN(2)/25)*GM47+(1-EXP(-LN(2)/25))/(LN(2)/25)*Calculateur!GH48*Calculateur!GJ48*VLOOKUP('Données projet'!$B$17,Paramètres!$A$1:$I$89,3,0)*0.475*44/12</f>
        <v>13.217002714992059</v>
      </c>
      <c r="GN48" s="21">
        <f>EXP(-LN(2)/2)*GN47+(1-EXP(-LN(2)/2))/(LN(2)/2)*GH48*GK48*VLOOKUP('Données projet'!$B$17,Paramètres!$A$1:$I$89,3,0)*0.475*44/12</f>
        <v>13.790589383872351</v>
      </c>
      <c r="GO48" s="21">
        <f t="shared" si="27"/>
        <v>42.616856281071726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10.375</v>
      </c>
      <c r="GU48" s="12">
        <f>IF('Données projet'!$A$270&gt;35,GU47+GT48-HC47,IF(A48&lt;'Données projet'!$A$270,$GR$205^A48,IF(A48='Données projet'!$A$270,'Données projet'!$B$270,GU47+GT48-HC47)))</f>
        <v>197.37499999999991</v>
      </c>
      <c r="GV48" s="17">
        <f>GU48*VLOOKUP('Données projet'!$B$18,Paramètres!$A$1:$I$89,3,0)*VLOOKUP('Données projet'!$B$18,Paramètres!$A$1:$I$89,5,0)</f>
        <v>153.95249999999993</v>
      </c>
      <c r="GW48" s="13">
        <f t="shared" si="51"/>
        <v>39.475441267837361</v>
      </c>
      <c r="GX48" s="20">
        <f t="shared" si="28"/>
        <v>336.88699770814992</v>
      </c>
      <c r="GY48" s="59">
        <f t="shared" si="29"/>
        <v>630.22033104148318</v>
      </c>
      <c r="GZ48" s="59">
        <f ca="1">AVERAGE(OFFSET($GY$3,0,0,'Données projet'!$E$18+1,1))-AVERAGE(OFFSET($H$3,0,0,'Données projet'!$E$18+1,1))</f>
        <v>288.82868507674738</v>
      </c>
      <c r="HA48" s="59">
        <f t="shared" si="52"/>
        <v>283.48738729114024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9.2846598784206762</v>
      </c>
      <c r="HH48" s="21">
        <f>EXP(-LN(2)/25)*HH47+(1-EXP(-LN(2)/25))/(LN(2)/25)*Calculateur!HC48*Calculateur!HE48*VLOOKUP('Données projet'!$B$18,Paramètres!$A$1:$I$89,3,0)*0.475*44/12</f>
        <v>11.485213686516373</v>
      </c>
      <c r="HI48" s="21">
        <f>EXP(-LN(2)/2)*HI47+(1-EXP(-LN(2)/2))/(LN(2)/2)*HC48*HF48*VLOOKUP('Données projet'!$B$18,Paramètres!$A$1:$I$89,3,0)*0.475*44/12</f>
        <v>6.0656374672530973</v>
      </c>
      <c r="HJ48" s="22">
        <f t="shared" si="30"/>
        <v>26.835511032190148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15.714444444444442</v>
      </c>
      <c r="N49" s="13">
        <f>IF('Données projet'!$A$36&gt;35,N48+M49-V48,IF(A49&lt;'Données projet'!$A$36,$K$205^A49,IF(A49='Données projet'!$A$36,'Données projet'!$B$36,N48+M49-V48)))</f>
        <v>307.15222222222229</v>
      </c>
      <c r="O49" s="13">
        <f>N49*VLOOKUP('Données projet'!$B$9,Paramètres!$A$1:$I$89,3,0)*VLOOKUP('Données projet'!$B$9,Paramètres!$A$1:$I$89,5,0)</f>
        <v>183.67702888888894</v>
      </c>
      <c r="P49" s="13">
        <f t="shared" si="33"/>
        <v>46.139292054148385</v>
      </c>
      <c r="Q49" s="20">
        <f t="shared" si="53"/>
        <v>400.2634256424567</v>
      </c>
      <c r="R49" s="59">
        <f t="shared" si="0"/>
        <v>693.59675897578995</v>
      </c>
      <c r="S49" s="59">
        <f ca="1">AVERAGE(OFFSET($R$3,0,0,'Données projet'!$E$9+1,1))-AVERAGE(OFFSET($H$3,0,0,'Données projet'!$E$9+1,1))</f>
        <v>349.71285006949597</v>
      </c>
      <c r="T49" s="59">
        <f t="shared" si="34"/>
        <v>258.51550516456842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22.72280141983704</v>
      </c>
      <c r="AA49" s="21">
        <f>EXP(-LN(2)/25)*AA48+(1-EXP(-LN(2)/25))/(LN(2)/25)*Calculateur!V49*Calculateur!X49*VLOOKUP('Données projet'!$B$9,Paramètres!$A$1:$I$89,3,0)*0.475*44/12</f>
        <v>15.602299132873227</v>
      </c>
      <c r="AB49" s="21">
        <f>EXP(-LN(2)/2)*AB48+(1-EXP(-LN(2)/2))/(LN(2)/2)*V49*Y49*VLOOKUP('Données projet'!$B$9,Paramètres!$A$1:$I$89,3,0)*0.475*44/12</f>
        <v>1.8876053039758818</v>
      </c>
      <c r="AC49" s="22">
        <f t="shared" si="3"/>
        <v>40.212705856686149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10.001428571428571</v>
      </c>
      <c r="AI49" s="13">
        <f>IF('Données projet'!$A$62&gt;35,AI48+AH49-AQ48,IF(A49&lt;'Données projet'!$A$62,$AF$205^A49,IF(A49='Données projet'!$A$62,'Données projet'!$B$62,AI48+AH49-AQ48)))</f>
        <v>118.06142857142859</v>
      </c>
      <c r="AJ49" s="13">
        <f>AI49*VLOOKUP('Données projet'!$B$10,Paramètres!$A$1:$I$89,3,0)*VLOOKUP('Données projet'!$B$10,Paramètres!$A$1:$I$89,5,0)</f>
        <v>112.34725542857144</v>
      </c>
      <c r="AK49" s="13">
        <f t="shared" si="35"/>
        <v>29.883334836157822</v>
      </c>
      <c r="AL49" s="20">
        <f t="shared" si="4"/>
        <v>247.71827804440349</v>
      </c>
      <c r="AM49" s="59">
        <f t="shared" si="5"/>
        <v>541.05161137773678</v>
      </c>
      <c r="AN49" s="59">
        <f ca="1">AVERAGE(OFFSET($AM$3,0,0,'Données projet'!$E$10+1,1))-AVERAGE(OFFSET($H$3,0,0,'Données projet'!$E$10+1,1))</f>
        <v>449.28947235329758</v>
      </c>
      <c r="AO49" s="59">
        <f t="shared" si="36"/>
        <v>289.36994109443964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35.281897119825167</v>
      </c>
      <c r="AW49" s="21">
        <f>EXP(-LN(2)/2)*AW48+(1-EXP(-LN(2)/2))/(LN(2)/2)*AQ49*AT49*VLOOKUP('Données projet'!$B$10,Paramètres!$A$1:$I$89,3,0)*0.475*44/12</f>
        <v>6.0969030164735525</v>
      </c>
      <c r="AX49" s="21">
        <f t="shared" si="6"/>
        <v>41.378800136298722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151.90687200000013</v>
      </c>
      <c r="BF49" s="13">
        <f t="shared" si="37"/>
        <v>39.011610015763097</v>
      </c>
      <c r="BG49" s="20">
        <f t="shared" si="7"/>
        <v>332.51635617745427</v>
      </c>
      <c r="BH49" s="59">
        <f t="shared" si="8"/>
        <v>625.84968951078758</v>
      </c>
      <c r="BI49" s="59">
        <f ca="1">AVERAGE(OFFSET($BH$3,0,0,'Données projet'!$E$11+1,1))-AVERAGE(OFFSET($H$3,0,0,'Données projet'!$E$11+1,1))</f>
        <v>635.71275911100679</v>
      </c>
      <c r="BJ49" s="59">
        <f t="shared" si="38"/>
        <v>281.7776857269169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13.653298388926505</v>
      </c>
      <c r="BR49" s="21">
        <f>EXP(-LN(2)/2)*BR48+(1-EXP(-LN(2)/2))/(LN(2)/2)*BL49*BO49*VLOOKUP('Données projet'!$B$11,Paramètres!$A$1:$I$89,3,0)*0.475*44/12</f>
        <v>1.8999163655214437</v>
      </c>
      <c r="BS49" s="22">
        <f t="shared" si="9"/>
        <v>15.553214754447948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3.3603333333333336</v>
      </c>
      <c r="BY49" s="12">
        <f>IF('Données projet'!$A$114&gt;35,BY48+BX49-CG48,IF(A49&lt;'Données projet'!$A$114,$BV$205^A49,IF(A49='Données projet'!$A$114,'Données projet'!$B$114,BY48+BX49-CG48)))</f>
        <v>154.57533333333328</v>
      </c>
      <c r="BZ49" s="13">
        <f>BY49*VLOOKUP('Données projet'!$B$12,Paramètres!$A$1:$I$89,3,0)*VLOOKUP('Données projet'!$B$12,Paramètres!$A$1:$I$89,5,0)</f>
        <v>176.03038959999992</v>
      </c>
      <c r="CA49" s="13">
        <f t="shared" si="39"/>
        <v>44.437878026410679</v>
      </c>
      <c r="CB49" s="20">
        <f t="shared" si="10"/>
        <v>383.98223278266511</v>
      </c>
      <c r="CC49" s="59">
        <f t="shared" si="11"/>
        <v>677.31556611599842</v>
      </c>
      <c r="CD49" s="59">
        <f ca="1">AVERAGE(OFFSET($CC$3,0,0,'Données projet'!$E$12+1,1))-AVERAGE(OFFSET($H$3,0,0,'Données projet'!$E$12+1,1))</f>
        <v>593.28343396240075</v>
      </c>
      <c r="CE49" s="59">
        <f t="shared" si="40"/>
        <v>289.66477662068695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5.0000000000000027</v>
      </c>
      <c r="CT49" s="12">
        <f>IF('Données projet'!$A$140&gt;35,CT48+CS49-DB48,IF(A49&lt;'Données projet'!$A$140,$CQ$205^A49,IF(A49='Données projet'!$A$140,'Données projet'!$B$140,CT48+CS49-DB48)))</f>
        <v>113.97435897435899</v>
      </c>
      <c r="CU49" s="17">
        <f>CT49*VLOOKUP('Données projet'!$B$13,Paramètres!$A$1:$I$89,3,0)*VLOOKUP('Données projet'!$B$13,Paramètres!$A$1:$I$89,5,0)</f>
        <v>119.12600000000003</v>
      </c>
      <c r="CV49" s="13">
        <f t="shared" si="41"/>
        <v>31.471066503383746</v>
      </c>
      <c r="CW49" s="20">
        <f t="shared" si="13"/>
        <v>262.28989082672678</v>
      </c>
      <c r="CX49" s="59">
        <f t="shared" si="14"/>
        <v>555.62322416006009</v>
      </c>
      <c r="CY49" s="59">
        <f ca="1">AVERAGE(OFFSET($CX$3,0,0,'Données projet'!$E$13+1,1))-AVERAGE(OFFSET($H$3,0,0,'Données projet'!$E$13+1,1))</f>
        <v>260.65406541614402</v>
      </c>
      <c r="CZ49" s="59">
        <f t="shared" si="42"/>
        <v>277.63456890196886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24.325558649066284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24.325558649066284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4.2307692307692317</v>
      </c>
      <c r="DO49" s="12">
        <f>IF('Données projet'!$A$166&gt;35,DO48+DN49-DW48,IF(A49&lt;'Données projet'!$A$166,$DL$205^A49,IF(A49='Données projet'!$A$166,'Données projet'!$B$166,DO48+DN49-DW48)))</f>
        <v>120.89743589743588</v>
      </c>
      <c r="DP49" s="17">
        <f>DO49*VLOOKUP('Données projet'!$B$14,Paramètres!$A$1:$I$89,3,0)*VLOOKUP('Données projet'!$B$14,Paramètres!$A$1:$I$89,5,0)</f>
        <v>79.211999999999989</v>
      </c>
      <c r="DQ49" s="13">
        <f t="shared" si="43"/>
        <v>21.944403173112374</v>
      </c>
      <c r="DR49" s="20">
        <f t="shared" si="16"/>
        <v>176.18073552650404</v>
      </c>
      <c r="DS49" s="59">
        <f t="shared" si="17"/>
        <v>469.51406885983738</v>
      </c>
      <c r="DT49" s="59">
        <f ca="1">AVERAGE(OFFSET($DS$3,0,0,'Données projet'!$E$14+1,1))-AVERAGE(OFFSET($H$3,0,0,'Données projet'!$E$14+1,1))</f>
        <v>181.4272795535777</v>
      </c>
      <c r="DU49" s="59">
        <f t="shared" si="44"/>
        <v>187.67131775419904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4.838787186737906</v>
      </c>
      <c r="EC49" s="21">
        <f>EXP(-LN(2)/2)*EC48+(1-EXP(-LN(2)/2))/(LN(2)/2)*DW49*DZ49*VLOOKUP('Données projet'!$B$14,Paramètres!$A$1:$I$89,3,0)*0.475*44/12</f>
        <v>2.1261237471323389</v>
      </c>
      <c r="ED49" s="22">
        <f t="shared" si="18"/>
        <v>6.9649109338702448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1.1368683772161603E-13</v>
      </c>
      <c r="EK49" s="17">
        <f>EJ49*VLOOKUP('Données projet'!$B$15,Paramètres!$A$1:$I$89,3,0)*VLOOKUP('Données projet'!$B$15,Paramètres!$A$1:$I$89,5,0)</f>
        <v>9.2222762759774927E-14</v>
      </c>
      <c r="EL49" s="13">
        <f t="shared" si="45"/>
        <v>1.3985662224947967E-12</v>
      </c>
      <c r="EM49" s="20">
        <f t="shared" si="19"/>
        <v>2.5964574826517121E-12</v>
      </c>
      <c r="EN49" s="59">
        <f t="shared" si="20"/>
        <v>293.33333333333593</v>
      </c>
      <c r="EO49" s="59">
        <f ca="1">AVERAGE(OFFSET($EN$3,0,0,'Données projet'!$E$15+1,1))-AVERAGE(OFFSET($H$3,0,0,'Données projet'!$E$15+1,1))</f>
        <v>159.68591355116837</v>
      </c>
      <c r="EP49" s="59">
        <f t="shared" si="46"/>
        <v>284.32631786390112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12.949881046166153</v>
      </c>
      <c r="EW49" s="21">
        <f>EXP(-LN(2)/25)*EW48+(1-EXP(-LN(2)/25))/(LN(2)/25)*Calculateur!ER49*Calculateur!ET49*VLOOKUP('Données projet'!$B$15,Paramètres!$A$1:$I$89,3,0)*0.475*44/12</f>
        <v>16.359141765185555</v>
      </c>
      <c r="EX49" s="21">
        <f>EXP(-LN(2)/2)*EX48+(1-EXP(-LN(2)/2))/(LN(2)/2)*ER49*EU49*VLOOKUP('Données projet'!$B$15,Paramètres!$A$1:$I$89,3,0)*0.475*44/12</f>
        <v>3.6477642993519752</v>
      </c>
      <c r="EY49" s="22">
        <f t="shared" si="21"/>
        <v>32.956787110703686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7.2</v>
      </c>
      <c r="FE49" s="12">
        <f>IF('Données projet'!$A$218&gt;35,FE48+FD49-FM48,IF(A49&lt;'Données projet'!$A$218,$FB$205^A49,IF(A49='Données projet'!$A$218,'Données projet'!$B$218,FE48+FD49-FM48)))</f>
        <v>190.19999999999993</v>
      </c>
      <c r="FF49" s="17">
        <f>FE49*VLOOKUP('Données projet'!$B$16,Paramètres!$A$1:$I$89,3,0)*VLOOKUP('Données projet'!$B$16,Paramètres!$A$1:$I$89,5,0)</f>
        <v>151.32311999999996</v>
      </c>
      <c r="FG49" s="13">
        <f t="shared" si="47"/>
        <v>38.879115530839606</v>
      </c>
      <c r="FH49" s="20">
        <f t="shared" si="22"/>
        <v>331.26889354954557</v>
      </c>
      <c r="FI49" s="59">
        <f t="shared" si="23"/>
        <v>624.60222688287888</v>
      </c>
      <c r="FJ49" s="59">
        <f ca="1">AVERAGE(OFFSET($FI$3,0,0,'Données projet'!$E$16+1,1))-AVERAGE(OFFSET($H$3,0,0,'Données projet'!$E$16+1,1))</f>
        <v>299.10536994156814</v>
      </c>
      <c r="FK49" s="59">
        <f t="shared" si="48"/>
        <v>292.57799203101769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5.4109186903856035</v>
      </c>
      <c r="FR49" s="21">
        <f>EXP(-LN(2)/25)*FR48+(1-EXP(-LN(2)/25))/(LN(2)/25)*Calculateur!FM49*Calculateur!FO49*VLOOKUP('Données projet'!$B$16,Paramètres!$A$1:$I$89,3,0)*0.475*44/12</f>
        <v>13.850806984449333</v>
      </c>
      <c r="FS49" s="21">
        <f>EXP(-LN(2)/2)*FS48+(1-EXP(-LN(2)/2))/(LN(2)/2)*FM49*FP49*VLOOKUP('Données projet'!$B$16,Paramètres!$A$1:$I$89,3,0)*0.475*44/12</f>
        <v>3.7172276802396413</v>
      </c>
      <c r="FT49" s="22">
        <f t="shared" si="24"/>
        <v>22.978953355074577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5.6843418860808015E-14</v>
      </c>
      <c r="GA49" s="17">
        <f>FZ49*VLOOKUP('Données projet'!$B$17,Paramètres!$A$1:$I$89,3,0)*VLOOKUP('Données projet'!$B$17,Paramètres!$A$1:$I$89,5,0)</f>
        <v>5.1431925385259088E-14</v>
      </c>
      <c r="GB49" s="13">
        <f t="shared" si="49"/>
        <v>8.3482866290946129E-13</v>
      </c>
      <c r="GC49" s="20">
        <f t="shared" si="25"/>
        <v>1.5435705246133045E-12</v>
      </c>
      <c r="GD49" s="59">
        <f t="shared" si="26"/>
        <v>293.33333333333485</v>
      </c>
      <c r="GE49" s="59">
        <f ca="1">AVERAGE(OFFSET($GD$3,0,0,'Données projet'!$E$17+1,1))-AVERAGE(OFFSET($H$3,0,0,'Données projet'!$E$17+1,1))</f>
        <v>204.78565758021779</v>
      </c>
      <c r="GF49" s="59">
        <f t="shared" si="50"/>
        <v>287.25131613242439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15.30317603230529</v>
      </c>
      <c r="GM49" s="21">
        <f>EXP(-LN(2)/25)*GM48+(1-EXP(-LN(2)/25))/(LN(2)/25)*Calculateur!GH49*Calculateur!GJ49*VLOOKUP('Données projet'!$B$17,Paramètres!$A$1:$I$89,3,0)*0.475*44/12</f>
        <v>12.855583080698636</v>
      </c>
      <c r="GN49" s="21">
        <f>EXP(-LN(2)/2)*GN48+(1-EXP(-LN(2)/2))/(LN(2)/2)*GH49*GK49*VLOOKUP('Données projet'!$B$17,Paramètres!$A$1:$I$89,3,0)*0.475*44/12</f>
        <v>9.7514192698953526</v>
      </c>
      <c r="GO49" s="21">
        <f t="shared" si="27"/>
        <v>37.910178382899275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10.375</v>
      </c>
      <c r="GU49" s="12">
        <f>IF('Données projet'!$A$270&gt;35,GU48+GT49-HC48,IF(A49&lt;'Données projet'!$A$270,$GR$205^A49,IF(A49='Données projet'!$A$270,'Données projet'!$B$270,GU48+GT49-HC48)))</f>
        <v>207.74999999999991</v>
      </c>
      <c r="GV49" s="17">
        <f>GU49*VLOOKUP('Données projet'!$B$18,Paramètres!$A$1:$I$89,3,0)*VLOOKUP('Données projet'!$B$18,Paramètres!$A$1:$I$89,5,0)</f>
        <v>162.04499999999993</v>
      </c>
      <c r="GW49" s="13">
        <f t="shared" si="51"/>
        <v>41.303429372463391</v>
      </c>
      <c r="GX49" s="20">
        <f t="shared" si="28"/>
        <v>354.16518115704025</v>
      </c>
      <c r="GY49" s="59">
        <f t="shared" si="29"/>
        <v>647.49851449037351</v>
      </c>
      <c r="GZ49" s="59">
        <f ca="1">AVERAGE(OFFSET($GY$3,0,0,'Données projet'!$E$18+1,1))-AVERAGE(OFFSET($H$3,0,0,'Données projet'!$E$18+1,1))</f>
        <v>288.82868507674738</v>
      </c>
      <c r="HA49" s="59">
        <f t="shared" si="52"/>
        <v>283.48738729114024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9.1025933612881893</v>
      </c>
      <c r="HH49" s="21">
        <f>EXP(-LN(2)/25)*HH48+(1-EXP(-LN(2)/25))/(LN(2)/25)*Calculateur!HC49*Calculateur!HE49*VLOOKUP('Données projet'!$B$18,Paramètres!$A$1:$I$89,3,0)*0.475*44/12</f>
        <v>11.171149914277445</v>
      </c>
      <c r="HI49" s="21">
        <f>EXP(-LN(2)/2)*HI48+(1-EXP(-LN(2)/2))/(LN(2)/2)*HC49*HF49*VLOOKUP('Données projet'!$B$18,Paramètres!$A$1:$I$89,3,0)*0.475*44/12</f>
        <v>4.2890533853138608</v>
      </c>
      <c r="HJ49" s="22">
        <f t="shared" si="30"/>
        <v>24.562796660879496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15.714444444444442</v>
      </c>
      <c r="N50" s="13">
        <f>IF('Données projet'!$A$36&gt;35,N49+M50-V49,IF(A50&lt;'Données projet'!$A$36,$K$205^A50,IF(A50='Données projet'!$A$36,'Données projet'!$B$36,N49+M50-V49)))</f>
        <v>322.86666666666673</v>
      </c>
      <c r="O50" s="13">
        <f>N50*VLOOKUP('Données projet'!$B$9,Paramètres!$A$1:$I$89,3,0)*VLOOKUP('Données projet'!$B$9,Paramètres!$A$1:$I$89,5,0)</f>
        <v>193.07426666666672</v>
      </c>
      <c r="P50" s="13">
        <f t="shared" si="33"/>
        <v>48.218993334236252</v>
      </c>
      <c r="Q50" s="20">
        <f t="shared" si="53"/>
        <v>420.25242783490597</v>
      </c>
      <c r="R50" s="59">
        <f t="shared" si="0"/>
        <v>713.58576116823929</v>
      </c>
      <c r="S50" s="59">
        <f ca="1">AVERAGE(OFFSET($R$3,0,0,'Données projet'!$E$9+1,1))-AVERAGE(OFFSET($H$3,0,0,'Données projet'!$E$9+1,1))</f>
        <v>349.71285006949597</v>
      </c>
      <c r="T50" s="59">
        <f t="shared" si="34"/>
        <v>258.51550516456842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22.277221143534387</v>
      </c>
      <c r="AA50" s="21">
        <f>EXP(-LN(2)/25)*AA49+(1-EXP(-LN(2)/25))/(LN(2)/25)*Calculateur!V50*Calculateur!X50*VLOOKUP('Données projet'!$B$9,Paramètres!$A$1:$I$89,3,0)*0.475*44/12</f>
        <v>15.175653442595557</v>
      </c>
      <c r="AB50" s="21">
        <f>EXP(-LN(2)/2)*AB49+(1-EXP(-LN(2)/2))/(LN(2)/2)*V50*Y50*VLOOKUP('Données projet'!$B$9,Paramètres!$A$1:$I$89,3,0)*0.475*44/12</f>
        <v>1.3347385106450405</v>
      </c>
      <c r="AC50" s="22">
        <f t="shared" si="3"/>
        <v>38.787613096774983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10.001428571428571</v>
      </c>
      <c r="AI50" s="13">
        <f>IF('Données projet'!$A$62&gt;35,AI49+AH50-AQ49,IF(A50&lt;'Données projet'!$A$62,$AF$205^A50,IF(A50='Données projet'!$A$62,'Données projet'!$B$62,AI49+AH50-AQ49)))</f>
        <v>128.06285714285715</v>
      </c>
      <c r="AJ50" s="13">
        <f>AI50*VLOOKUP('Données projet'!$B$10,Paramètres!$A$1:$I$89,3,0)*VLOOKUP('Données projet'!$B$10,Paramètres!$A$1:$I$89,5,0)</f>
        <v>121.86461485714287</v>
      </c>
      <c r="AK50" s="13">
        <f t="shared" si="35"/>
        <v>32.109499056362758</v>
      </c>
      <c r="AL50" s="20">
        <f t="shared" si="4"/>
        <v>268.17158173268894</v>
      </c>
      <c r="AM50" s="59">
        <f t="shared" si="5"/>
        <v>561.50491506602225</v>
      </c>
      <c r="AN50" s="59">
        <f ca="1">AVERAGE(OFFSET($AM$3,0,0,'Données projet'!$E$10+1,1))-AVERAGE(OFFSET($H$3,0,0,'Données projet'!$E$10+1,1))</f>
        <v>449.28947235329758</v>
      </c>
      <c r="AO50" s="59">
        <f t="shared" si="36"/>
        <v>289.36994109443964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34.317111787689214</v>
      </c>
      <c r="AW50" s="21">
        <f>EXP(-LN(2)/2)*AW49+(1-EXP(-LN(2)/2))/(LN(2)/2)*AQ50*AT50*VLOOKUP('Données projet'!$B$10,Paramètres!$A$1:$I$89,3,0)*0.475*44/12</f>
        <v>4.3111614671851664</v>
      </c>
      <c r="AX50" s="21">
        <f t="shared" si="6"/>
        <v>38.628273254874379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161.05440000000016</v>
      </c>
      <c r="BF50" s="13">
        <f t="shared" si="37"/>
        <v>41.080247278685491</v>
      </c>
      <c r="BG50" s="20">
        <f t="shared" si="7"/>
        <v>352.05117734371078</v>
      </c>
      <c r="BH50" s="59">
        <f t="shared" si="8"/>
        <v>645.38451067704409</v>
      </c>
      <c r="BI50" s="59">
        <f ca="1">AVERAGE(OFFSET($BH$3,0,0,'Données projet'!$E$11+1,1))-AVERAGE(OFFSET($H$3,0,0,'Données projet'!$E$11+1,1))</f>
        <v>635.71275911100679</v>
      </c>
      <c r="BJ50" s="59">
        <f t="shared" si="38"/>
        <v>281.7776857269169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13.279948226485553</v>
      </c>
      <c r="BR50" s="21">
        <f>EXP(-LN(2)/2)*BR49+(1-EXP(-LN(2)/2))/(LN(2)/2)*BL50*BO50*VLOOKUP('Données projet'!$B$11,Paramètres!$A$1:$I$89,3,0)*0.475*44/12</f>
        <v>1.3434437457475121</v>
      </c>
      <c r="BS50" s="22">
        <f t="shared" si="9"/>
        <v>14.623391972233065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3.3603333333333336</v>
      </c>
      <c r="BY50" s="12">
        <f>IF('Données projet'!$A$114&gt;35,BY49+BX50-CG49,IF(A50&lt;'Données projet'!$A$114,$BV$205^A50,IF(A50='Données projet'!$A$114,'Données projet'!$B$114,BY49+BX50-CG49)))</f>
        <v>157.93566666666661</v>
      </c>
      <c r="BZ50" s="13">
        <f>BY50*VLOOKUP('Données projet'!$B$12,Paramètres!$A$1:$I$89,3,0)*VLOOKUP('Données projet'!$B$12,Paramètres!$A$1:$I$89,5,0)</f>
        <v>179.85713719999993</v>
      </c>
      <c r="CA50" s="13">
        <f t="shared" si="39"/>
        <v>45.290400357029107</v>
      </c>
      <c r="CB50" s="20">
        <f t="shared" si="10"/>
        <v>392.13196124515889</v>
      </c>
      <c r="CC50" s="59">
        <f t="shared" si="11"/>
        <v>685.46529457849215</v>
      </c>
      <c r="CD50" s="59">
        <f ca="1">AVERAGE(OFFSET($CC$3,0,0,'Données projet'!$E$12+1,1))-AVERAGE(OFFSET($H$3,0,0,'Données projet'!$E$12+1,1))</f>
        <v>593.28343396240075</v>
      </c>
      <c r="CE50" s="59">
        <f t="shared" si="40"/>
        <v>289.66477662068695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5.0000000000000027</v>
      </c>
      <c r="CT50" s="12">
        <f>IF('Données projet'!$A$140&gt;35,CT49+CS50-DB49,IF(A50&lt;'Données projet'!$A$140,$CQ$205^A50,IF(A50='Données projet'!$A$140,'Données projet'!$B$140,CT49+CS50-DB49)))</f>
        <v>118.97435897435899</v>
      </c>
      <c r="CU50" s="17">
        <f>CT50*VLOOKUP('Données projet'!$B$13,Paramètres!$A$1:$I$89,3,0)*VLOOKUP('Données projet'!$B$13,Paramètres!$A$1:$I$89,5,0)</f>
        <v>124.35200000000003</v>
      </c>
      <c r="CV50" s="13">
        <f t="shared" si="41"/>
        <v>32.687917748682572</v>
      </c>
      <c r="CW50" s="20">
        <f t="shared" si="13"/>
        <v>273.51119007895551</v>
      </c>
      <c r="CX50" s="59">
        <f t="shared" si="14"/>
        <v>566.84452341228882</v>
      </c>
      <c r="CY50" s="59">
        <f ca="1">AVERAGE(OFFSET($CX$3,0,0,'Données projet'!$E$13+1,1))-AVERAGE(OFFSET($H$3,0,0,'Données projet'!$E$13+1,1))</f>
        <v>260.65406541614402</v>
      </c>
      <c r="CZ50" s="59">
        <f t="shared" si="42"/>
        <v>277.63456890196886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23.660374968582033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23.660374968582033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4.2307692307692317</v>
      </c>
      <c r="DO50" s="12">
        <f>IF('Données projet'!$A$166&gt;35,DO49+DN50-DW49,IF(A50&lt;'Données projet'!$A$166,$DL$205^A50,IF(A50='Données projet'!$A$166,'Données projet'!$B$166,DO49+DN50-DW49)))</f>
        <v>125.12820512820511</v>
      </c>
      <c r="DP50" s="17">
        <f>DO50*VLOOKUP('Données projet'!$B$14,Paramètres!$A$1:$I$89,3,0)*VLOOKUP('Données projet'!$B$14,Paramètres!$A$1:$I$89,5,0)</f>
        <v>81.983999999999995</v>
      </c>
      <c r="DQ50" s="13">
        <f t="shared" si="43"/>
        <v>22.621588649697706</v>
      </c>
      <c r="DR50" s="20">
        <f t="shared" si="16"/>
        <v>182.18806689822347</v>
      </c>
      <c r="DS50" s="59">
        <f t="shared" si="17"/>
        <v>475.52140023155675</v>
      </c>
      <c r="DT50" s="59">
        <f ca="1">AVERAGE(OFFSET($DS$3,0,0,'Données projet'!$E$14+1,1))-AVERAGE(OFFSET($H$3,0,0,'Données projet'!$E$14+1,1))</f>
        <v>181.4272795535777</v>
      </c>
      <c r="DU50" s="59">
        <f t="shared" si="44"/>
        <v>187.67131775419904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4.706470296655799</v>
      </c>
      <c r="EC50" s="21">
        <f>EXP(-LN(2)/2)*EC49+(1-EXP(-LN(2)/2))/(LN(2)/2)*DW50*DZ50*VLOOKUP('Données projet'!$B$14,Paramètres!$A$1:$I$89,3,0)*0.475*44/12</f>
        <v>1.5033965192390293</v>
      </c>
      <c r="ED50" s="22">
        <f t="shared" si="18"/>
        <v>6.209866815894828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1.1368683772161603E-13</v>
      </c>
      <c r="EK50" s="17">
        <f>EJ50*VLOOKUP('Données projet'!$B$15,Paramètres!$A$1:$I$89,3,0)*VLOOKUP('Données projet'!$B$15,Paramètres!$A$1:$I$89,5,0)</f>
        <v>9.2222762759774927E-14</v>
      </c>
      <c r="EL50" s="13">
        <f t="shared" si="45"/>
        <v>1.3985662224947967E-12</v>
      </c>
      <c r="EM50" s="20">
        <f t="shared" si="19"/>
        <v>2.5964574826517121E-12</v>
      </c>
      <c r="EN50" s="59">
        <f t="shared" si="20"/>
        <v>293.33333333333593</v>
      </c>
      <c r="EO50" s="59">
        <f ca="1">AVERAGE(OFFSET($EN$3,0,0,'Données projet'!$E$15+1,1))-AVERAGE(OFFSET($H$3,0,0,'Données projet'!$E$15+1,1))</f>
        <v>159.68591355116837</v>
      </c>
      <c r="EP50" s="59">
        <f t="shared" si="46"/>
        <v>284.32631786390112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12.695941777498346</v>
      </c>
      <c r="EW50" s="21">
        <f>EXP(-LN(2)/25)*EW49+(1-EXP(-LN(2)/25))/(LN(2)/25)*Calculateur!ER50*Calculateur!ET50*VLOOKUP('Données projet'!$B$15,Paramètres!$A$1:$I$89,3,0)*0.475*44/12</f>
        <v>15.911800173326681</v>
      </c>
      <c r="EX50" s="21">
        <f>EXP(-LN(2)/2)*EX49+(1-EXP(-LN(2)/2))/(LN(2)/2)*ER50*EU50*VLOOKUP('Données projet'!$B$15,Paramètres!$A$1:$I$89,3,0)*0.475*44/12</f>
        <v>2.5793588722419774</v>
      </c>
      <c r="EY50" s="22">
        <f t="shared" si="21"/>
        <v>31.187100823067006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7.2</v>
      </c>
      <c r="FE50" s="12">
        <f>IF('Données projet'!$A$218&gt;35,FE49+FD50-FM49,IF(A50&lt;'Données projet'!$A$218,$FB$205^A50,IF(A50='Données projet'!$A$218,'Données projet'!$B$218,FE49+FD50-FM49)))</f>
        <v>197.39999999999992</v>
      </c>
      <c r="FF50" s="17">
        <f>FE50*VLOOKUP('Données projet'!$B$16,Paramètres!$A$1:$I$89,3,0)*VLOOKUP('Données projet'!$B$16,Paramètres!$A$1:$I$89,5,0)</f>
        <v>157.05143999999996</v>
      </c>
      <c r="FG50" s="13">
        <f t="shared" si="47"/>
        <v>40.176741230099708</v>
      </c>
      <c r="FH50" s="20">
        <f t="shared" si="22"/>
        <v>343.50574897575689</v>
      </c>
      <c r="FI50" s="59">
        <f t="shared" si="23"/>
        <v>636.83908230909014</v>
      </c>
      <c r="FJ50" s="59">
        <f ca="1">AVERAGE(OFFSET($FI$3,0,0,'Données projet'!$E$16+1,1))-AVERAGE(OFFSET($H$3,0,0,'Données projet'!$E$16+1,1))</f>
        <v>299.10536994156814</v>
      </c>
      <c r="FK50" s="59">
        <f t="shared" si="48"/>
        <v>292.57799203101769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5.3048138752016616</v>
      </c>
      <c r="FR50" s="21">
        <f>EXP(-LN(2)/25)*FR49+(1-EXP(-LN(2)/25))/(LN(2)/25)*Calculateur!FM50*Calculateur!FO50*VLOOKUP('Données projet'!$B$16,Paramètres!$A$1:$I$89,3,0)*0.475*44/12</f>
        <v>13.472055939077283</v>
      </c>
      <c r="FS50" s="21">
        <f>EXP(-LN(2)/2)*FS49+(1-EXP(-LN(2)/2))/(LN(2)/2)*FM50*FP50*VLOOKUP('Données projet'!$B$16,Paramètres!$A$1:$I$89,3,0)*0.475*44/12</f>
        <v>2.62847689991179</v>
      </c>
      <c r="FT50" s="22">
        <f t="shared" si="24"/>
        <v>21.405346714190735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5.6843418860808015E-14</v>
      </c>
      <c r="GA50" s="17">
        <f>FZ50*VLOOKUP('Données projet'!$B$17,Paramètres!$A$1:$I$89,3,0)*VLOOKUP('Données projet'!$B$17,Paramètres!$A$1:$I$89,5,0)</f>
        <v>5.1431925385259088E-14</v>
      </c>
      <c r="GB50" s="13">
        <f t="shared" si="49"/>
        <v>8.3482866290946129E-13</v>
      </c>
      <c r="GC50" s="20">
        <f t="shared" si="25"/>
        <v>1.5435705246133045E-12</v>
      </c>
      <c r="GD50" s="59">
        <f t="shared" si="26"/>
        <v>293.33333333333485</v>
      </c>
      <c r="GE50" s="59">
        <f ca="1">AVERAGE(OFFSET($GD$3,0,0,'Données projet'!$E$17+1,1))-AVERAGE(OFFSET($H$3,0,0,'Données projet'!$E$17+1,1))</f>
        <v>204.78565758021779</v>
      </c>
      <c r="GF50" s="59">
        <f t="shared" si="50"/>
        <v>287.25131613242439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15.003090084327505</v>
      </c>
      <c r="GM50" s="21">
        <f>EXP(-LN(2)/25)*GM49+(1-EXP(-LN(2)/25))/(LN(2)/25)*Calculateur!GH50*Calculateur!GJ50*VLOOKUP('Données projet'!$B$17,Paramètres!$A$1:$I$89,3,0)*0.475*44/12</f>
        <v>12.5040464853112</v>
      </c>
      <c r="GN50" s="21">
        <f>EXP(-LN(2)/2)*GN49+(1-EXP(-LN(2)/2))/(LN(2)/2)*GH50*GK50*VLOOKUP('Données projet'!$B$17,Paramètres!$A$1:$I$89,3,0)*0.475*44/12</f>
        <v>6.8952946919361766</v>
      </c>
      <c r="GO50" s="21">
        <f t="shared" si="27"/>
        <v>34.402431261574883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10.375</v>
      </c>
      <c r="GU50" s="12">
        <f>IF('Données projet'!$A$270&gt;35,GU49+GT50-HC49,IF(A50&lt;'Données projet'!$A$270,$GR$205^A50,IF(A50='Données projet'!$A$270,'Données projet'!$B$270,GU49+GT50-HC49)))</f>
        <v>218.12499999999991</v>
      </c>
      <c r="GV50" s="17">
        <f>GU50*VLOOKUP('Données projet'!$B$18,Paramètres!$A$1:$I$89,3,0)*VLOOKUP('Données projet'!$B$18,Paramètres!$A$1:$I$89,5,0)</f>
        <v>170.13749999999993</v>
      </c>
      <c r="GW50" s="13">
        <f t="shared" si="51"/>
        <v>43.120817562072375</v>
      </c>
      <c r="GX50" s="20">
        <f t="shared" si="28"/>
        <v>371.42490308727588</v>
      </c>
      <c r="GY50" s="59">
        <f t="shared" si="29"/>
        <v>664.75823642060914</v>
      </c>
      <c r="GZ50" s="59">
        <f ca="1">AVERAGE(OFFSET($GY$3,0,0,'Données projet'!$E$18+1,1))-AVERAGE(OFFSET($H$3,0,0,'Données projet'!$E$18+1,1))</f>
        <v>288.82868507674738</v>
      </c>
      <c r="HA50" s="59">
        <f t="shared" si="52"/>
        <v>283.48738729114024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8.9240970575070602</v>
      </c>
      <c r="HH50" s="21">
        <f>EXP(-LN(2)/25)*HH49+(1-EXP(-LN(2)/25))/(LN(2)/25)*Calculateur!HC50*Calculateur!HE50*VLOOKUP('Données projet'!$B$18,Paramètres!$A$1:$I$89,3,0)*0.475*44/12</f>
        <v>10.865674232406286</v>
      </c>
      <c r="HI50" s="21">
        <f>EXP(-LN(2)/2)*HI49+(1-EXP(-LN(2)/2))/(LN(2)/2)*HC50*HF50*VLOOKUP('Données projet'!$B$18,Paramètres!$A$1:$I$89,3,0)*0.475*44/12</f>
        <v>3.0328187336265491</v>
      </c>
      <c r="HJ50" s="22">
        <f t="shared" si="30"/>
        <v>22.822590023539895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15.714444444444442</v>
      </c>
      <c r="N51" s="13">
        <f>IF('Données projet'!$A$36&gt;35,N50+M51-V50,IF(A51&lt;'Données projet'!$A$36,$K$205^A51,IF(A51='Données projet'!$A$36,'Données projet'!$B$36,N50+M51-V50)))</f>
        <v>338.58111111111117</v>
      </c>
      <c r="O51" s="13">
        <f>N51*VLOOKUP('Données projet'!$B$9,Paramètres!$A$1:$I$89,3,0)*VLOOKUP('Données projet'!$B$9,Paramètres!$A$1:$I$89,5,0)</f>
        <v>202.47150444444449</v>
      </c>
      <c r="P51" s="13">
        <f t="shared" si="33"/>
        <v>50.28694073581002</v>
      </c>
      <c r="Q51" s="20">
        <f t="shared" si="53"/>
        <v>440.22095868894326</v>
      </c>
      <c r="R51" s="59">
        <f t="shared" si="0"/>
        <v>733.55429202227651</v>
      </c>
      <c r="S51" s="59">
        <f ca="1">AVERAGE(OFFSET($R$3,0,0,'Données projet'!$E$9+1,1))-AVERAGE(OFFSET($H$3,0,0,'Données projet'!$E$9+1,1))</f>
        <v>349.71285006949597</v>
      </c>
      <c r="T51" s="59">
        <f t="shared" si="34"/>
        <v>258.51550516456842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21.840378424672895</v>
      </c>
      <c r="AA51" s="21">
        <f>EXP(-LN(2)/25)*AA50+(1-EXP(-LN(2)/25))/(LN(2)/25)*Calculateur!V51*Calculateur!X51*VLOOKUP('Données projet'!$B$9,Paramètres!$A$1:$I$89,3,0)*0.475*44/12</f>
        <v>14.760674401154851</v>
      </c>
      <c r="AB51" s="21">
        <f>EXP(-LN(2)/2)*AB50+(1-EXP(-LN(2)/2))/(LN(2)/2)*V51*Y51*VLOOKUP('Données projet'!$B$9,Paramètres!$A$1:$I$89,3,0)*0.475*44/12</f>
        <v>0.943802651987941</v>
      </c>
      <c r="AC51" s="22">
        <f t="shared" si="3"/>
        <v>37.544855477815695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10.001428571428571</v>
      </c>
      <c r="AI51" s="13">
        <f>IF('Données projet'!$A$62&gt;35,AI50+AH51-AQ50,IF(A51&lt;'Données projet'!$A$62,$AF$205^A51,IF(A51='Données projet'!$A$62,'Données projet'!$B$62,AI50+AH51-AQ50)))</f>
        <v>138.06428571428572</v>
      </c>
      <c r="AJ51" s="13">
        <f>AI51*VLOOKUP('Données projet'!$B$10,Paramètres!$A$1:$I$89,3,0)*VLOOKUP('Données projet'!$B$10,Paramètres!$A$1:$I$89,5,0)</f>
        <v>131.38197428571428</v>
      </c>
      <c r="AK51" s="13">
        <f t="shared" si="35"/>
        <v>34.315496219726761</v>
      </c>
      <c r="AL51" s="20">
        <f t="shared" si="4"/>
        <v>288.5897611303098</v>
      </c>
      <c r="AM51" s="59">
        <f t="shared" si="5"/>
        <v>581.92309446364311</v>
      </c>
      <c r="AN51" s="59">
        <f ca="1">AVERAGE(OFFSET($AM$3,0,0,'Données projet'!$E$10+1,1))-AVERAGE(OFFSET($H$3,0,0,'Données projet'!$E$10+1,1))</f>
        <v>449.28947235329758</v>
      </c>
      <c r="AO51" s="59">
        <f t="shared" si="36"/>
        <v>289.36994109443964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33.378708561196376</v>
      </c>
      <c r="AW51" s="21">
        <f>EXP(-LN(2)/2)*AW50+(1-EXP(-LN(2)/2))/(LN(2)/2)*AQ51*AT51*VLOOKUP('Données projet'!$B$10,Paramètres!$A$1:$I$89,3,0)*0.475*44/12</f>
        <v>3.0484515082367767</v>
      </c>
      <c r="AX51" s="21">
        <f t="shared" si="6"/>
        <v>36.42716006943315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170.20192800000018</v>
      </c>
      <c r="BF51" s="13">
        <f t="shared" si="37"/>
        <v>43.135245614983553</v>
      </c>
      <c r="BG51" s="20">
        <f t="shared" si="7"/>
        <v>371.56224404609662</v>
      </c>
      <c r="BH51" s="59">
        <f t="shared" si="8"/>
        <v>664.89557737942994</v>
      </c>
      <c r="BI51" s="59">
        <f ca="1">AVERAGE(OFFSET($BH$3,0,0,'Données projet'!$E$11+1,1))-AVERAGE(OFFSET($H$3,0,0,'Données projet'!$E$11+1,1))</f>
        <v>635.71275911100679</v>
      </c>
      <c r="BJ51" s="59">
        <f t="shared" si="38"/>
        <v>281.7776857269169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12.916807343870181</v>
      </c>
      <c r="BR51" s="21">
        <f>EXP(-LN(2)/2)*BR50+(1-EXP(-LN(2)/2))/(LN(2)/2)*BL51*BO51*VLOOKUP('Données projet'!$B$11,Paramètres!$A$1:$I$89,3,0)*0.475*44/12</f>
        <v>0.94995818276072186</v>
      </c>
      <c r="BS51" s="22">
        <f t="shared" si="9"/>
        <v>13.866765526630903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3.3603333333333336</v>
      </c>
      <c r="BY51" s="12">
        <f>IF('Données projet'!$A$114&gt;35,BY50+BX51-CG50,IF(A51&lt;'Données projet'!$A$114,$BV$205^A51,IF(A51='Données projet'!$A$114,'Données projet'!$B$114,BY50+BX51-CG50)))</f>
        <v>161.29599999999994</v>
      </c>
      <c r="BZ51" s="13">
        <f>BY51*VLOOKUP('Données projet'!$B$12,Paramètres!$A$1:$I$89,3,0)*VLOOKUP('Données projet'!$B$12,Paramètres!$A$1:$I$89,5,0)</f>
        <v>183.68388479999993</v>
      </c>
      <c r="CA51" s="13">
        <f t="shared" si="39"/>
        <v>46.140813778613008</v>
      </c>
      <c r="CB51" s="20">
        <f t="shared" si="10"/>
        <v>400.27801669108413</v>
      </c>
      <c r="CC51" s="59">
        <f t="shared" si="11"/>
        <v>693.61135002441745</v>
      </c>
      <c r="CD51" s="59">
        <f ca="1">AVERAGE(OFFSET($CC$3,0,0,'Données projet'!$E$12+1,1))-AVERAGE(OFFSET($H$3,0,0,'Données projet'!$E$12+1,1))</f>
        <v>593.28343396240075</v>
      </c>
      <c r="CE51" s="59">
        <f t="shared" si="40"/>
        <v>289.66477662068695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5.0000000000000027</v>
      </c>
      <c r="CT51" s="12">
        <f>IF('Données projet'!$A$140&gt;35,CT50+CS51-DB50,IF(A51&lt;'Données projet'!$A$140,$CQ$205^A51,IF(A51='Données projet'!$A$140,'Données projet'!$B$140,CT50+CS51-DB50)))</f>
        <v>123.97435897435899</v>
      </c>
      <c r="CU51" s="17">
        <f>CT51*VLOOKUP('Données projet'!$B$13,Paramètres!$A$1:$I$89,3,0)*VLOOKUP('Données projet'!$B$13,Paramètres!$A$1:$I$89,5,0)</f>
        <v>129.57800000000003</v>
      </c>
      <c r="CV51" s="13">
        <f t="shared" si="41"/>
        <v>33.898829077750754</v>
      </c>
      <c r="CW51" s="20">
        <f t="shared" si="13"/>
        <v>284.72214397708257</v>
      </c>
      <c r="CX51" s="59">
        <f t="shared" si="14"/>
        <v>578.05547731041588</v>
      </c>
      <c r="CY51" s="59">
        <f ca="1">AVERAGE(OFFSET($CX$3,0,0,'Données projet'!$E$13+1,1))-AVERAGE(OFFSET($H$3,0,0,'Données projet'!$E$13+1,1))</f>
        <v>260.65406541614402</v>
      </c>
      <c r="CZ51" s="59">
        <f t="shared" si="42"/>
        <v>277.63456890196886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23.013380770821115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23.013380770821115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4.2307692307692317</v>
      </c>
      <c r="DO51" s="12">
        <f>IF('Données projet'!$A$166&gt;35,DO50+DN51-DW50,IF(A51&lt;'Données projet'!$A$166,$DL$205^A51,IF(A51='Données projet'!$A$166,'Données projet'!$B$166,DO50+DN51-DW50)))</f>
        <v>129.35897435897434</v>
      </c>
      <c r="DP51" s="17">
        <f>DO51*VLOOKUP('Données projet'!$B$14,Paramètres!$A$1:$I$89,3,0)*VLOOKUP('Données projet'!$B$14,Paramètres!$A$1:$I$89,5,0)</f>
        <v>84.755999999999986</v>
      </c>
      <c r="DQ51" s="13">
        <f t="shared" si="43"/>
        <v>23.29611365958614</v>
      </c>
      <c r="DR51" s="20">
        <f t="shared" si="16"/>
        <v>188.19076462377916</v>
      </c>
      <c r="DS51" s="59">
        <f t="shared" si="17"/>
        <v>481.52409795711247</v>
      </c>
      <c r="DT51" s="59">
        <f ca="1">AVERAGE(OFFSET($DS$3,0,0,'Données projet'!$E$14+1,1))-AVERAGE(OFFSET($H$3,0,0,'Données projet'!$E$14+1,1))</f>
        <v>181.4272795535777</v>
      </c>
      <c r="DU51" s="59">
        <f t="shared" si="44"/>
        <v>187.67131775419904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4.5777716188912301</v>
      </c>
      <c r="EC51" s="21">
        <f>EXP(-LN(2)/2)*EC50+(1-EXP(-LN(2)/2))/(LN(2)/2)*DW51*DZ51*VLOOKUP('Données projet'!$B$14,Paramètres!$A$1:$I$89,3,0)*0.475*44/12</f>
        <v>1.0630618735661694</v>
      </c>
      <c r="ED51" s="22">
        <f t="shared" si="18"/>
        <v>5.6408334924574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1.1368683772161603E-13</v>
      </c>
      <c r="EK51" s="17">
        <f>EJ51*VLOOKUP('Données projet'!$B$15,Paramètres!$A$1:$I$89,3,0)*VLOOKUP('Données projet'!$B$15,Paramètres!$A$1:$I$89,5,0)</f>
        <v>9.2222762759774927E-14</v>
      </c>
      <c r="EL51" s="13">
        <f t="shared" si="45"/>
        <v>1.3985662224947967E-12</v>
      </c>
      <c r="EM51" s="20">
        <f t="shared" si="19"/>
        <v>2.5964574826517121E-12</v>
      </c>
      <c r="EN51" s="59">
        <f t="shared" si="20"/>
        <v>293.33333333333593</v>
      </c>
      <c r="EO51" s="59">
        <f ca="1">AVERAGE(OFFSET($EN$3,0,0,'Données projet'!$E$15+1,1))-AVERAGE(OFFSET($H$3,0,0,'Données projet'!$E$15+1,1))</f>
        <v>159.68591355116837</v>
      </c>
      <c r="EP51" s="59">
        <f t="shared" si="46"/>
        <v>284.32631786390112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12.446982103001455</v>
      </c>
      <c r="EW51" s="21">
        <f>EXP(-LN(2)/25)*EW50+(1-EXP(-LN(2)/25))/(LN(2)/25)*Calculateur!ER51*Calculateur!ET51*VLOOKUP('Données projet'!$B$15,Paramètres!$A$1:$I$89,3,0)*0.475*44/12</f>
        <v>15.476691160821858</v>
      </c>
      <c r="EX51" s="21">
        <f>EXP(-LN(2)/2)*EX50+(1-EXP(-LN(2)/2))/(LN(2)/2)*ER51*EU51*VLOOKUP('Données projet'!$B$15,Paramètres!$A$1:$I$89,3,0)*0.475*44/12</f>
        <v>1.8238821496759881</v>
      </c>
      <c r="EY51" s="22">
        <f t="shared" si="21"/>
        <v>29.747555413499299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7.2</v>
      </c>
      <c r="FE51" s="12">
        <f>IF('Données projet'!$A$218&gt;35,FE50+FD51-FM50,IF(A51&lt;'Données projet'!$A$218,$FB$205^A51,IF(A51='Données projet'!$A$218,'Données projet'!$B$218,FE50+FD51-FM50)))</f>
        <v>204.59999999999991</v>
      </c>
      <c r="FF51" s="17">
        <f>FE51*VLOOKUP('Données projet'!$B$16,Paramètres!$A$1:$I$89,3,0)*VLOOKUP('Données projet'!$B$16,Paramètres!$A$1:$I$89,5,0)</f>
        <v>162.77975999999995</v>
      </c>
      <c r="FG51" s="13">
        <f t="shared" si="47"/>
        <v>41.468868129640057</v>
      </c>
      <c r="FH51" s="20">
        <f t="shared" si="22"/>
        <v>355.73302732578964</v>
      </c>
      <c r="FI51" s="59">
        <f t="shared" si="23"/>
        <v>649.06636065912289</v>
      </c>
      <c r="FJ51" s="59">
        <f ca="1">AVERAGE(OFFSET($FI$3,0,0,'Données projet'!$E$16+1,1))-AVERAGE(OFFSET($H$3,0,0,'Données projet'!$E$16+1,1))</f>
        <v>299.10536994156814</v>
      </c>
      <c r="FK51" s="59">
        <f t="shared" si="48"/>
        <v>292.57799203101769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5.20078971072593</v>
      </c>
      <c r="FR51" s="21">
        <f>EXP(-LN(2)/25)*FR50+(1-EXP(-LN(2)/25))/(LN(2)/25)*Calculateur!FM51*Calculateur!FO51*VLOOKUP('Données projet'!$B$16,Paramètres!$A$1:$I$89,3,0)*0.475*44/12</f>
        <v>13.103661860958583</v>
      </c>
      <c r="FS51" s="21">
        <f>EXP(-LN(2)/2)*FS50+(1-EXP(-LN(2)/2))/(LN(2)/2)*FM51*FP51*VLOOKUP('Données projet'!$B$16,Paramètres!$A$1:$I$89,3,0)*0.475*44/12</f>
        <v>1.8586138401198211</v>
      </c>
      <c r="FT51" s="22">
        <f t="shared" si="24"/>
        <v>20.163065411804336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5.6843418860808015E-14</v>
      </c>
      <c r="GA51" s="17">
        <f>FZ51*VLOOKUP('Données projet'!$B$17,Paramètres!$A$1:$I$89,3,0)*VLOOKUP('Données projet'!$B$17,Paramètres!$A$1:$I$89,5,0)</f>
        <v>5.1431925385259088E-14</v>
      </c>
      <c r="GB51" s="13">
        <f t="shared" si="49"/>
        <v>8.3482866290946129E-13</v>
      </c>
      <c r="GC51" s="20">
        <f t="shared" si="25"/>
        <v>1.5435705246133045E-12</v>
      </c>
      <c r="GD51" s="59">
        <f t="shared" si="26"/>
        <v>293.33333333333485</v>
      </c>
      <c r="GE51" s="59">
        <f ca="1">AVERAGE(OFFSET($GD$3,0,0,'Données projet'!$E$17+1,1))-AVERAGE(OFFSET($H$3,0,0,'Données projet'!$E$17+1,1))</f>
        <v>204.78565758021779</v>
      </c>
      <c r="GF51" s="59">
        <f t="shared" si="50"/>
        <v>287.25131613242439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14.70888863875521</v>
      </c>
      <c r="GM51" s="21">
        <f>EXP(-LN(2)/25)*GM50+(1-EXP(-LN(2)/25))/(LN(2)/25)*Calculateur!GH51*Calculateur!GJ51*VLOOKUP('Données projet'!$B$17,Paramètres!$A$1:$I$89,3,0)*0.475*44/12</f>
        <v>12.162122676611139</v>
      </c>
      <c r="GN51" s="21">
        <f>EXP(-LN(2)/2)*GN50+(1-EXP(-LN(2)/2))/(LN(2)/2)*GH51*GK51*VLOOKUP('Données projet'!$B$17,Paramètres!$A$1:$I$89,3,0)*0.475*44/12</f>
        <v>4.8757096349476772</v>
      </c>
      <c r="GO51" s="21">
        <f t="shared" si="27"/>
        <v>31.746720950314028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10.375</v>
      </c>
      <c r="GU51" s="12">
        <f>IF('Données projet'!$A$270&gt;35,GU50+GT51-HC50,IF(A51&lt;'Données projet'!$A$270,$GR$205^A51,IF(A51='Données projet'!$A$270,'Données projet'!$B$270,GU50+GT51-HC50)))</f>
        <v>228.49999999999991</v>
      </c>
      <c r="GV51" s="17">
        <f>GU51*VLOOKUP('Données projet'!$B$18,Paramètres!$A$1:$I$89,3,0)*VLOOKUP('Données projet'!$B$18,Paramètres!$A$1:$I$89,5,0)</f>
        <v>178.22999999999993</v>
      </c>
      <c r="GW51" s="13">
        <f t="shared" si="51"/>
        <v>44.928167580487852</v>
      </c>
      <c r="GX51" s="20">
        <f t="shared" si="28"/>
        <v>388.66714186934951</v>
      </c>
      <c r="GY51" s="59">
        <f t="shared" si="29"/>
        <v>682.00047520268276</v>
      </c>
      <c r="GZ51" s="59">
        <f ca="1">AVERAGE(OFFSET($GY$3,0,0,'Données projet'!$E$18+1,1))-AVERAGE(OFFSET($H$3,0,0,'Données projet'!$E$18+1,1))</f>
        <v>288.82868507674738</v>
      </c>
      <c r="HA51" s="59">
        <f t="shared" si="52"/>
        <v>283.48738729114024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8.7491009573710841</v>
      </c>
      <c r="HH51" s="21">
        <f>EXP(-LN(2)/25)*HH50+(1-EXP(-LN(2)/25))/(LN(2)/25)*Calculateur!HC51*Calculateur!HE51*VLOOKUP('Données projet'!$B$18,Paramètres!$A$1:$I$89,3,0)*0.475*44/12</f>
        <v>10.568551799120163</v>
      </c>
      <c r="HI51" s="21">
        <f>EXP(-LN(2)/2)*HI50+(1-EXP(-LN(2)/2))/(LN(2)/2)*HC51*HF51*VLOOKUP('Données projet'!$B$18,Paramètres!$A$1:$I$89,3,0)*0.475*44/12</f>
        <v>2.1445266926569304</v>
      </c>
      <c r="HJ51" s="22">
        <f t="shared" si="30"/>
        <v>21.462179449148181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15.714444444444442</v>
      </c>
      <c r="N52" s="13">
        <f>IF('Données projet'!$A$36&gt;35,N51+M52-V51,IF(A52&lt;'Données projet'!$A$36,$K$205^A52,IF(A52='Données projet'!$A$36,'Données projet'!$B$36,N51+M52-V51)))</f>
        <v>354.29555555555561</v>
      </c>
      <c r="O52" s="13">
        <f>N52*VLOOKUP('Données projet'!$B$9,Paramètres!$A$1:$I$89,3,0)*VLOOKUP('Données projet'!$B$9,Paramètres!$A$1:$I$89,5,0)</f>
        <v>211.86874222222229</v>
      </c>
      <c r="P52" s="13">
        <f t="shared" si="33"/>
        <v>52.343742090960504</v>
      </c>
      <c r="Q52" s="20">
        <f t="shared" si="53"/>
        <v>460.17007684546002</v>
      </c>
      <c r="R52" s="59">
        <f t="shared" si="0"/>
        <v>753.50341017879327</v>
      </c>
      <c r="S52" s="59">
        <f ca="1">AVERAGE(OFFSET($R$3,0,0,'Données projet'!$E$9+1,1))-AVERAGE(OFFSET($H$3,0,0,'Données projet'!$E$9+1,1))</f>
        <v>349.71285006949597</v>
      </c>
      <c r="T52" s="59">
        <f t="shared" si="34"/>
        <v>258.51550516456842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21.412101925080528</v>
      </c>
      <c r="AA52" s="21">
        <f>EXP(-LN(2)/25)*AA51+(1-EXP(-LN(2)/25))/(LN(2)/25)*Calculateur!V52*Calculateur!X52*VLOOKUP('Données projet'!$B$9,Paramètres!$A$1:$I$89,3,0)*0.475*44/12</f>
        <v>14.357042983425142</v>
      </c>
      <c r="AB52" s="21">
        <f>EXP(-LN(2)/2)*AB51+(1-EXP(-LN(2)/2))/(LN(2)/2)*V52*Y52*VLOOKUP('Données projet'!$B$9,Paramètres!$A$1:$I$89,3,0)*0.475*44/12</f>
        <v>0.66736925532252034</v>
      </c>
      <c r="AC52" s="22">
        <f t="shared" si="3"/>
        <v>36.436514163828186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10.001428571428571</v>
      </c>
      <c r="AI52" s="13">
        <f>IF('Données projet'!$A$62&gt;35,AI51+AH52-AQ51,IF(A52&lt;'Données projet'!$A$62,$AF$205^A52,IF(A52='Données projet'!$A$62,'Données projet'!$B$62,AI51+AH52-AQ51)))</f>
        <v>148.06571428571428</v>
      </c>
      <c r="AJ52" s="13">
        <f>AI52*VLOOKUP('Données projet'!$B$10,Paramètres!$A$1:$I$89,3,0)*VLOOKUP('Données projet'!$B$10,Paramètres!$A$1:$I$89,5,0)</f>
        <v>140.89933371428572</v>
      </c>
      <c r="AK52" s="13">
        <f t="shared" si="35"/>
        <v>36.502953377985676</v>
      </c>
      <c r="AL52" s="20">
        <f t="shared" si="4"/>
        <v>308.97565001903934</v>
      </c>
      <c r="AM52" s="59">
        <f t="shared" si="5"/>
        <v>602.30898335237271</v>
      </c>
      <c r="AN52" s="59">
        <f ca="1">AVERAGE(OFFSET($AM$3,0,0,'Données projet'!$E$10+1,1))-AVERAGE(OFFSET($H$3,0,0,'Données projet'!$E$10+1,1))</f>
        <v>449.28947235329758</v>
      </c>
      <c r="AO52" s="59">
        <f t="shared" si="36"/>
        <v>289.36994109443964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32.465966020280469</v>
      </c>
      <c r="AW52" s="21">
        <f>EXP(-LN(2)/2)*AW51+(1-EXP(-LN(2)/2))/(LN(2)/2)*AQ52*AT52*VLOOKUP('Données projet'!$B$10,Paramètres!$A$1:$I$89,3,0)*0.475*44/12</f>
        <v>2.1555807335925832</v>
      </c>
      <c r="AX52" s="21">
        <f t="shared" si="6"/>
        <v>34.621546753873055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179.34945600000017</v>
      </c>
      <c r="BF52" s="13">
        <f t="shared" si="37"/>
        <v>45.177421627371096</v>
      </c>
      <c r="BG52" s="20">
        <f t="shared" si="7"/>
        <v>391.0509785343383</v>
      </c>
      <c r="BH52" s="59">
        <f t="shared" si="8"/>
        <v>684.38431186767161</v>
      </c>
      <c r="BI52" s="59">
        <f ca="1">AVERAGE(OFFSET($BH$3,0,0,'Données projet'!$E$11+1,1))-AVERAGE(OFFSET($H$3,0,0,'Données projet'!$E$11+1,1))</f>
        <v>635.71275911100679</v>
      </c>
      <c r="BJ52" s="59">
        <f t="shared" si="38"/>
        <v>281.7776857269169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12.563596567786675</v>
      </c>
      <c r="BR52" s="21">
        <f>EXP(-LN(2)/2)*BR51+(1-EXP(-LN(2)/2))/(LN(2)/2)*BL52*BO52*VLOOKUP('Données projet'!$B$11,Paramètres!$A$1:$I$89,3,0)*0.475*44/12</f>
        <v>0.67172187287375607</v>
      </c>
      <c r="BS52" s="22">
        <f t="shared" si="9"/>
        <v>13.23531844066043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3.3603333333333336</v>
      </c>
      <c r="BY52" s="12">
        <f>IF('Données projet'!$A$114&gt;35,BY51+BX52-CG51,IF(A52&lt;'Données projet'!$A$114,$BV$205^A52,IF(A52='Données projet'!$A$114,'Données projet'!$B$114,BY51+BX52-CG51)))</f>
        <v>164.65633333333327</v>
      </c>
      <c r="BZ52" s="13">
        <f>BY52*VLOOKUP('Données projet'!$B$12,Paramètres!$A$1:$I$89,3,0)*VLOOKUP('Données projet'!$B$12,Paramètres!$A$1:$I$89,5,0)</f>
        <v>187.51063239999991</v>
      </c>
      <c r="CA52" s="13">
        <f t="shared" si="39"/>
        <v>46.989167288603106</v>
      </c>
      <c r="CB52" s="20">
        <f t="shared" si="10"/>
        <v>408.42048445765022</v>
      </c>
      <c r="CC52" s="59">
        <f t="shared" si="11"/>
        <v>701.75381779098348</v>
      </c>
      <c r="CD52" s="59">
        <f ca="1">AVERAGE(OFFSET($CC$3,0,0,'Données projet'!$E$12+1,1))-AVERAGE(OFFSET($H$3,0,0,'Données projet'!$E$12+1,1))</f>
        <v>593.28343396240075</v>
      </c>
      <c r="CE52" s="59">
        <f t="shared" si="40"/>
        <v>289.66477662068695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5.0000000000000027</v>
      </c>
      <c r="CT52" s="12">
        <f>IF('Données projet'!$A$140&gt;35,CT51+CS52-DB51,IF(A52&lt;'Données projet'!$A$140,$CQ$205^A52,IF(A52='Données projet'!$A$140,'Données projet'!$B$140,CT51+CS52-DB51)))</f>
        <v>128.97435897435901</v>
      </c>
      <c r="CU52" s="17">
        <f>CT52*VLOOKUP('Données projet'!$B$13,Paramètres!$A$1:$I$89,3,0)*VLOOKUP('Données projet'!$B$13,Paramètres!$A$1:$I$89,5,0)</f>
        <v>134.80400000000006</v>
      </c>
      <c r="CV52" s="13">
        <f t="shared" si="41"/>
        <v>35.104067458652359</v>
      </c>
      <c r="CW52" s="20">
        <f t="shared" si="13"/>
        <v>295.92321749048631</v>
      </c>
      <c r="CX52" s="59">
        <f t="shared" si="14"/>
        <v>589.25655082381968</v>
      </c>
      <c r="CY52" s="59">
        <f ca="1">AVERAGE(OFFSET($CX$3,0,0,'Données projet'!$E$13+1,1))-AVERAGE(OFFSET($H$3,0,0,'Données projet'!$E$13+1,1))</f>
        <v>260.65406541614402</v>
      </c>
      <c r="CZ52" s="59">
        <f t="shared" si="42"/>
        <v>277.63456890196886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22.384078663421914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22.384078663421914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4.2307692307692317</v>
      </c>
      <c r="DO52" s="12">
        <f>IF('Données projet'!$A$166&gt;35,DO51+DN52-DW51,IF(A52&lt;'Données projet'!$A$166,$DL$205^A52,IF(A52='Données projet'!$A$166,'Données projet'!$B$166,DO51+DN52-DW51)))</f>
        <v>133.58974358974356</v>
      </c>
      <c r="DP52" s="17">
        <f>DO52*VLOOKUP('Données projet'!$B$14,Paramètres!$A$1:$I$89,3,0)*VLOOKUP('Données projet'!$B$14,Paramètres!$A$1:$I$89,5,0)</f>
        <v>87.527999999999992</v>
      </c>
      <c r="DQ52" s="13">
        <f t="shared" si="43"/>
        <v>23.968075193739601</v>
      </c>
      <c r="DR52" s="20">
        <f t="shared" si="16"/>
        <v>194.18899762909643</v>
      </c>
      <c r="DS52" s="59">
        <f t="shared" si="17"/>
        <v>487.52233096242975</v>
      </c>
      <c r="DT52" s="59">
        <f ca="1">AVERAGE(OFFSET($DS$3,0,0,'Données projet'!$E$14+1,1))-AVERAGE(OFFSET($H$3,0,0,'Données projet'!$E$14+1,1))</f>
        <v>181.4272795535777</v>
      </c>
      <c r="DU52" s="59">
        <f t="shared" si="44"/>
        <v>187.67131775419904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4.4525922132381028</v>
      </c>
      <c r="EC52" s="21">
        <f>EXP(-LN(2)/2)*EC51+(1-EXP(-LN(2)/2))/(LN(2)/2)*DW52*DZ52*VLOOKUP('Données projet'!$B$14,Paramètres!$A$1:$I$89,3,0)*0.475*44/12</f>
        <v>0.75169825961951464</v>
      </c>
      <c r="ED52" s="22">
        <f t="shared" si="18"/>
        <v>5.2042904728576174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1.1368683772161603E-13</v>
      </c>
      <c r="EK52" s="17">
        <f>EJ52*VLOOKUP('Données projet'!$B$15,Paramètres!$A$1:$I$89,3,0)*VLOOKUP('Données projet'!$B$15,Paramètres!$A$1:$I$89,5,0)</f>
        <v>9.2222762759774927E-14</v>
      </c>
      <c r="EL52" s="13">
        <f t="shared" si="45"/>
        <v>1.3985662224947967E-12</v>
      </c>
      <c r="EM52" s="20">
        <f t="shared" si="19"/>
        <v>2.5964574826517121E-12</v>
      </c>
      <c r="EN52" s="59">
        <f t="shared" si="20"/>
        <v>293.33333333333593</v>
      </c>
      <c r="EO52" s="59">
        <f ca="1">AVERAGE(OFFSET($EN$3,0,0,'Données projet'!$E$15+1,1))-AVERAGE(OFFSET($H$3,0,0,'Données projet'!$E$15+1,1))</f>
        <v>159.68591355116837</v>
      </c>
      <c r="EP52" s="59">
        <f t="shared" si="46"/>
        <v>284.32631786390112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12.202904375871039</v>
      </c>
      <c r="EW52" s="21">
        <f>EXP(-LN(2)/25)*EW51+(1-EXP(-LN(2)/25))/(LN(2)/25)*Calculateur!ER52*Calculateur!ET52*VLOOKUP('Données projet'!$B$15,Paramètres!$A$1:$I$89,3,0)*0.475*44/12</f>
        <v>15.053480227145368</v>
      </c>
      <c r="EX52" s="21">
        <f>EXP(-LN(2)/2)*EX51+(1-EXP(-LN(2)/2))/(LN(2)/2)*ER52*EU52*VLOOKUP('Données projet'!$B$15,Paramètres!$A$1:$I$89,3,0)*0.475*44/12</f>
        <v>1.2896794361209889</v>
      </c>
      <c r="EY52" s="22">
        <f t="shared" si="21"/>
        <v>28.546064039137395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7.2</v>
      </c>
      <c r="FE52" s="12">
        <f>IF('Données projet'!$A$218&gt;35,FE51+FD52-FM51,IF(A52&lt;'Données projet'!$A$218,$FB$205^A52,IF(A52='Données projet'!$A$218,'Données projet'!$B$218,FE51+FD52-FM51)))</f>
        <v>211.7999999999999</v>
      </c>
      <c r="FF52" s="17">
        <f>FE52*VLOOKUP('Données projet'!$B$16,Paramètres!$A$1:$I$89,3,0)*VLOOKUP('Données projet'!$B$16,Paramètres!$A$1:$I$89,5,0)</f>
        <v>168.50807999999992</v>
      </c>
      <c r="FG52" s="13">
        <f t="shared" si="47"/>
        <v>42.755711908378117</v>
      </c>
      <c r="FH52" s="20">
        <f t="shared" si="22"/>
        <v>367.95110424042508</v>
      </c>
      <c r="FI52" s="59">
        <f t="shared" si="23"/>
        <v>661.2844375737584</v>
      </c>
      <c r="FJ52" s="59">
        <f ca="1">AVERAGE(OFFSET($FI$3,0,0,'Données projet'!$E$16+1,1))-AVERAGE(OFFSET($H$3,0,0,'Données projet'!$E$16+1,1))</f>
        <v>299.10536994156814</v>
      </c>
      <c r="FK52" s="59">
        <f t="shared" si="48"/>
        <v>292.57799203101769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5.0988053966670925</v>
      </c>
      <c r="FR52" s="21">
        <f>EXP(-LN(2)/25)*FR51+(1-EXP(-LN(2)/25))/(LN(2)/25)*Calculateur!FM52*Calculateur!FO52*VLOOKUP('Données projet'!$B$16,Paramètres!$A$1:$I$89,3,0)*0.475*44/12</f>
        <v>12.745341538279042</v>
      </c>
      <c r="FS52" s="21">
        <f>EXP(-LN(2)/2)*FS51+(1-EXP(-LN(2)/2))/(LN(2)/2)*FM52*FP52*VLOOKUP('Données projet'!$B$16,Paramètres!$A$1:$I$89,3,0)*0.475*44/12</f>
        <v>1.3142384499558952</v>
      </c>
      <c r="FT52" s="22">
        <f t="shared" si="24"/>
        <v>19.158385384902029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5.6843418860808015E-14</v>
      </c>
      <c r="GA52" s="17">
        <f>FZ52*VLOOKUP('Données projet'!$B$17,Paramètres!$A$1:$I$89,3,0)*VLOOKUP('Données projet'!$B$17,Paramètres!$A$1:$I$89,5,0)</f>
        <v>5.1431925385259088E-14</v>
      </c>
      <c r="GB52" s="13">
        <f t="shared" si="49"/>
        <v>8.3482866290946129E-13</v>
      </c>
      <c r="GC52" s="20">
        <f t="shared" si="25"/>
        <v>1.5435705246133045E-12</v>
      </c>
      <c r="GD52" s="59">
        <f t="shared" si="26"/>
        <v>293.33333333333485</v>
      </c>
      <c r="GE52" s="59">
        <f ca="1">AVERAGE(OFFSET($GD$3,0,0,'Données projet'!$E$17+1,1))-AVERAGE(OFFSET($H$3,0,0,'Données projet'!$E$17+1,1))</f>
        <v>204.78565758021779</v>
      </c>
      <c r="GF52" s="59">
        <f t="shared" si="50"/>
        <v>287.25131613242439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14.420456304085425</v>
      </c>
      <c r="GM52" s="21">
        <f>EXP(-LN(2)/25)*GM51+(1-EXP(-LN(2)/25))/(LN(2)/25)*Calculateur!GH52*Calculateur!GJ52*VLOOKUP('Données projet'!$B$17,Paramètres!$A$1:$I$89,3,0)*0.475*44/12</f>
        <v>11.829548792440972</v>
      </c>
      <c r="GN52" s="21">
        <f>EXP(-LN(2)/2)*GN51+(1-EXP(-LN(2)/2))/(LN(2)/2)*GH52*GK52*VLOOKUP('Données projet'!$B$17,Paramètres!$A$1:$I$89,3,0)*0.475*44/12</f>
        <v>3.4476473459680888</v>
      </c>
      <c r="GO52" s="21">
        <f t="shared" si="27"/>
        <v>29.697652442494487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10.375</v>
      </c>
      <c r="GU52" s="12">
        <f>IF('Données projet'!$A$270&gt;35,GU51+GT52-HC51,IF(A52&lt;'Données projet'!$A$270,$GR$205^A52,IF(A52='Données projet'!$A$270,'Données projet'!$B$270,GU51+GT52-HC51)))</f>
        <v>238.87499999999991</v>
      </c>
      <c r="GV52" s="17">
        <f>GU52*VLOOKUP('Données projet'!$B$18,Paramètres!$A$1:$I$89,3,0)*VLOOKUP('Données projet'!$B$18,Paramètres!$A$1:$I$89,5,0)</f>
        <v>186.32249999999993</v>
      </c>
      <c r="GW52" s="13">
        <f t="shared" si="51"/>
        <v>46.725987276254116</v>
      </c>
      <c r="GX52" s="20">
        <f t="shared" si="28"/>
        <v>405.8927820061424</v>
      </c>
      <c r="GY52" s="59">
        <f t="shared" si="29"/>
        <v>699.22611533947565</v>
      </c>
      <c r="GZ52" s="59">
        <f ca="1">AVERAGE(OFFSET($GY$3,0,0,'Données projet'!$E$18+1,1))-AVERAGE(OFFSET($H$3,0,0,'Données projet'!$E$18+1,1))</f>
        <v>288.82868507674738</v>
      </c>
      <c r="HA52" s="59">
        <f t="shared" si="52"/>
        <v>283.48738729114024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8.5775364240216927</v>
      </c>
      <c r="HH52" s="21">
        <f>EXP(-LN(2)/25)*HH51+(1-EXP(-LN(2)/25))/(LN(2)/25)*Calculateur!HC52*Calculateur!HE52*VLOOKUP('Données projet'!$B$18,Paramètres!$A$1:$I$89,3,0)*0.475*44/12</f>
        <v>10.279554194397239</v>
      </c>
      <c r="HI52" s="21">
        <f>EXP(-LN(2)/2)*HI51+(1-EXP(-LN(2)/2))/(LN(2)/2)*HC52*HF52*VLOOKUP('Données projet'!$B$18,Paramètres!$A$1:$I$89,3,0)*0.475*44/12</f>
        <v>1.5164093668132745</v>
      </c>
      <c r="HJ52" s="22">
        <f t="shared" si="30"/>
        <v>20.373499985232204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370.01</v>
      </c>
      <c r="L53" s="12">
        <f>VLOOKUP(A53,'Données projet'!$A$35:$I$55,9,0)</f>
        <v>15.714444444444442</v>
      </c>
      <c r="M53" s="12">
        <f t="array" ref="M53">INDEX(L:L,MIN(IF(ISNUMBER(L53:L249),ROW(L53:L249),"")))</f>
        <v>15.714444444444442</v>
      </c>
      <c r="N53" s="13">
        <f>IF('Données projet'!$A$36&gt;35,N52+M53-V52,IF(A53&lt;'Données projet'!$A$36,$K$205^A53,IF(A53='Données projet'!$A$36,'Données projet'!$B$36,N52+M53-V52)))</f>
        <v>370.01000000000005</v>
      </c>
      <c r="O53" s="13">
        <f>N53*VLOOKUP('Données projet'!$B$9,Paramètres!$A$1:$I$89,3,0)*VLOOKUP('Données projet'!$B$9,Paramètres!$A$1:$I$89,5,0)</f>
        <v>221.26598000000004</v>
      </c>
      <c r="P53" s="13">
        <f t="shared" si="33"/>
        <v>54.389948263584252</v>
      </c>
      <c r="Q53" s="20">
        <f t="shared" si="53"/>
        <v>480.10074172574264</v>
      </c>
      <c r="R53" s="59">
        <f t="shared" si="0"/>
        <v>773.43407505907589</v>
      </c>
      <c r="S53" s="59">
        <f ca="1">AVERAGE(OFFSET($R$3,0,0,'Données projet'!$E$9+1,1))-AVERAGE(OFFSET($H$3,0,0,'Données projet'!$E$9+1,1))</f>
        <v>349.71285006949597</v>
      </c>
      <c r="T53" s="59">
        <f t="shared" si="34"/>
        <v>258.51550516456842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70.20999999999998</v>
      </c>
      <c r="W53" s="16">
        <f>IF(ISNA(VLOOKUP(A53,'Données projet'!$A$35:$I$55,5,0)),0%,VLOOKUP(A53,'Données projet'!$A$35:$I$55,5,0)*VLOOKUP('Données projet'!$B$9,Paramètres!$A$1:$I$89,7,0))</f>
        <v>0.27</v>
      </c>
      <c r="X53" s="16">
        <f>IF(ISNA(VLOOKUP(A53,'Données projet'!$A$35:$I$55,6,0)),0%,VLOOKUP(A53,'Données projet'!$A$35:$I$55,6,0)*VLOOKUP('Données projet'!$B$9,Paramètres!$A$1:$I$89,7,0))</f>
        <v>9.0000000000000011E-2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36.030299745055871</v>
      </c>
      <c r="AA53" s="21">
        <f>EXP(-LN(2)/25)*AA52+(1-EXP(-LN(2)/25))/(LN(2)/25)*Calculateur!V53*Calculateur!X53*VLOOKUP('Données projet'!$B$9,Paramètres!$A$1:$I$89,3,0)*0.475*44/12</f>
        <v>18.9574040357579</v>
      </c>
      <c r="AB53" s="21">
        <f>EXP(-LN(2)/2)*AB52+(1-EXP(-LN(2)/2))/(LN(2)/2)*V53*Y53*VLOOKUP('Données projet'!$B$9,Paramètres!$A$1:$I$89,3,0)*0.475*44/12</f>
        <v>9.9793872672702157</v>
      </c>
      <c r="AC53" s="22">
        <f t="shared" si="3"/>
        <v>64.967091048083986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10.001428571428571</v>
      </c>
      <c r="AI53" s="13">
        <f>IF('Données projet'!$A$62&gt;35,AI52+AH53-AQ52,IF(A53&lt;'Données projet'!$A$62,$AF$205^A53,IF(A53='Données projet'!$A$62,'Données projet'!$B$62,AI52+AH53-AQ52)))</f>
        <v>158.06714285714284</v>
      </c>
      <c r="AJ53" s="13">
        <f>AI53*VLOOKUP('Données projet'!$B$10,Paramètres!$A$1:$I$89,3,0)*VLOOKUP('Données projet'!$B$10,Paramètres!$A$1:$I$89,5,0)</f>
        <v>150.41669314285713</v>
      </c>
      <c r="AK53" s="13">
        <f t="shared" si="35"/>
        <v>38.673265338618677</v>
      </c>
      <c r="AL53" s="20">
        <f t="shared" si="4"/>
        <v>329.33167768857032</v>
      </c>
      <c r="AM53" s="59">
        <f t="shared" si="5"/>
        <v>622.66501102190364</v>
      </c>
      <c r="AN53" s="59">
        <f ca="1">AVERAGE(OFFSET($AM$3,0,0,'Données projet'!$E$10+1,1))-AVERAGE(OFFSET($H$3,0,0,'Données projet'!$E$10+1,1))</f>
        <v>449.28947235329758</v>
      </c>
      <c r="AO53" s="59">
        <f t="shared" si="36"/>
        <v>289.36994109443964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31.578182472144949</v>
      </c>
      <c r="AW53" s="21">
        <f>EXP(-LN(2)/2)*AW52+(1-EXP(-LN(2)/2))/(LN(2)/2)*AQ53*AT53*VLOOKUP('Données projet'!$B$10,Paramètres!$A$1:$I$89,3,0)*0.475*44/12</f>
        <v>1.5242257541183883</v>
      </c>
      <c r="AX53" s="21">
        <f t="shared" si="6"/>
        <v>33.102408226263336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188.4969840000002</v>
      </c>
      <c r="BF53" s="13">
        <f t="shared" si="37"/>
        <v>47.207503913482938</v>
      </c>
      <c r="BG53" s="20">
        <f t="shared" si="7"/>
        <v>410.51864978264985</v>
      </c>
      <c r="BH53" s="59">
        <f t="shared" si="8"/>
        <v>703.8519831159831</v>
      </c>
      <c r="BI53" s="59">
        <f ca="1">AVERAGE(OFFSET($BH$3,0,0,'Données projet'!$E$11+1,1))-AVERAGE(OFFSET($H$3,0,0,'Données projet'!$E$11+1,1))</f>
        <v>635.71275911100679</v>
      </c>
      <c r="BJ53" s="59">
        <f t="shared" si="38"/>
        <v>281.7776857269169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25.085911282565853</v>
      </c>
      <c r="BR53" s="21">
        <f>EXP(-LN(2)/2)*BR52+(1-EXP(-LN(2)/2))/(LN(2)/2)*BL53*BO53*VLOOKUP('Données projet'!$B$11,Paramètres!$A$1:$I$89,3,0)*0.475*44/12</f>
        <v>6.8845823591112083</v>
      </c>
      <c r="BS53" s="22">
        <f t="shared" si="9"/>
        <v>31.970493641677059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3.3603333333333336</v>
      </c>
      <c r="BY53" s="12">
        <f>IF('Données projet'!$A$114&gt;35,BY52+BX53-CG52,IF(A53&lt;'Données projet'!$A$114,$BV$205^A53,IF(A53='Données projet'!$A$114,'Données projet'!$B$114,BY52+BX53-CG52)))</f>
        <v>168.01666666666659</v>
      </c>
      <c r="BZ53" s="13">
        <f>BY53*VLOOKUP('Données projet'!$B$12,Paramètres!$A$1:$I$89,3,0)*VLOOKUP('Données projet'!$B$12,Paramètres!$A$1:$I$89,5,0)</f>
        <v>191.33737999999994</v>
      </c>
      <c r="CA53" s="13">
        <f t="shared" si="39"/>
        <v>47.835507770222058</v>
      </c>
      <c r="CB53" s="20">
        <f t="shared" si="10"/>
        <v>416.55944619980323</v>
      </c>
      <c r="CC53" s="59">
        <f t="shared" si="11"/>
        <v>709.89277953313649</v>
      </c>
      <c r="CD53" s="59">
        <f ca="1">AVERAGE(OFFSET($CC$3,0,0,'Données projet'!$E$12+1,1))-AVERAGE(OFFSET($H$3,0,0,'Données projet'!$E$12+1,1))</f>
        <v>593.28343396240075</v>
      </c>
      <c r="CE53" s="59">
        <f t="shared" si="40"/>
        <v>289.66477662068695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133.97435897435898</v>
      </c>
      <c r="CR53" s="12">
        <f>VLOOKUP(A53,'Données projet'!$A$139:$I$159,9,0)</f>
        <v>5.0000000000000027</v>
      </c>
      <c r="CS53" s="12">
        <f t="array" ref="CS53">INDEX(CR:CR,MIN(IF(ISNUMBER(CR53:CR249),ROW(CR53:CR249),"")))</f>
        <v>5.0000000000000027</v>
      </c>
      <c r="CT53" s="12">
        <f>IF('Données projet'!$A$140&gt;35,CT52+CS53-DB52,IF(A53&lt;'Données projet'!$A$140,$CQ$205^A53,IF(A53='Données projet'!$A$140,'Données projet'!$B$140,CT52+CS53-DB52)))</f>
        <v>133.97435897435901</v>
      </c>
      <c r="CU53" s="17">
        <f>CT53*VLOOKUP('Données projet'!$B$13,Paramètres!$A$1:$I$89,3,0)*VLOOKUP('Données projet'!$B$13,Paramètres!$A$1:$I$89,5,0)</f>
        <v>140.03000000000006</v>
      </c>
      <c r="CV53" s="13">
        <f t="shared" si="41"/>
        <v>36.303877988030095</v>
      </c>
      <c r="CW53" s="20">
        <f t="shared" si="13"/>
        <v>307.11483749581919</v>
      </c>
      <c r="CX53" s="59">
        <f t="shared" si="14"/>
        <v>600.44817082915256</v>
      </c>
      <c r="CY53" s="59">
        <f ca="1">AVERAGE(OFFSET($CX$3,0,0,'Données projet'!$E$13+1,1))-AVERAGE(OFFSET($H$3,0,0,'Données projet'!$E$13+1,1))</f>
        <v>260.65406541614402</v>
      </c>
      <c r="CZ53" s="59">
        <f t="shared" si="42"/>
        <v>277.63456890196886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17.948717948717949</v>
      </c>
      <c r="DC53" s="16">
        <f>IF(ISNA(VLOOKUP(A53,'Données projet'!$A$139:$I$159,5,0)),0%,VLOOKUP(A53,'Données projet'!$A$139:$I$159,5,0)*VLOOKUP('Données projet'!$B$13,Paramètres!$A$1:$I$89,7,0))</f>
        <v>4.3000000000000003E-2</v>
      </c>
      <c r="DD53" s="16">
        <f>IF(ISNA(VLOOKUP(A53,'Données projet'!$A$139:$I$159,6,0)),0%,VLOOKUP(A53,'Données projet'!$A$139:$I$159,6,0)*VLOOKUP('Données projet'!$B$13,Paramètres!$A$1:$I$89,7,0))</f>
        <v>0.215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0.89176084576164039</v>
      </c>
      <c r="DG53" s="21">
        <f>EXP(-LN(2)/25)*DG52+(1-EXP(-LN(2)/25))/(LN(2)/25)*Calculateur!DB53*Calculateur!DD53*VLOOKUP('Données projet'!$B$13,Paramètres!$A$1:$I$89,3,0)*0.475*44/12</f>
        <v>26.213233072864881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27.104993918626523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137.82051282051282</v>
      </c>
      <c r="DM53" s="12">
        <f>VLOOKUP(A53,'Données projet'!$A$165:$I$185,9,0)</f>
        <v>4.2307692307692317</v>
      </c>
      <c r="DN53" s="12">
        <f t="array" ref="DN53">INDEX(DM:DM,MIN(IF(ISNUMBER(DM53:DM249),ROW(DM53:DM249),"")))</f>
        <v>4.2307692307692317</v>
      </c>
      <c r="DO53" s="12">
        <f>IF('Données projet'!$A$166&gt;35,DO52+DN53-DW52,IF(A53&lt;'Données projet'!$A$166,$DL$205^A53,IF(A53='Données projet'!$A$166,'Données projet'!$B$166,DO52+DN53-DW52)))</f>
        <v>137.82051282051279</v>
      </c>
      <c r="DP53" s="17">
        <f>DO53*VLOOKUP('Données projet'!$B$14,Paramètres!$A$1:$I$89,3,0)*VLOOKUP('Données projet'!$B$14,Paramètres!$A$1:$I$89,5,0)</f>
        <v>90.299999999999983</v>
      </c>
      <c r="DQ53" s="13">
        <f t="shared" si="43"/>
        <v>24.637563750867056</v>
      </c>
      <c r="DR53" s="20">
        <f t="shared" si="16"/>
        <v>200.1829235327601</v>
      </c>
      <c r="DS53" s="59">
        <f t="shared" si="17"/>
        <v>493.51625686609339</v>
      </c>
      <c r="DT53" s="59">
        <f ca="1">AVERAGE(OFFSET($DS$3,0,0,'Données projet'!$E$14+1,1))-AVERAGE(OFFSET($H$3,0,0,'Données projet'!$E$14+1,1))</f>
        <v>181.4272795535777</v>
      </c>
      <c r="DU53" s="59">
        <f t="shared" si="44"/>
        <v>187.67131775419904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15.384615384615383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0.1075</v>
      </c>
      <c r="DZ53" s="16">
        <f>IF(ISNA(VLOOKUP(A53,'Données projet'!$A$165:$I$185,7,0)),0%,VLOOKUP(A53,'Données projet'!$A$165:$I$185,7,0))</f>
        <v>0.25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5.5240070079586232</v>
      </c>
      <c r="EC53" s="21">
        <f>EXP(-LN(2)/2)*EC52+(1-EXP(-LN(2)/2))/(LN(2)/2)*DW53*DZ53*VLOOKUP('Données projet'!$B$14,Paramètres!$A$1:$I$89,3,0)*0.475*44/12</f>
        <v>2.9092187615886624</v>
      </c>
      <c r="ED53" s="22">
        <f t="shared" si="18"/>
        <v>8.4332257695472848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1.1368683772161603E-13</v>
      </c>
      <c r="EK53" s="17">
        <f>EJ53*VLOOKUP('Données projet'!$B$15,Paramètres!$A$1:$I$89,3,0)*VLOOKUP('Données projet'!$B$15,Paramètres!$A$1:$I$89,5,0)</f>
        <v>9.2222762759774927E-14</v>
      </c>
      <c r="EL53" s="13">
        <f t="shared" si="45"/>
        <v>1.3985662224947967E-12</v>
      </c>
      <c r="EM53" s="20">
        <f t="shared" si="19"/>
        <v>2.5964574826517121E-12</v>
      </c>
      <c r="EN53" s="59">
        <f t="shared" si="20"/>
        <v>293.33333333333593</v>
      </c>
      <c r="EO53" s="59">
        <f ca="1">AVERAGE(OFFSET($EN$3,0,0,'Données projet'!$E$15+1,1))-AVERAGE(OFFSET($H$3,0,0,'Données projet'!$E$15+1,1))</f>
        <v>159.68591355116837</v>
      </c>
      <c r="EP53" s="59">
        <f t="shared" si="46"/>
        <v>284.32631786390112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11.963612864096939</v>
      </c>
      <c r="EW53" s="21">
        <f>EXP(-LN(2)/25)*EW52+(1-EXP(-LN(2)/25))/(LN(2)/25)*Calculateur!ER53*Calculateur!ET53*VLOOKUP('Données projet'!$B$15,Paramètres!$A$1:$I$89,3,0)*0.475*44/12</f>
        <v>14.641842018705958</v>
      </c>
      <c r="EX53" s="21">
        <f>EXP(-LN(2)/2)*EX52+(1-EXP(-LN(2)/2))/(LN(2)/2)*ER53*EU53*VLOOKUP('Données projet'!$B$15,Paramètres!$A$1:$I$89,3,0)*0.475*44/12</f>
        <v>0.91194107483799414</v>
      </c>
      <c r="EY53" s="22">
        <f t="shared" si="21"/>
        <v>27.51739595764089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219</v>
      </c>
      <c r="FC53" s="12">
        <f>VLOOKUP(A53,'Données projet'!$A$217:$I$237,9,0)</f>
        <v>7.2</v>
      </c>
      <c r="FD53" s="12">
        <f t="array" ref="FD53">INDEX(FC:FC,MIN(IF(ISNUMBER(FC53:FC249),ROW(FC53:FC249),"")))</f>
        <v>7.2</v>
      </c>
      <c r="FE53" s="12">
        <f>IF('Données projet'!$A$218&gt;35,FE52+FD53-FM52,IF(A53&lt;'Données projet'!$A$218,$FB$205^A53,IF(A53='Données projet'!$A$218,'Données projet'!$B$218,FE52+FD53-FM52)))</f>
        <v>218.99999999999989</v>
      </c>
      <c r="FF53" s="17">
        <f>FE53*VLOOKUP('Données projet'!$B$16,Paramètres!$A$1:$I$89,3,0)*VLOOKUP('Données projet'!$B$16,Paramètres!$A$1:$I$89,5,0)</f>
        <v>174.23639999999992</v>
      </c>
      <c r="FG53" s="13">
        <f t="shared" si="47"/>
        <v>44.03747274965864</v>
      </c>
      <c r="FH53" s="20">
        <f t="shared" si="22"/>
        <v>380.160328372322</v>
      </c>
      <c r="FI53" s="59">
        <f t="shared" si="23"/>
        <v>673.49366170565531</v>
      </c>
      <c r="FJ53" s="59">
        <f ca="1">AVERAGE(OFFSET($FI$3,0,0,'Données projet'!$E$16+1,1))-AVERAGE(OFFSET($H$3,0,0,'Données projet'!$E$16+1,1))</f>
        <v>299.10536994156814</v>
      </c>
      <c r="FK53" s="59">
        <f t="shared" si="48"/>
        <v>292.57799203101769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0.13250000000000001</v>
      </c>
      <c r="FO53" s="16">
        <f>IF(ISNA(VLOOKUP(A53,'Données projet'!$A$217:$I$237,6,0)),0%,VLOOKUP(A53,'Données projet'!$A$217:$I$237,6,0)*VLOOKUP('Données projet'!$B$16,Paramètres!$A$1:$I$89,7,0))</f>
        <v>0.13250000000000001</v>
      </c>
      <c r="FP53" s="16">
        <f>IF(ISNA(VLOOKUP(A53,'Données projet'!$A$217:$I$237,7,0)),0%,VLOOKUP(A53,'Données projet'!$A$217:$I$237,7,0))</f>
        <v>0.25</v>
      </c>
      <c r="FQ53" s="21">
        <f>EXP(-LN(2)/35)*FQ52+(1-EXP(-LN(2)/35))/(LN(2)/35)*FM53*FN53*VLOOKUP('Données projet'!$B$16,Paramètres!$A$1:$I$89,3,0)*0.475*44/12</f>
        <v>6.9799222397894845</v>
      </c>
      <c r="FR53" s="21">
        <f>EXP(-LN(2)/25)*FR52+(1-EXP(-LN(2)/25))/(LN(2)/25)*Calculateur!FM53*Calculateur!FO53*VLOOKUP('Données projet'!$B$16,Paramètres!$A$1:$I$89,3,0)*0.475*44/12</f>
        <v>14.370120459948861</v>
      </c>
      <c r="FS53" s="21">
        <f>EXP(-LN(2)/2)*FS52+(1-EXP(-LN(2)/2))/(LN(2)/2)*FM53*FP53*VLOOKUP('Données projet'!$B$16,Paramètres!$A$1:$I$89,3,0)*0.475*44/12</f>
        <v>4.1196544764151097</v>
      </c>
      <c r="FT53" s="22">
        <f t="shared" si="24"/>
        <v>25.469697176153456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5.6843418860808015E-14</v>
      </c>
      <c r="GA53" s="17">
        <f>FZ53*VLOOKUP('Données projet'!$B$17,Paramètres!$A$1:$I$89,3,0)*VLOOKUP('Données projet'!$B$17,Paramètres!$A$1:$I$89,5,0)</f>
        <v>5.1431925385259088E-14</v>
      </c>
      <c r="GB53" s="13">
        <f t="shared" si="49"/>
        <v>8.3482866290946129E-13</v>
      </c>
      <c r="GC53" s="20">
        <f t="shared" si="25"/>
        <v>1.5435705246133045E-12</v>
      </c>
      <c r="GD53" s="59">
        <f t="shared" si="26"/>
        <v>293.33333333333485</v>
      </c>
      <c r="GE53" s="59">
        <f ca="1">AVERAGE(OFFSET($GD$3,0,0,'Données projet'!$E$17+1,1))-AVERAGE(OFFSET($H$3,0,0,'Données projet'!$E$17+1,1))</f>
        <v>204.78565758021779</v>
      </c>
      <c r="GF53" s="59">
        <f t="shared" si="50"/>
        <v>287.25131613242439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14.137679951572162</v>
      </c>
      <c r="GM53" s="21">
        <f>EXP(-LN(2)/25)*GM52+(1-EXP(-LN(2)/25))/(LN(2)/25)*Calculateur!GH53*Calculateur!GJ53*VLOOKUP('Données projet'!$B$17,Paramètres!$A$1:$I$89,3,0)*0.475*44/12</f>
        <v>11.50606915862274</v>
      </c>
      <c r="GN53" s="21">
        <f>EXP(-LN(2)/2)*GN52+(1-EXP(-LN(2)/2))/(LN(2)/2)*GH53*GK53*VLOOKUP('Données projet'!$B$17,Paramètres!$A$1:$I$89,3,0)*0.475*44/12</f>
        <v>2.4378548174738386</v>
      </c>
      <c r="GO53" s="21">
        <f t="shared" si="27"/>
        <v>28.081603927668741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10.375</v>
      </c>
      <c r="GU53" s="12">
        <f>IF('Données projet'!$A$270&gt;35,GU52+GT53-HC52,IF(A53&lt;'Données projet'!$A$270,$GR$205^A53,IF(A53='Données projet'!$A$270,'Données projet'!$B$270,GU52+GT53-HC52)))</f>
        <v>249.24999999999991</v>
      </c>
      <c r="GV53" s="17">
        <f>GU53*VLOOKUP('Données projet'!$B$18,Paramètres!$A$1:$I$89,3,0)*VLOOKUP('Données projet'!$B$18,Paramètres!$A$1:$I$89,5,0)</f>
        <v>194.41499999999994</v>
      </c>
      <c r="GW53" s="13">
        <f t="shared" si="51"/>
        <v>48.514737888684927</v>
      </c>
      <c r="GX53" s="20">
        <f t="shared" si="28"/>
        <v>423.10262682279273</v>
      </c>
      <c r="GY53" s="59">
        <f t="shared" si="29"/>
        <v>716.43596015612604</v>
      </c>
      <c r="GZ53" s="59">
        <f ca="1">AVERAGE(OFFSET($GY$3,0,0,'Données projet'!$E$18+1,1))-AVERAGE(OFFSET($H$3,0,0,'Données projet'!$E$18+1,1))</f>
        <v>288.82868507674738</v>
      </c>
      <c r="HA53" s="59">
        <f t="shared" si="52"/>
        <v>283.48738729114024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8.4093361665272504</v>
      </c>
      <c r="HH53" s="21">
        <f>EXP(-LN(2)/25)*HH52+(1-EXP(-LN(2)/25))/(LN(2)/25)*Calculateur!HC53*Calculateur!HE53*VLOOKUP('Données projet'!$B$18,Paramètres!$A$1:$I$89,3,0)*0.475*44/12</f>
        <v>9.9984592443731852</v>
      </c>
      <c r="HI53" s="21">
        <f>EXP(-LN(2)/2)*HI52+(1-EXP(-LN(2)/2))/(LN(2)/2)*HC53*HF53*VLOOKUP('Données projet'!$B$18,Paramètres!$A$1:$I$89,3,0)*0.475*44/12</f>
        <v>1.0722633463284652</v>
      </c>
      <c r="HJ53" s="22">
        <f t="shared" si="30"/>
        <v>19.4800587572289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14.113999999999999</v>
      </c>
      <c r="N54" s="13">
        <f>IF('Données projet'!$A$36&gt;35,N53+M54-V53,IF(A54&lt;'Données projet'!$A$36,$K$205^A54,IF(A54='Données projet'!$A$36,'Données projet'!$B$36,N53+M54-V53)))</f>
        <v>313.91400000000004</v>
      </c>
      <c r="O54" s="13">
        <f>N54*VLOOKUP('Données projet'!$B$9,Paramètres!$A$1:$I$89,3,0)*VLOOKUP('Données projet'!$B$9,Paramètres!$A$1:$I$89,5,0)</f>
        <v>187.72057200000006</v>
      </c>
      <c r="P54" s="13">
        <f t="shared" si="33"/>
        <v>47.035650233472225</v>
      </c>
      <c r="Q54" s="20">
        <f t="shared" si="53"/>
        <v>408.86708705663085</v>
      </c>
      <c r="R54" s="59">
        <f t="shared" si="0"/>
        <v>702.20042038996417</v>
      </c>
      <c r="S54" s="59">
        <f ca="1">AVERAGE(OFFSET($R$3,0,0,'Données projet'!$E$9+1,1))-AVERAGE(OFFSET($H$3,0,0,'Données projet'!$E$9+1,1))</f>
        <v>349.71285006949597</v>
      </c>
      <c r="T54" s="59">
        <f t="shared" si="34"/>
        <v>258.51550516456842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35.323767543368191</v>
      </c>
      <c r="AA54" s="21">
        <f>EXP(-LN(2)/25)*AA53+(1-EXP(-LN(2)/25))/(LN(2)/25)*Calculateur!V54*Calculateur!X54*VLOOKUP('Données projet'!$B$9,Paramètres!$A$1:$I$89,3,0)*0.475*44/12</f>
        <v>18.439012825473551</v>
      </c>
      <c r="AB54" s="21">
        <f>EXP(-LN(2)/2)*AB53+(1-EXP(-LN(2)/2))/(LN(2)/2)*V54*Y54*VLOOKUP('Données projet'!$B$9,Paramètres!$A$1:$I$89,3,0)*0.475*44/12</f>
        <v>7.0564924087734591</v>
      </c>
      <c r="AC54" s="22">
        <f t="shared" si="3"/>
        <v>60.819272777615204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10.001428571428571</v>
      </c>
      <c r="AI54" s="13">
        <f>IF('Données projet'!$A$62&gt;35,AI53+AH54-AQ53,IF(A54&lt;'Données projet'!$A$62,$AF$205^A54,IF(A54='Données projet'!$A$62,'Données projet'!$B$62,AI53+AH54-AQ53)))</f>
        <v>168.0685714285714</v>
      </c>
      <c r="AJ54" s="13">
        <f>AI54*VLOOKUP('Données projet'!$B$10,Paramètres!$A$1:$I$89,3,0)*VLOOKUP('Données projet'!$B$10,Paramètres!$A$1:$I$89,5,0)</f>
        <v>159.93405257142857</v>
      </c>
      <c r="AK54" s="13">
        <f t="shared" si="35"/>
        <v>40.827640423227386</v>
      </c>
      <c r="AL54" s="20">
        <f t="shared" si="4"/>
        <v>349.65994863235909</v>
      </c>
      <c r="AM54" s="59">
        <f t="shared" si="5"/>
        <v>642.9932819656924</v>
      </c>
      <c r="AN54" s="59">
        <f ca="1">AVERAGE(OFFSET($AM$3,0,0,'Données projet'!$E$10+1,1))-AVERAGE(OFFSET($H$3,0,0,'Données projet'!$E$10+1,1))</f>
        <v>449.28947235329758</v>
      </c>
      <c r="AO54" s="59">
        <f t="shared" si="36"/>
        <v>289.36994109443964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30.714675411819702</v>
      </c>
      <c r="AW54" s="21">
        <f>EXP(-LN(2)/2)*AW53+(1-EXP(-LN(2)/2))/(LN(2)/2)*AQ54*AT54*VLOOKUP('Données projet'!$B$10,Paramètres!$A$1:$I$89,3,0)*0.475*44/12</f>
        <v>1.0777903667962916</v>
      </c>
      <c r="AX54" s="21">
        <f t="shared" si="6"/>
        <v>31.792465778615995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163.90791300000018</v>
      </c>
      <c r="BF54" s="13">
        <f t="shared" si="37"/>
        <v>41.72271436472046</v>
      </c>
      <c r="BG54" s="20">
        <f t="shared" si="7"/>
        <v>358.14000932688845</v>
      </c>
      <c r="BH54" s="59">
        <f t="shared" si="8"/>
        <v>651.47334266022176</v>
      </c>
      <c r="BI54" s="59">
        <f ca="1">AVERAGE(OFFSET($BH$3,0,0,'Données projet'!$E$11+1,1))-AVERAGE(OFFSET($H$3,0,0,'Données projet'!$E$11+1,1))</f>
        <v>635.71275911100679</v>
      </c>
      <c r="BJ54" s="59">
        <f t="shared" si="38"/>
        <v>281.7776857269169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24.399935719333349</v>
      </c>
      <c r="BR54" s="21">
        <f>EXP(-LN(2)/2)*BR53+(1-EXP(-LN(2)/2))/(LN(2)/2)*BL54*BO54*VLOOKUP('Données projet'!$B$11,Paramètres!$A$1:$I$89,3,0)*0.475*44/12</f>
        <v>4.8681348717648145</v>
      </c>
      <c r="BS54" s="22">
        <f t="shared" si="9"/>
        <v>29.268070591098166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3.3603333333333336</v>
      </c>
      <c r="BY54" s="12">
        <f>IF('Données projet'!$A$114&gt;35,BY53+BX54-CG53,IF(A54&lt;'Données projet'!$A$114,$BV$205^A54,IF(A54='Données projet'!$A$114,'Données projet'!$B$114,BY53+BX54-CG53)))</f>
        <v>171.37699999999992</v>
      </c>
      <c r="BZ54" s="13">
        <f>BY54*VLOOKUP('Données projet'!$B$12,Paramètres!$A$1:$I$89,3,0)*VLOOKUP('Données projet'!$B$12,Paramètres!$A$1:$I$89,5,0)</f>
        <v>195.16412759999992</v>
      </c>
      <c r="CA54" s="13">
        <f t="shared" si="39"/>
        <v>48.679880124131074</v>
      </c>
      <c r="CB54" s="20">
        <f t="shared" si="10"/>
        <v>424.69498011952811</v>
      </c>
      <c r="CC54" s="59">
        <f t="shared" si="11"/>
        <v>718.02831345286143</v>
      </c>
      <c r="CD54" s="59">
        <f ca="1">AVERAGE(OFFSET($CC$3,0,0,'Données projet'!$E$12+1,1))-AVERAGE(OFFSET($H$3,0,0,'Données projet'!$E$12+1,1))</f>
        <v>593.28343396240075</v>
      </c>
      <c r="CE54" s="59">
        <f t="shared" si="40"/>
        <v>289.66477662068695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4.3589743589743595</v>
      </c>
      <c r="CT54" s="12">
        <f>IF('Données projet'!$A$140&gt;35,CT53+CS54-DB53,IF(A54&lt;'Données projet'!$A$140,$CQ$205^A54,IF(A54='Données projet'!$A$140,'Données projet'!$B$140,CT53+CS54-DB53)))</f>
        <v>120.38461538461542</v>
      </c>
      <c r="CU54" s="17">
        <f>CT54*VLOOKUP('Données projet'!$B$13,Paramètres!$A$1:$I$89,3,0)*VLOOKUP('Données projet'!$B$13,Paramètres!$A$1:$I$89,5,0)</f>
        <v>125.82600000000004</v>
      </c>
      <c r="CV54" s="13">
        <f t="shared" si="41"/>
        <v>33.030046266928181</v>
      </c>
      <c r="CW54" s="20">
        <f t="shared" si="13"/>
        <v>276.67428058156662</v>
      </c>
      <c r="CX54" s="59">
        <f t="shared" si="14"/>
        <v>570.00761391489993</v>
      </c>
      <c r="CY54" s="59">
        <f ca="1">AVERAGE(OFFSET($CX$3,0,0,'Données projet'!$E$13+1,1))-AVERAGE(OFFSET($H$3,0,0,'Données projet'!$E$13+1,1))</f>
        <v>260.65406541614402</v>
      </c>
      <c r="CZ54" s="59">
        <f t="shared" si="42"/>
        <v>277.63456890196886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0.87427395949666287</v>
      </c>
      <c r="DG54" s="21">
        <f>EXP(-LN(2)/25)*DG53+(1-EXP(-LN(2)/25))/(LN(2)/25)*Calculateur!DB54*Calculateur!DD54*VLOOKUP('Données projet'!$B$13,Paramètres!$A$1:$I$89,3,0)*0.475*44/12</f>
        <v>25.496430835993376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26.370704795490038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4.1025641025641049</v>
      </c>
      <c r="DO54" s="12">
        <f>IF('Données projet'!$A$166&gt;35,DO53+DN54-DW53,IF(A54&lt;'Données projet'!$A$166,$DL$205^A54,IF(A54='Données projet'!$A$166,'Données projet'!$B$166,DO53+DN54-DW53)))</f>
        <v>126.53846153846152</v>
      </c>
      <c r="DP54" s="17">
        <f>DO54*VLOOKUP('Données projet'!$B$14,Paramètres!$A$1:$I$89,3,0)*VLOOKUP('Données projet'!$B$14,Paramètres!$A$1:$I$89,5,0)</f>
        <v>82.907999999999987</v>
      </c>
      <c r="DQ54" s="13">
        <f t="shared" si="43"/>
        <v>22.846720996433739</v>
      </c>
      <c r="DR54" s="20">
        <f t="shared" si="16"/>
        <v>184.18947240212205</v>
      </c>
      <c r="DS54" s="59">
        <f t="shared" si="17"/>
        <v>477.52280573545534</v>
      </c>
      <c r="DT54" s="59">
        <f ca="1">AVERAGE(OFFSET($DS$3,0,0,'Données projet'!$E$14+1,1))-AVERAGE(OFFSET($H$3,0,0,'Données projet'!$E$14+1,1))</f>
        <v>181.4272795535777</v>
      </c>
      <c r="DU54" s="59">
        <f t="shared" si="44"/>
        <v>187.67131775419904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5.3729527458310917</v>
      </c>
      <c r="EC54" s="21">
        <f>EXP(-LN(2)/2)*EC53+(1-EXP(-LN(2)/2))/(LN(2)/2)*DW54*DZ54*VLOOKUP('Données projet'!$B$14,Paramètres!$A$1:$I$89,3,0)*0.475*44/12</f>
        <v>2.0571283142744732</v>
      </c>
      <c r="ED54" s="22">
        <f t="shared" si="18"/>
        <v>7.4300810601055645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1.1368683772161603E-13</v>
      </c>
      <c r="EK54" s="17">
        <f>EJ54*VLOOKUP('Données projet'!$B$15,Paramètres!$A$1:$I$89,3,0)*VLOOKUP('Données projet'!$B$15,Paramètres!$A$1:$I$89,5,0)</f>
        <v>9.2222762759774927E-14</v>
      </c>
      <c r="EL54" s="13">
        <f t="shared" si="45"/>
        <v>1.3985662224947967E-12</v>
      </c>
      <c r="EM54" s="20">
        <f t="shared" si="19"/>
        <v>2.5964574826517121E-12</v>
      </c>
      <c r="EN54" s="59">
        <f t="shared" si="20"/>
        <v>293.33333333333593</v>
      </c>
      <c r="EO54" s="59">
        <f ca="1">AVERAGE(OFFSET($EN$3,0,0,'Données projet'!$E$15+1,1))-AVERAGE(OFFSET($H$3,0,0,'Données projet'!$E$15+1,1))</f>
        <v>159.68591355116837</v>
      </c>
      <c r="EP54" s="59">
        <f t="shared" si="46"/>
        <v>284.32631786390112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11.729013712915318</v>
      </c>
      <c r="EW54" s="21">
        <f>EXP(-LN(2)/25)*EW53+(1-EXP(-LN(2)/25))/(LN(2)/25)*Calculateur!ER54*Calculateur!ET54*VLOOKUP('Données projet'!$B$15,Paramètres!$A$1:$I$89,3,0)*0.475*44/12</f>
        <v>14.241460078723437</v>
      </c>
      <c r="EX54" s="21">
        <f>EXP(-LN(2)/2)*EX53+(1-EXP(-LN(2)/2))/(LN(2)/2)*ER54*EU54*VLOOKUP('Données projet'!$B$15,Paramètres!$A$1:$I$89,3,0)*0.475*44/12</f>
        <v>0.64483971806049456</v>
      </c>
      <c r="EY54" s="22">
        <f t="shared" si="21"/>
        <v>26.615313509699249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</v>
      </c>
      <c r="FE54" s="12">
        <f>IF('Données projet'!$A$218&gt;35,FE53+FD54-FM53,IF(A54&lt;'Données projet'!$A$218,$FB$205^A54,IF(A54='Données projet'!$A$218,'Données projet'!$B$218,FE53+FD54-FM53)))</f>
        <v>207.99999999999989</v>
      </c>
      <c r="FF54" s="17">
        <f>FE54*VLOOKUP('Données projet'!$B$16,Paramètres!$A$1:$I$89,3,0)*VLOOKUP('Données projet'!$B$16,Paramètres!$A$1:$I$89,5,0)</f>
        <v>165.48479999999992</v>
      </c>
      <c r="FG54" s="13">
        <f t="shared" si="47"/>
        <v>42.077190125964002</v>
      </c>
      <c r="FH54" s="20">
        <f t="shared" si="22"/>
        <v>361.5037994693871</v>
      </c>
      <c r="FI54" s="59">
        <f t="shared" si="23"/>
        <v>654.83713280272036</v>
      </c>
      <c r="FJ54" s="59">
        <f ca="1">AVERAGE(OFFSET($FI$3,0,0,'Données projet'!$E$16+1,1))-AVERAGE(OFFSET($H$3,0,0,'Données projet'!$E$16+1,1))</f>
        <v>299.10536994156814</v>
      </c>
      <c r="FK54" s="59">
        <f t="shared" si="48"/>
        <v>292.57799203101769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6.8430502219994027</v>
      </c>
      <c r="FR54" s="21">
        <f>EXP(-LN(2)/25)*FR53+(1-EXP(-LN(2)/25))/(LN(2)/25)*Calculateur!FM54*Calculateur!FO54*VLOOKUP('Données projet'!$B$16,Paramètres!$A$1:$I$89,3,0)*0.475*44/12</f>
        <v>13.977168760279769</v>
      </c>
      <c r="FS54" s="21">
        <f>EXP(-LN(2)/2)*FS53+(1-EXP(-LN(2)/2))/(LN(2)/2)*FM54*FP54*VLOOKUP('Données projet'!$B$16,Paramètres!$A$1:$I$89,3,0)*0.475*44/12</f>
        <v>2.9130356164186404</v>
      </c>
      <c r="FT54" s="22">
        <f t="shared" si="24"/>
        <v>23.733254598697812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5.6843418860808015E-14</v>
      </c>
      <c r="GA54" s="17">
        <f>FZ54*VLOOKUP('Données projet'!$B$17,Paramètres!$A$1:$I$89,3,0)*VLOOKUP('Données projet'!$B$17,Paramètres!$A$1:$I$89,5,0)</f>
        <v>5.1431925385259088E-14</v>
      </c>
      <c r="GB54" s="13">
        <f t="shared" si="49"/>
        <v>8.3482866290946129E-13</v>
      </c>
      <c r="GC54" s="20">
        <f t="shared" si="25"/>
        <v>1.5435705246133045E-12</v>
      </c>
      <c r="GD54" s="59">
        <f t="shared" si="26"/>
        <v>293.33333333333485</v>
      </c>
      <c r="GE54" s="59">
        <f ca="1">AVERAGE(OFFSET($GD$3,0,0,'Données projet'!$E$17+1,1))-AVERAGE(OFFSET($H$3,0,0,'Données projet'!$E$17+1,1))</f>
        <v>204.78565758021779</v>
      </c>
      <c r="GF54" s="59">
        <f t="shared" si="50"/>
        <v>287.25131613242439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13.860448670855138</v>
      </c>
      <c r="GM54" s="21">
        <f>EXP(-LN(2)/25)*GM53+(1-EXP(-LN(2)/25))/(LN(2)/25)*Calculateur!GH54*Calculateur!GJ54*VLOOKUP('Données projet'!$B$17,Paramètres!$A$1:$I$89,3,0)*0.475*44/12</f>
        <v>11.191435092402321</v>
      </c>
      <c r="GN54" s="21">
        <f>EXP(-LN(2)/2)*GN53+(1-EXP(-LN(2)/2))/(LN(2)/2)*GH54*GK54*VLOOKUP('Données projet'!$B$17,Paramètres!$A$1:$I$89,3,0)*0.475*44/12</f>
        <v>1.7238236729840444</v>
      </c>
      <c r="GO54" s="21">
        <f t="shared" si="27"/>
        <v>26.7757074362415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10.375</v>
      </c>
      <c r="GU54" s="12">
        <f>IF('Données projet'!$A$270&gt;35,GU53+GT54-HC53,IF(A54&lt;'Données projet'!$A$270,$GR$205^A54,IF(A54='Données projet'!$A$270,'Données projet'!$B$270,GU53+GT54-HC53)))</f>
        <v>259.62499999999989</v>
      </c>
      <c r="GV54" s="17">
        <f>GU54*VLOOKUP('Données projet'!$B$18,Paramètres!$A$1:$I$89,3,0)*VLOOKUP('Données projet'!$B$18,Paramètres!$A$1:$I$89,5,0)</f>
        <v>202.50749999999991</v>
      </c>
      <c r="GW54" s="13">
        <f t="shared" si="51"/>
        <v>50.294840086606349</v>
      </c>
      <c r="GX54" s="20">
        <f t="shared" si="28"/>
        <v>440.29740898417253</v>
      </c>
      <c r="GY54" s="59">
        <f t="shared" si="29"/>
        <v>733.63074231750579</v>
      </c>
      <c r="GZ54" s="59">
        <f ca="1">AVERAGE(OFFSET($GY$3,0,0,'Données projet'!$E$18+1,1))-AVERAGE(OFFSET($H$3,0,0,'Données projet'!$E$18+1,1))</f>
        <v>288.82868507674738</v>
      </c>
      <c r="HA54" s="59">
        <f t="shared" si="52"/>
        <v>283.48738729114024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8.2444342134902477</v>
      </c>
      <c r="HH54" s="21">
        <f>EXP(-LN(2)/25)*HH53+(1-EXP(-LN(2)/25))/(LN(2)/25)*Calculateur!HC54*Calculateur!HE54*VLOOKUP('Données projet'!$B$18,Paramètres!$A$1:$I$89,3,0)*0.475*44/12</f>
        <v>9.7250508505396809</v>
      </c>
      <c r="HI54" s="21">
        <f>EXP(-LN(2)/2)*HI53+(1-EXP(-LN(2)/2))/(LN(2)/2)*HC54*HF54*VLOOKUP('Données projet'!$B$18,Paramètres!$A$1:$I$89,3,0)*0.475*44/12</f>
        <v>0.75820468340663727</v>
      </c>
      <c r="HJ54" s="22">
        <f t="shared" si="30"/>
        <v>18.727689747436568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14.113999999999999</v>
      </c>
      <c r="N55" s="13">
        <f>IF('Données projet'!$A$36&gt;35,N54+M55-V54,IF(A55&lt;'Données projet'!$A$36,$K$205^A55,IF(A55='Données projet'!$A$36,'Données projet'!$B$36,N54+M55-V54)))</f>
        <v>328.02800000000002</v>
      </c>
      <c r="O55" s="13">
        <f>N55*VLOOKUP('Données projet'!$B$9,Paramètres!$A$1:$I$89,3,0)*VLOOKUP('Données projet'!$B$9,Paramètres!$A$1:$I$89,5,0)</f>
        <v>196.16074400000002</v>
      </c>
      <c r="P55" s="13">
        <f t="shared" si="33"/>
        <v>48.899465996260361</v>
      </c>
      <c r="Q55" s="20">
        <f t="shared" si="53"/>
        <v>426.81319907682013</v>
      </c>
      <c r="R55" s="59">
        <f t="shared" si="0"/>
        <v>720.14653241015344</v>
      </c>
      <c r="S55" s="59">
        <f ca="1">AVERAGE(OFFSET($R$3,0,0,'Données projet'!$E$9+1,1))-AVERAGE(OFFSET($H$3,0,0,'Données projet'!$E$9+1,1))</f>
        <v>349.71285006949597</v>
      </c>
      <c r="T55" s="59">
        <f t="shared" si="34"/>
        <v>258.51550516456842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34.631090007213515</v>
      </c>
      <c r="AA55" s="21">
        <f>EXP(-LN(2)/25)*AA54+(1-EXP(-LN(2)/25))/(LN(2)/25)*Calculateur!V55*Calculateur!X55*VLOOKUP('Données projet'!$B$9,Paramètres!$A$1:$I$89,3,0)*0.475*44/12</f>
        <v>17.934797050095433</v>
      </c>
      <c r="AB55" s="21">
        <f>EXP(-LN(2)/2)*AB54+(1-EXP(-LN(2)/2))/(LN(2)/2)*V55*Y55*VLOOKUP('Données projet'!$B$9,Paramètres!$A$1:$I$89,3,0)*0.475*44/12</f>
        <v>4.9896936336351088</v>
      </c>
      <c r="AC55" s="22">
        <f t="shared" si="3"/>
        <v>57.555580690944055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178.07</v>
      </c>
      <c r="AG55" s="12">
        <f>VLOOKUP(A55,'Données projet'!$A$61:$I$81,9,0)</f>
        <v>10.001428571428571</v>
      </c>
      <c r="AH55" s="12">
        <f t="array" ref="AH55">INDEX(AG:AG,MIN(IF(ISNUMBER(AG55:AG251),ROW(AG55:AG251),"")))</f>
        <v>10.001428571428571</v>
      </c>
      <c r="AI55" s="13">
        <f>IF('Données projet'!$A$62&gt;35,AI54+AH55-AQ54,IF(A55&lt;'Données projet'!$A$62,$AF$205^A55,IF(A55='Données projet'!$A$62,'Données projet'!$B$62,AI54+AH55-AQ54)))</f>
        <v>178.06999999999996</v>
      </c>
      <c r="AJ55" s="13">
        <f>AI55*VLOOKUP('Données projet'!$B$10,Paramètres!$A$1:$I$89,3,0)*VLOOKUP('Données projet'!$B$10,Paramètres!$A$1:$I$89,5,0)</f>
        <v>169.45141199999998</v>
      </c>
      <c r="AK55" s="13">
        <f t="shared" si="35"/>
        <v>42.967135019238462</v>
      </c>
      <c r="AL55" s="20">
        <f t="shared" si="4"/>
        <v>369.96230272517363</v>
      </c>
      <c r="AM55" s="59">
        <f t="shared" si="5"/>
        <v>663.29563605850694</v>
      </c>
      <c r="AN55" s="59">
        <f ca="1">AVERAGE(OFFSET($AM$3,0,0,'Données projet'!$E$10+1,1))-AVERAGE(OFFSET($H$3,0,0,'Données projet'!$E$10+1,1))</f>
        <v>449.28947235329758</v>
      </c>
      <c r="AO55" s="59">
        <f t="shared" si="36"/>
        <v>289.36994109443964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44.400000000000006</v>
      </c>
      <c r="AR55" s="16">
        <f>IF(ISNA(VLOOKUP(A55,'Données projet'!$A$61:$I$81,5,0)),0%,VLOOKUP(A55,'Données projet'!$A$61:$I$81,5,0)*VLOOKUP('Données projet'!$B$10,Paramètres!$A$1:$I$89,7,0))</f>
        <v>0.15049999999999999</v>
      </c>
      <c r="AS55" s="16">
        <f>IF(ISNA(VLOOKUP(A55,'Données projet'!$A$61:$I$81,6,0)),0%,VLOOKUP(A55,'Données projet'!$A$61:$I$81,6,0)*VLOOKUP('Données projet'!$B$10,Paramètres!$A$1:$I$89,7,0))</f>
        <v>8.6000000000000007E-2</v>
      </c>
      <c r="AT55" s="16">
        <f>IF(ISNA(VLOOKUP(A55,'Données projet'!$A$61:$I$81,7,0)),0%,VLOOKUP(A55,'Données projet'!$A$61:$I$81,7,0))</f>
        <v>0.1</v>
      </c>
      <c r="AU55" s="21">
        <f>EXP(-LN(2)/35)*AU54+(1-EXP(-LN(2)/35))/(LN(2)/35)*AQ55*AR55*VLOOKUP('Données projet'!$B$10,Paramètres!$A$1:$I$89,3,0)*0.475*44/12</f>
        <v>7.0294446202815104</v>
      </c>
      <c r="AV55" s="21">
        <f>EXP(-LN(2)/25)*AV54+(1-EXP(-LN(2)/25))/(LN(2)/25)*Calculateur!AQ55*Calculateur!AS55*VLOOKUP('Données projet'!$B$10,Paramètres!$A$1:$I$89,3,0)*0.475*44/12</f>
        <v>33.875790722259239</v>
      </c>
      <c r="AW55" s="21">
        <f>EXP(-LN(2)/2)*AW54+(1-EXP(-LN(2)/2))/(LN(2)/2)*AQ55*AT55*VLOOKUP('Données projet'!$B$10,Paramètres!$A$1:$I$89,3,0)*0.475*44/12</f>
        <v>4.7486122180660786</v>
      </c>
      <c r="AX55" s="21">
        <f t="shared" si="6"/>
        <v>45.653847560606827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173.28503400000019</v>
      </c>
      <c r="BF55" s="13">
        <f t="shared" si="37"/>
        <v>43.82494037101592</v>
      </c>
      <c r="BG55" s="20">
        <f t="shared" si="7"/>
        <v>378.133205362853</v>
      </c>
      <c r="BH55" s="59">
        <f t="shared" si="8"/>
        <v>671.46653869618626</v>
      </c>
      <c r="BI55" s="59">
        <f ca="1">AVERAGE(OFFSET($BH$3,0,0,'Données projet'!$E$11+1,1))-AVERAGE(OFFSET($H$3,0,0,'Données projet'!$E$11+1,1))</f>
        <v>635.71275911100679</v>
      </c>
      <c r="BJ55" s="59">
        <f t="shared" si="38"/>
        <v>281.7776857269169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23.732718193951328</v>
      </c>
      <c r="BR55" s="21">
        <f>EXP(-LN(2)/2)*BR54+(1-EXP(-LN(2)/2))/(LN(2)/2)*BL55*BO55*VLOOKUP('Données projet'!$B$11,Paramètres!$A$1:$I$89,3,0)*0.475*44/12</f>
        <v>3.4422911795556046</v>
      </c>
      <c r="BS55" s="22">
        <f t="shared" si="9"/>
        <v>27.175009373506931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3.3603333333333336</v>
      </c>
      <c r="BY55" s="12">
        <f>IF('Données projet'!$A$114&gt;35,BY54+BX55-CG54,IF(A55&lt;'Données projet'!$A$114,$BV$205^A55,IF(A55='Données projet'!$A$114,'Données projet'!$B$114,BY54+BX55-CG54)))</f>
        <v>174.73733333333325</v>
      </c>
      <c r="BZ55" s="13">
        <f>BY55*VLOOKUP('Données projet'!$B$12,Paramètres!$A$1:$I$89,3,0)*VLOOKUP('Données projet'!$B$12,Paramètres!$A$1:$I$89,5,0)</f>
        <v>198.99087519999992</v>
      </c>
      <c r="CA55" s="13">
        <f t="shared" si="39"/>
        <v>49.522327389469048</v>
      </c>
      <c r="CB55" s="20">
        <f t="shared" si="10"/>
        <v>432.82716117665836</v>
      </c>
      <c r="CC55" s="59">
        <f t="shared" si="11"/>
        <v>726.16049450999162</v>
      </c>
      <c r="CD55" s="59">
        <f ca="1">AVERAGE(OFFSET($CC$3,0,0,'Données projet'!$E$12+1,1))-AVERAGE(OFFSET($H$3,0,0,'Données projet'!$E$12+1,1))</f>
        <v>593.28343396240075</v>
      </c>
      <c r="CE55" s="59">
        <f t="shared" si="40"/>
        <v>289.66477662068695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4.3589743589743595</v>
      </c>
      <c r="CT55" s="12">
        <f>IF('Données projet'!$A$140&gt;35,CT54+CS55-DB54,IF(A55&lt;'Données projet'!$A$140,$CQ$205^A55,IF(A55='Données projet'!$A$140,'Données projet'!$B$140,CT54+CS55-DB54)))</f>
        <v>124.74358974358978</v>
      </c>
      <c r="CU55" s="17">
        <f>CT55*VLOOKUP('Données projet'!$B$13,Paramètres!$A$1:$I$89,3,0)*VLOOKUP('Données projet'!$B$13,Paramètres!$A$1:$I$89,5,0)</f>
        <v>130.38200000000003</v>
      </c>
      <c r="CV55" s="13">
        <f t="shared" si="41"/>
        <v>34.084613237409293</v>
      </c>
      <c r="CW55" s="20">
        <f t="shared" si="13"/>
        <v>286.44601805515452</v>
      </c>
      <c r="CX55" s="59">
        <f t="shared" si="14"/>
        <v>579.77935138848784</v>
      </c>
      <c r="CY55" s="59">
        <f ca="1">AVERAGE(OFFSET($CX$3,0,0,'Données projet'!$E$13+1,1))-AVERAGE(OFFSET($H$3,0,0,'Données projet'!$E$13+1,1))</f>
        <v>260.65406541614402</v>
      </c>
      <c r="CZ55" s="59">
        <f t="shared" si="42"/>
        <v>277.63456890196886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0.85712998040539412</v>
      </c>
      <c r="DG55" s="21">
        <f>EXP(-LN(2)/25)*DG54+(1-EXP(-LN(2)/25))/(LN(2)/25)*Calculateur!DB55*Calculateur!DD55*VLOOKUP('Données projet'!$B$13,Paramètres!$A$1:$I$89,3,0)*0.475*44/12</f>
        <v>24.799229593984112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25.656359574389505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4.1025641025641049</v>
      </c>
      <c r="DO55" s="12">
        <f>IF('Données projet'!$A$166&gt;35,DO54+DN55-DW54,IF(A55&lt;'Données projet'!$A$166,$DL$205^A55,IF(A55='Données projet'!$A$166,'Données projet'!$B$166,DO54+DN55-DW54)))</f>
        <v>130.64102564102564</v>
      </c>
      <c r="DP55" s="17">
        <f>DO55*VLOOKUP('Données projet'!$B$14,Paramètres!$A$1:$I$89,3,0)*VLOOKUP('Données projet'!$B$14,Paramètres!$A$1:$I$89,5,0)</f>
        <v>85.596000000000004</v>
      </c>
      <c r="DQ55" s="13">
        <f t="shared" si="43"/>
        <v>23.500004802338811</v>
      </c>
      <c r="DR55" s="20">
        <f t="shared" si="16"/>
        <v>190.00887503074011</v>
      </c>
      <c r="DS55" s="59">
        <f t="shared" si="17"/>
        <v>483.34220836407343</v>
      </c>
      <c r="DT55" s="59">
        <f ca="1">AVERAGE(OFFSET($DS$3,0,0,'Données projet'!$E$14+1,1))-AVERAGE(OFFSET($H$3,0,0,'Données projet'!$E$14+1,1))</f>
        <v>181.4272795535777</v>
      </c>
      <c r="DU55" s="59">
        <f t="shared" si="44"/>
        <v>187.67131775419904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5.2260290704450361</v>
      </c>
      <c r="EC55" s="21">
        <f>EXP(-LN(2)/2)*EC54+(1-EXP(-LN(2)/2))/(LN(2)/2)*DW55*DZ55*VLOOKUP('Données projet'!$B$14,Paramètres!$A$1:$I$89,3,0)*0.475*44/12</f>
        <v>1.4546093807943314</v>
      </c>
      <c r="ED55" s="22">
        <f t="shared" si="18"/>
        <v>6.6806384512393677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1.1368683772161603E-13</v>
      </c>
      <c r="EK55" s="17">
        <f>EJ55*VLOOKUP('Données projet'!$B$15,Paramètres!$A$1:$I$89,3,0)*VLOOKUP('Données projet'!$B$15,Paramètres!$A$1:$I$89,5,0)</f>
        <v>9.2222762759774927E-14</v>
      </c>
      <c r="EL55" s="13">
        <f t="shared" si="45"/>
        <v>1.3985662224947967E-12</v>
      </c>
      <c r="EM55" s="20">
        <f t="shared" si="19"/>
        <v>2.5964574826517121E-12</v>
      </c>
      <c r="EN55" s="59">
        <f t="shared" si="20"/>
        <v>293.33333333333593</v>
      </c>
      <c r="EO55" s="59">
        <f ca="1">AVERAGE(OFFSET($EN$3,0,0,'Données projet'!$E$15+1,1))-AVERAGE(OFFSET($H$3,0,0,'Données projet'!$E$15+1,1))</f>
        <v>159.68591355116837</v>
      </c>
      <c r="EP55" s="59">
        <f t="shared" si="46"/>
        <v>284.32631786390112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11.499014907997015</v>
      </c>
      <c r="EW55" s="21">
        <f>EXP(-LN(2)/25)*EW54+(1-EXP(-LN(2)/25))/(LN(2)/25)*Calculateur!ER55*Calculateur!ET55*VLOOKUP('Données projet'!$B$15,Paramètres!$A$1:$I$89,3,0)*0.475*44/12</f>
        <v>13.852026603944909</v>
      </c>
      <c r="EX55" s="21">
        <f>EXP(-LN(2)/2)*EX54+(1-EXP(-LN(2)/2))/(LN(2)/2)*ER55*EU55*VLOOKUP('Données projet'!$B$15,Paramètres!$A$1:$I$89,3,0)*0.475*44/12</f>
        <v>0.45597053741899718</v>
      </c>
      <c r="EY55" s="22">
        <f t="shared" si="21"/>
        <v>25.807012049360921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</v>
      </c>
      <c r="FE55" s="12">
        <f>IF('Données projet'!$A$218&gt;35,FE54+FD55-FM54,IF(A55&lt;'Données projet'!$A$218,$FB$205^A55,IF(A55='Données projet'!$A$218,'Données projet'!$B$218,FE54+FD55-FM54)))</f>
        <v>213.99999999999989</v>
      </c>
      <c r="FF55" s="17">
        <f>FE55*VLOOKUP('Données projet'!$B$16,Paramètres!$A$1:$I$89,3,0)*VLOOKUP('Données projet'!$B$16,Paramètres!$A$1:$I$89,5,0)</f>
        <v>170.25839999999991</v>
      </c>
      <c r="FG55" s="13">
        <f t="shared" si="47"/>
        <v>43.147891472685018</v>
      </c>
      <c r="FH55" s="20">
        <f t="shared" si="22"/>
        <v>371.68262431492622</v>
      </c>
      <c r="FI55" s="59">
        <f t="shared" si="23"/>
        <v>665.01595764825947</v>
      </c>
      <c r="FJ55" s="59">
        <f ca="1">AVERAGE(OFFSET($FI$3,0,0,'Données projet'!$E$16+1,1))-AVERAGE(OFFSET($H$3,0,0,'Données projet'!$E$16+1,1))</f>
        <v>299.10536994156814</v>
      </c>
      <c r="FK55" s="59">
        <f t="shared" si="48"/>
        <v>292.57799203101769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6.7088621809944966</v>
      </c>
      <c r="FR55" s="21">
        <f>EXP(-LN(2)/25)*FR54+(1-EXP(-LN(2)/25))/(LN(2)/25)*Calculateur!FM55*Calculateur!FO55*VLOOKUP('Données projet'!$B$16,Paramètres!$A$1:$I$89,3,0)*0.475*44/12</f>
        <v>13.594962345502559</v>
      </c>
      <c r="FS55" s="21">
        <f>EXP(-LN(2)/2)*FS54+(1-EXP(-LN(2)/2))/(LN(2)/2)*FM55*FP55*VLOOKUP('Données projet'!$B$16,Paramètres!$A$1:$I$89,3,0)*0.475*44/12</f>
        <v>2.0598272382075553</v>
      </c>
      <c r="FT55" s="22">
        <f t="shared" si="24"/>
        <v>22.363651764704613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5.6843418860808015E-14</v>
      </c>
      <c r="GA55" s="17">
        <f>FZ55*VLOOKUP('Données projet'!$B$17,Paramètres!$A$1:$I$89,3,0)*VLOOKUP('Données projet'!$B$17,Paramètres!$A$1:$I$89,5,0)</f>
        <v>5.1431925385259088E-14</v>
      </c>
      <c r="GB55" s="13">
        <f t="shared" si="49"/>
        <v>8.3482866290946129E-13</v>
      </c>
      <c r="GC55" s="20">
        <f t="shared" si="25"/>
        <v>1.5435705246133045E-12</v>
      </c>
      <c r="GD55" s="59">
        <f t="shared" si="26"/>
        <v>293.33333333333485</v>
      </c>
      <c r="GE55" s="59">
        <f ca="1">AVERAGE(OFFSET($GD$3,0,0,'Données projet'!$E$17+1,1))-AVERAGE(OFFSET($H$3,0,0,'Données projet'!$E$17+1,1))</f>
        <v>204.78565758021779</v>
      </c>
      <c r="GF55" s="59">
        <f t="shared" si="50"/>
        <v>287.25131613242439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13.588653726458592</v>
      </c>
      <c r="GM55" s="21">
        <f>EXP(-LN(2)/25)*GM54+(1-EXP(-LN(2)/25))/(LN(2)/25)*Calculateur!GH55*Calculateur!GJ55*VLOOKUP('Données projet'!$B$17,Paramètres!$A$1:$I$89,3,0)*0.475*44/12</f>
        <v>10.885404711268587</v>
      </c>
      <c r="GN55" s="21">
        <f>EXP(-LN(2)/2)*GN54+(1-EXP(-LN(2)/2))/(LN(2)/2)*GH55*GK55*VLOOKUP('Données projet'!$B$17,Paramètres!$A$1:$I$89,3,0)*0.475*44/12</f>
        <v>1.2189274087369193</v>
      </c>
      <c r="GO55" s="21">
        <f t="shared" si="27"/>
        <v>25.692985846464101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>
        <f>VLOOKUP(A55,'Données projet'!$A$269:$I$289,2,0)</f>
        <v>270</v>
      </c>
      <c r="GS55" s="12">
        <f>VLOOKUP(A55,'Données projet'!$A$269:$I$289,9,0)</f>
        <v>10.375</v>
      </c>
      <c r="GT55" s="12">
        <f t="array" ref="GT55">INDEX(GS:GS,MIN(IF(ISNUMBER(GS55:GS251),ROW(GS55:GS251),"")))</f>
        <v>10.375</v>
      </c>
      <c r="GU55" s="12">
        <f>IF('Données projet'!$A$270&gt;35,GU54+GT55-HC54,IF(A55&lt;'Données projet'!$A$270,$GR$205^A55,IF(A55='Données projet'!$A$270,'Données projet'!$B$270,GU54+GT55-HC54)))</f>
        <v>269.99999999999989</v>
      </c>
      <c r="GV55" s="17">
        <f>GU55*VLOOKUP('Données projet'!$B$18,Paramètres!$A$1:$I$89,3,0)*VLOOKUP('Données projet'!$B$18,Paramètres!$A$1:$I$89,5,0)</f>
        <v>210.59999999999991</v>
      </c>
      <c r="GW55" s="13">
        <f t="shared" si="51"/>
        <v>52.066679014659961</v>
      </c>
      <c r="GX55" s="20">
        <f t="shared" si="28"/>
        <v>457.47779928386586</v>
      </c>
      <c r="GY55" s="59">
        <f t="shared" si="29"/>
        <v>750.81113261719918</v>
      </c>
      <c r="GZ55" s="59">
        <f ca="1">AVERAGE(OFFSET($GY$3,0,0,'Données projet'!$E$18+1,1))-AVERAGE(OFFSET($H$3,0,0,'Données projet'!$E$18+1,1))</f>
        <v>288.82868507674738</v>
      </c>
      <c r="HA55" s="59">
        <f t="shared" si="52"/>
        <v>283.48738729114024</v>
      </c>
      <c r="HB55" s="15">
        <f>IF(ISNA(VLOOKUP(A55,'Données projet'!$A$269:$I$289,3,0)),0,VLOOKUP(A55,'Données projet'!$A$269:$I$289,3,0))</f>
        <v>7</v>
      </c>
      <c r="HC55" s="15">
        <f>IF(ISNA(VLOOKUP(A55,'Données projet'!$A$269:$I$289,4,0)),0,VLOOKUP(A55,'Données projet'!$A$269:$I$289,4,0))</f>
        <v>48</v>
      </c>
      <c r="HD55" s="16">
        <f>IF(ISNA(VLOOKUP(A55,'Données projet'!$A$269:$I$289,5,0)),0%,VLOOKUP(A55,'Données projet'!$A$269:$I$289,5,0)*VLOOKUP('Données projet'!$B$18,Paramètres!$A$1:$I$89,7,0))</f>
        <v>0.1075</v>
      </c>
      <c r="HE55" s="16">
        <f>IF(ISNA(VLOOKUP(A55,'Données projet'!$A$269:$I$289,6,0)),0%,VLOOKUP(A55,'Données projet'!$A$269:$I$289,6,0)*VLOOKUP('Données projet'!$B$18,Paramètres!$A$1:$I$89,7,0))</f>
        <v>0.1075</v>
      </c>
      <c r="HF55" s="16">
        <f>IF(ISNA(VLOOKUP(A55,'Données projet'!$A$269:$I$289,7,0)),0%,VLOOKUP(A55,'Données projet'!$A$269:$I$289,7,0))</f>
        <v>0.25</v>
      </c>
      <c r="HG55" s="21">
        <f>EXP(-LN(2)/35)*HG54+(1-EXP(-LN(2)/35))/(LN(2)/35)*HC55*HD55*VLOOKUP('Données projet'!$B$18,Paramètres!$A$1:$I$89,3,0)*0.475*44/12</f>
        <v>12.532063070716259</v>
      </c>
      <c r="HH55" s="21">
        <f>EXP(-LN(2)/25)*HH54+(1-EXP(-LN(2)/25))/(LN(2)/25)*Calculateur!HC55*Calculateur!HE55*VLOOKUP('Données projet'!$B$18,Paramètres!$A$1:$I$89,3,0)*0.475*44/12</f>
        <v>13.890897428830943</v>
      </c>
      <c r="HI55" s="21">
        <f>EXP(-LN(2)/2)*HI54+(1-EXP(-LN(2)/2))/(LN(2)/2)*HC55*HF55*VLOOKUP('Données projet'!$B$18,Paramètres!$A$1:$I$89,3,0)*0.475*44/12</f>
        <v>9.3675435938706659</v>
      </c>
      <c r="HJ55" s="22">
        <f t="shared" si="30"/>
        <v>35.790504093417866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14.113999999999999</v>
      </c>
      <c r="N56" s="13">
        <f>IF('Données projet'!$A$36&gt;35,N55+M56-V55,IF(A56&lt;'Données projet'!$A$36,$K$205^A56,IF(A56='Données projet'!$A$36,'Données projet'!$B$36,N55+M56-V55)))</f>
        <v>342.142</v>
      </c>
      <c r="O56" s="13">
        <f>N56*VLOOKUP('Données projet'!$B$9,Paramètres!$A$1:$I$89,3,0)*VLOOKUP('Données projet'!$B$9,Paramètres!$A$1:$I$89,5,0)</f>
        <v>204.60091600000001</v>
      </c>
      <c r="P56" s="13">
        <f t="shared" si="33"/>
        <v>50.753967472357871</v>
      </c>
      <c r="Q56" s="20">
        <f t="shared" si="53"/>
        <v>444.74308871435665</v>
      </c>
      <c r="R56" s="59">
        <f t="shared" si="0"/>
        <v>738.0764220476899</v>
      </c>
      <c r="S56" s="59">
        <f ca="1">AVERAGE(OFFSET($R$3,0,0,'Données projet'!$E$9+1,1))-AVERAGE(OFFSET($H$3,0,0,'Données projet'!$E$9+1,1))</f>
        <v>349.71285006949597</v>
      </c>
      <c r="T56" s="59">
        <f t="shared" si="34"/>
        <v>258.51550516456842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33.951995455051254</v>
      </c>
      <c r="AA56" s="21">
        <f>EXP(-LN(2)/25)*AA55+(1-EXP(-LN(2)/25))/(LN(2)/25)*Calculateur!V56*Calculateur!X56*VLOOKUP('Données projet'!$B$9,Paramètres!$A$1:$I$89,3,0)*0.475*44/12</f>
        <v>17.444369081610589</v>
      </c>
      <c r="AB56" s="21">
        <f>EXP(-LN(2)/2)*AB55+(1-EXP(-LN(2)/2))/(LN(2)/2)*V56*Y56*VLOOKUP('Données projet'!$B$9,Paramètres!$A$1:$I$89,3,0)*0.475*44/12</f>
        <v>3.5282462043867304</v>
      </c>
      <c r="AC56" s="22">
        <f t="shared" si="3"/>
        <v>54.924610741048575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9.8828571428571443</v>
      </c>
      <c r="AI56" s="13">
        <f>IF('Données projet'!$A$62&gt;35,AI55+AH56-AQ55,IF(A56&lt;'Données projet'!$A$62,$AF$205^A56,IF(A56='Données projet'!$A$62,'Données projet'!$B$62,AI55+AH56-AQ55)))</f>
        <v>143.55285714285711</v>
      </c>
      <c r="AJ56" s="13">
        <f>AI56*VLOOKUP('Données projet'!$B$10,Paramètres!$A$1:$I$89,3,0)*VLOOKUP('Données projet'!$B$10,Paramètres!$A$1:$I$89,5,0)</f>
        <v>136.60489885714281</v>
      </c>
      <c r="AK56" s="13">
        <f t="shared" si="35"/>
        <v>35.518127724762081</v>
      </c>
      <c r="AL56" s="20">
        <f t="shared" si="4"/>
        <v>299.78093796348435</v>
      </c>
      <c r="AM56" s="59">
        <f t="shared" si="5"/>
        <v>593.11427129681761</v>
      </c>
      <c r="AN56" s="59">
        <f ca="1">AVERAGE(OFFSET($AM$3,0,0,'Données projet'!$E$10+1,1))-AVERAGE(OFFSET($H$3,0,0,'Données projet'!$E$10+1,1))</f>
        <v>449.28947235329758</v>
      </c>
      <c r="AO56" s="59">
        <f t="shared" si="36"/>
        <v>289.36994109443964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6.8916014988156489</v>
      </c>
      <c r="AV56" s="21">
        <f>EXP(-LN(2)/25)*AV55+(1-EXP(-LN(2)/25))/(LN(2)/25)*Calculateur!AQ56*Calculateur!AS56*VLOOKUP('Données projet'!$B$10,Paramètres!$A$1:$I$89,3,0)*0.475*44/12</f>
        <v>32.949455443508647</v>
      </c>
      <c r="AW56" s="21">
        <f>EXP(-LN(2)/2)*AW55+(1-EXP(-LN(2)/2))/(LN(2)/2)*AQ56*AT56*VLOOKUP('Données projet'!$B$10,Paramètres!$A$1:$I$89,3,0)*0.475*44/12</f>
        <v>3.3577759006198171</v>
      </c>
      <c r="AX56" s="21">
        <f t="shared" si="6"/>
        <v>43.198832842944114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182.66215500000018</v>
      </c>
      <c r="BF56" s="13">
        <f t="shared" si="37"/>
        <v>45.913959577546748</v>
      </c>
      <c r="BG56" s="20">
        <f t="shared" si="7"/>
        <v>398.10339955589421</v>
      </c>
      <c r="BH56" s="59">
        <f t="shared" si="8"/>
        <v>691.43673288922753</v>
      </c>
      <c r="BI56" s="59">
        <f ca="1">AVERAGE(OFFSET($BH$3,0,0,'Données projet'!$E$11+1,1))-AVERAGE(OFFSET($H$3,0,0,'Données projet'!$E$11+1,1))</f>
        <v>635.71275911100679</v>
      </c>
      <c r="BJ56" s="59">
        <f t="shared" si="38"/>
        <v>281.7776857269169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23.08374576688832</v>
      </c>
      <c r="BR56" s="21">
        <f>EXP(-LN(2)/2)*BR55+(1-EXP(-LN(2)/2))/(LN(2)/2)*BL56*BO56*VLOOKUP('Données projet'!$B$11,Paramètres!$A$1:$I$89,3,0)*0.475*44/12</f>
        <v>2.4340674358824077</v>
      </c>
      <c r="BS56" s="22">
        <f t="shared" si="9"/>
        <v>25.517813202770729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3.3603333333333336</v>
      </c>
      <c r="BY56" s="12">
        <f>IF('Données projet'!$A$114&gt;35,BY55+BX56-CG55,IF(A56&lt;'Données projet'!$A$114,$BV$205^A56,IF(A56='Données projet'!$A$114,'Données projet'!$B$114,BY55+BX56-CG55)))</f>
        <v>178.09766666666658</v>
      </c>
      <c r="BZ56" s="13">
        <f>BY56*VLOOKUP('Données projet'!$B$12,Paramètres!$A$1:$I$89,3,0)*VLOOKUP('Données projet'!$B$12,Paramètres!$A$1:$I$89,5,0)</f>
        <v>202.8176227999999</v>
      </c>
      <c r="CA56" s="13">
        <f t="shared" si="39"/>
        <v>50.362890855317765</v>
      </c>
      <c r="CB56" s="20">
        <f t="shared" si="10"/>
        <v>440.95606128301159</v>
      </c>
      <c r="CC56" s="59">
        <f t="shared" si="11"/>
        <v>734.28939461634491</v>
      </c>
      <c r="CD56" s="59">
        <f ca="1">AVERAGE(OFFSET($CC$3,0,0,'Données projet'!$E$12+1,1))-AVERAGE(OFFSET($H$3,0,0,'Données projet'!$E$12+1,1))</f>
        <v>593.28343396240075</v>
      </c>
      <c r="CE56" s="59">
        <f t="shared" si="40"/>
        <v>289.66477662068695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4.3589743589743595</v>
      </c>
      <c r="CT56" s="12">
        <f>IF('Données projet'!$A$140&gt;35,CT55+CS56-DB55,IF(A56&lt;'Données projet'!$A$140,$CQ$205^A56,IF(A56='Données projet'!$A$140,'Données projet'!$B$140,CT55+CS56-DB55)))</f>
        <v>129.10256410256414</v>
      </c>
      <c r="CU56" s="17">
        <f>CT56*VLOOKUP('Données projet'!$B$13,Paramètres!$A$1:$I$89,3,0)*VLOOKUP('Données projet'!$B$13,Paramètres!$A$1:$I$89,5,0)</f>
        <v>134.93800000000005</v>
      </c>
      <c r="CV56" s="13">
        <f t="shared" si="41"/>
        <v>35.134898631805335</v>
      </c>
      <c r="CW56" s="20">
        <f t="shared" si="13"/>
        <v>296.2102984503943</v>
      </c>
      <c r="CX56" s="59">
        <f t="shared" si="14"/>
        <v>589.54363178372762</v>
      </c>
      <c r="CY56" s="59">
        <f ca="1">AVERAGE(OFFSET($CX$3,0,0,'Données projet'!$E$13+1,1))-AVERAGE(OFFSET($H$3,0,0,'Données projet'!$E$13+1,1))</f>
        <v>260.65406541614402</v>
      </c>
      <c r="CZ56" s="59">
        <f t="shared" si="42"/>
        <v>277.63456890196886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0.84032218428731043</v>
      </c>
      <c r="DG56" s="21">
        <f>EXP(-LN(2)/25)*DG55+(1-EXP(-LN(2)/25))/(LN(2)/25)*Calculateur!DB56*Calculateur!DD56*VLOOKUP('Données projet'!$B$13,Paramètres!$A$1:$I$89,3,0)*0.475*44/12</f>
        <v>24.121093356601811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24.961415540889121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4.1025641025641049</v>
      </c>
      <c r="DO56" s="12">
        <f>IF('Données projet'!$A$166&gt;35,DO55+DN56-DW55,IF(A56&lt;'Données projet'!$A$166,$DL$205^A56,IF(A56='Données projet'!$A$166,'Données projet'!$B$166,DO55+DN56-DW55)))</f>
        <v>134.74358974358975</v>
      </c>
      <c r="DP56" s="17">
        <f>DO56*VLOOKUP('Données projet'!$B$14,Paramètres!$A$1:$I$89,3,0)*VLOOKUP('Données projet'!$B$14,Paramètres!$A$1:$I$89,5,0)</f>
        <v>88.284000000000006</v>
      </c>
      <c r="DQ56" s="13">
        <f t="shared" si="43"/>
        <v>24.150904573487356</v>
      </c>
      <c r="DR56" s="20">
        <f t="shared" si="16"/>
        <v>195.82412546549048</v>
      </c>
      <c r="DS56" s="59">
        <f t="shared" si="17"/>
        <v>489.15745879882377</v>
      </c>
      <c r="DT56" s="59">
        <f ca="1">AVERAGE(OFFSET($DS$3,0,0,'Données projet'!$E$14+1,1))-AVERAGE(OFFSET($H$3,0,0,'Données projet'!$E$14+1,1))</f>
        <v>181.4272795535777</v>
      </c>
      <c r="DU56" s="59">
        <f t="shared" si="44"/>
        <v>187.67131775419904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5.0831230306887916</v>
      </c>
      <c r="EC56" s="21">
        <f>EXP(-LN(2)/2)*EC55+(1-EXP(-LN(2)/2))/(LN(2)/2)*DW56*DZ56*VLOOKUP('Données projet'!$B$14,Paramètres!$A$1:$I$89,3,0)*0.475*44/12</f>
        <v>1.0285641571372368</v>
      </c>
      <c r="ED56" s="22">
        <f t="shared" si="18"/>
        <v>6.1116871878260284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1.1368683772161603E-13</v>
      </c>
      <c r="EK56" s="17">
        <f>EJ56*VLOOKUP('Données projet'!$B$15,Paramètres!$A$1:$I$89,3,0)*VLOOKUP('Données projet'!$B$15,Paramètres!$A$1:$I$89,5,0)</f>
        <v>9.2222762759774927E-14</v>
      </c>
      <c r="EL56" s="13">
        <f t="shared" si="45"/>
        <v>1.3985662224947967E-12</v>
      </c>
      <c r="EM56" s="20">
        <f t="shared" si="19"/>
        <v>2.5964574826517121E-12</v>
      </c>
      <c r="EN56" s="59">
        <f t="shared" si="20"/>
        <v>293.33333333333593</v>
      </c>
      <c r="EO56" s="59">
        <f ca="1">AVERAGE(OFFSET($EN$3,0,0,'Données projet'!$E$15+1,1))-AVERAGE(OFFSET($H$3,0,0,'Données projet'!$E$15+1,1))</f>
        <v>159.68591355116837</v>
      </c>
      <c r="EP56" s="59">
        <f t="shared" si="46"/>
        <v>284.32631786390112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11.273526239357741</v>
      </c>
      <c r="EW56" s="21">
        <f>EXP(-LN(2)/25)*EW55+(1-EXP(-LN(2)/25))/(LN(2)/25)*Calculateur!ER56*Calculateur!ET56*VLOOKUP('Données projet'!$B$15,Paramètres!$A$1:$I$89,3,0)*0.475*44/12</f>
        <v>13.473242208013616</v>
      </c>
      <c r="EX56" s="21">
        <f>EXP(-LN(2)/2)*EX55+(1-EXP(-LN(2)/2))/(LN(2)/2)*ER56*EU56*VLOOKUP('Données projet'!$B$15,Paramètres!$A$1:$I$89,3,0)*0.475*44/12</f>
        <v>0.32241985903024734</v>
      </c>
      <c r="EY56" s="22">
        <f t="shared" si="21"/>
        <v>25.069188306401607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</v>
      </c>
      <c r="FE56" s="12">
        <f>IF('Données projet'!$A$218&gt;35,FE55+FD56-FM55,IF(A56&lt;'Données projet'!$A$218,$FB$205^A56,IF(A56='Données projet'!$A$218,'Données projet'!$B$218,FE55+FD56-FM55)))</f>
        <v>219.99999999999989</v>
      </c>
      <c r="FF56" s="17">
        <f>FE56*VLOOKUP('Données projet'!$B$16,Paramètres!$A$1:$I$89,3,0)*VLOOKUP('Données projet'!$B$16,Paramètres!$A$1:$I$89,5,0)</f>
        <v>175.03199999999993</v>
      </c>
      <c r="FG56" s="13">
        <f t="shared" si="47"/>
        <v>44.215103743191008</v>
      </c>
      <c r="FH56" s="20">
        <f t="shared" si="22"/>
        <v>381.85537235272426</v>
      </c>
      <c r="FI56" s="59">
        <f t="shared" si="23"/>
        <v>675.18870568605757</v>
      </c>
      <c r="FJ56" s="59">
        <f ca="1">AVERAGE(OFFSET($FI$3,0,0,'Données projet'!$E$16+1,1))-AVERAGE(OFFSET($H$3,0,0,'Données projet'!$E$16+1,1))</f>
        <v>299.10536994156814</v>
      </c>
      <c r="FK56" s="59">
        <f t="shared" si="48"/>
        <v>292.57799203101769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6.5773054856270736</v>
      </c>
      <c r="FR56" s="21">
        <f>EXP(-LN(2)/25)*FR55+(1-EXP(-LN(2)/25))/(LN(2)/25)*Calculateur!FM56*Calculateur!FO56*VLOOKUP('Données projet'!$B$16,Paramètres!$A$1:$I$89,3,0)*0.475*44/12</f>
        <v>13.223207385236794</v>
      </c>
      <c r="FS56" s="21">
        <f>EXP(-LN(2)/2)*FS55+(1-EXP(-LN(2)/2))/(LN(2)/2)*FM56*FP56*VLOOKUP('Données projet'!$B$16,Paramètres!$A$1:$I$89,3,0)*0.475*44/12</f>
        <v>1.4565178082093204</v>
      </c>
      <c r="FT56" s="22">
        <f t="shared" si="24"/>
        <v>21.257030679073189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5.6843418860808015E-14</v>
      </c>
      <c r="GA56" s="17">
        <f>FZ56*VLOOKUP('Données projet'!$B$17,Paramètres!$A$1:$I$89,3,0)*VLOOKUP('Données projet'!$B$17,Paramètres!$A$1:$I$89,5,0)</f>
        <v>5.1431925385259088E-14</v>
      </c>
      <c r="GB56" s="13">
        <f t="shared" si="49"/>
        <v>8.3482866290946129E-13</v>
      </c>
      <c r="GC56" s="20">
        <f t="shared" si="25"/>
        <v>1.5435705246133045E-12</v>
      </c>
      <c r="GD56" s="59">
        <f t="shared" si="26"/>
        <v>293.33333333333485</v>
      </c>
      <c r="GE56" s="59">
        <f ca="1">AVERAGE(OFFSET($GD$3,0,0,'Données projet'!$E$17+1,1))-AVERAGE(OFFSET($H$3,0,0,'Données projet'!$E$17+1,1))</f>
        <v>204.78565758021779</v>
      </c>
      <c r="GF56" s="59">
        <f t="shared" si="50"/>
        <v>287.25131613242439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13.322188515143115</v>
      </c>
      <c r="GM56" s="21">
        <f>EXP(-LN(2)/25)*GM55+(1-EXP(-LN(2)/25))/(LN(2)/25)*Calculateur!GH56*Calculateur!GJ56*VLOOKUP('Données projet'!$B$17,Paramètres!$A$1:$I$89,3,0)*0.475*44/12</f>
        <v>10.587742747000393</v>
      </c>
      <c r="GN56" s="21">
        <f>EXP(-LN(2)/2)*GN55+(1-EXP(-LN(2)/2))/(LN(2)/2)*GH56*GK56*VLOOKUP('Données projet'!$B$17,Paramètres!$A$1:$I$89,3,0)*0.475*44/12</f>
        <v>0.86191183649202219</v>
      </c>
      <c r="GO56" s="21">
        <f t="shared" si="27"/>
        <v>24.771843098635532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9.375</v>
      </c>
      <c r="GU56" s="12">
        <f>IF('Données projet'!$A$270&gt;35,GU55+GT56-HC55,IF(A56&lt;'Données projet'!$A$270,$GR$205^A56,IF(A56='Données projet'!$A$270,'Données projet'!$B$270,GU55+GT56-HC55)))</f>
        <v>231.37499999999989</v>
      </c>
      <c r="GV56" s="17">
        <f>GU56*VLOOKUP('Données projet'!$B$18,Paramètres!$A$1:$I$89,3,0)*VLOOKUP('Données projet'!$B$18,Paramètres!$A$1:$I$89,5,0)</f>
        <v>180.47249999999991</v>
      </c>
      <c r="GW56" s="13">
        <f t="shared" si="51"/>
        <v>45.427292666837829</v>
      </c>
      <c r="GX56" s="20">
        <f t="shared" si="28"/>
        <v>393.44213889474241</v>
      </c>
      <c r="GY56" s="59">
        <f t="shared" si="29"/>
        <v>686.77547222807573</v>
      </c>
      <c r="GZ56" s="59">
        <f ca="1">AVERAGE(OFFSET($GY$3,0,0,'Données projet'!$E$18+1,1))-AVERAGE(OFFSET($H$3,0,0,'Données projet'!$E$18+1,1))</f>
        <v>288.82868507674738</v>
      </c>
      <c r="HA56" s="59">
        <f t="shared" si="52"/>
        <v>283.48738729114024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12.286316957703223</v>
      </c>
      <c r="HH56" s="21">
        <f>EXP(-LN(2)/25)*HH55+(1-EXP(-LN(2)/25))/(LN(2)/25)*Calculateur!HC56*Calculateur!HE56*VLOOKUP('Données projet'!$B$18,Paramètres!$A$1:$I$89,3,0)*0.475*44/12</f>
        <v>13.511050108149012</v>
      </c>
      <c r="HI56" s="21">
        <f>EXP(-LN(2)/2)*HI55+(1-EXP(-LN(2)/2))/(LN(2)/2)*HC56*HF56*VLOOKUP('Données projet'!$B$18,Paramètres!$A$1:$I$89,3,0)*0.475*44/12</f>
        <v>6.6238535982865505</v>
      </c>
      <c r="HJ56" s="22">
        <f t="shared" si="30"/>
        <v>32.421220664138787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14.113999999999999</v>
      </c>
      <c r="N57" s="13">
        <f>IF('Données projet'!$A$36&gt;35,N56+M57-V56,IF(A57&lt;'Données projet'!$A$36,$K$205^A57,IF(A57='Données projet'!$A$36,'Données projet'!$B$36,N56+M57-V56)))</f>
        <v>356.25599999999997</v>
      </c>
      <c r="O57" s="13">
        <f>N57*VLOOKUP('Données projet'!$B$9,Paramètres!$A$1:$I$89,3,0)*VLOOKUP('Données projet'!$B$9,Paramètres!$A$1:$I$89,5,0)</f>
        <v>213.041088</v>
      </c>
      <c r="P57" s="13">
        <f t="shared" si="33"/>
        <v>52.599582837576946</v>
      </c>
      <c r="Q57" s="20">
        <f t="shared" si="53"/>
        <v>462.65750170877988</v>
      </c>
      <c r="R57" s="59">
        <f t="shared" si="0"/>
        <v>755.99083504211319</v>
      </c>
      <c r="S57" s="59">
        <f ca="1">AVERAGE(OFFSET($R$3,0,0,'Données projet'!$E$9+1,1))-AVERAGE(OFFSET($H$3,0,0,'Données projet'!$E$9+1,1))</f>
        <v>349.71285006949597</v>
      </c>
      <c r="T57" s="59">
        <f t="shared" si="34"/>
        <v>258.51550516456842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33.286217532850117</v>
      </c>
      <c r="AA57" s="21">
        <f>EXP(-LN(2)/25)*AA56+(1-EXP(-LN(2)/25))/(LN(2)/25)*Calculateur!V57*Calculateur!X57*VLOOKUP('Données projet'!$B$9,Paramètres!$A$1:$I$89,3,0)*0.475*44/12</f>
        <v>16.967351891714447</v>
      </c>
      <c r="AB57" s="21">
        <f>EXP(-LN(2)/2)*AB56+(1-EXP(-LN(2)/2))/(LN(2)/2)*V57*Y57*VLOOKUP('Données projet'!$B$9,Paramètres!$A$1:$I$89,3,0)*0.475*44/12</f>
        <v>2.4948468168175548</v>
      </c>
      <c r="AC57" s="22">
        <f t="shared" si="3"/>
        <v>52.748416241382117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9.8828571428571443</v>
      </c>
      <c r="AI57" s="13">
        <f>IF('Données projet'!$A$62&gt;35,AI56+AH57-AQ56,IF(A57&lt;'Données projet'!$A$62,$AF$205^A57,IF(A57='Données projet'!$A$62,'Données projet'!$B$62,AI56+AH57-AQ56)))</f>
        <v>153.43571428571425</v>
      </c>
      <c r="AJ57" s="13">
        <f>AI57*VLOOKUP('Données projet'!$B$10,Paramètres!$A$1:$I$89,3,0)*VLOOKUP('Données projet'!$B$10,Paramètres!$A$1:$I$89,5,0)</f>
        <v>146.0094257142857</v>
      </c>
      <c r="AK57" s="13">
        <f t="shared" si="35"/>
        <v>37.670295045235548</v>
      </c>
      <c r="AL57" s="20">
        <f t="shared" si="4"/>
        <v>319.90884698949952</v>
      </c>
      <c r="AM57" s="59">
        <f t="shared" si="5"/>
        <v>613.24218032283284</v>
      </c>
      <c r="AN57" s="59">
        <f ca="1">AVERAGE(OFFSET($AM$3,0,0,'Données projet'!$E$10+1,1))-AVERAGE(OFFSET($H$3,0,0,'Données projet'!$E$10+1,1))</f>
        <v>449.28947235329758</v>
      </c>
      <c r="AO57" s="59">
        <f t="shared" si="36"/>
        <v>289.36994109443964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6.7564613968857312</v>
      </c>
      <c r="AV57" s="21">
        <f>EXP(-LN(2)/25)*AV56+(1-EXP(-LN(2)/25))/(LN(2)/25)*Calculateur!AQ57*Calculateur!AS57*VLOOKUP('Données projet'!$B$10,Paramètres!$A$1:$I$89,3,0)*0.475*44/12</f>
        <v>32.048450851669351</v>
      </c>
      <c r="AW57" s="21">
        <f>EXP(-LN(2)/2)*AW56+(1-EXP(-LN(2)/2))/(LN(2)/2)*AQ57*AT57*VLOOKUP('Données projet'!$B$10,Paramètres!$A$1:$I$89,3,0)*0.475*44/12</f>
        <v>2.3743061090330397</v>
      </c>
      <c r="AX57" s="21">
        <f t="shared" si="6"/>
        <v>41.179218357588127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192.0392760000002</v>
      </c>
      <c r="BF57" s="13">
        <f t="shared" si="37"/>
        <v>47.990527307113453</v>
      </c>
      <c r="BG57" s="20">
        <f t="shared" si="7"/>
        <v>418.05190742655623</v>
      </c>
      <c r="BH57" s="59">
        <f t="shared" si="8"/>
        <v>711.38524075988948</v>
      </c>
      <c r="BI57" s="59">
        <f ca="1">AVERAGE(OFFSET($BH$3,0,0,'Données projet'!$E$11+1,1))-AVERAGE(OFFSET($H$3,0,0,'Données projet'!$E$11+1,1))</f>
        <v>635.71275911100679</v>
      </c>
      <c r="BJ57" s="59">
        <f t="shared" si="38"/>
        <v>281.7776857269169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22.452519524971329</v>
      </c>
      <c r="BR57" s="21">
        <f>EXP(-LN(2)/2)*BR56+(1-EXP(-LN(2)/2))/(LN(2)/2)*BL57*BO57*VLOOKUP('Données projet'!$B$11,Paramètres!$A$1:$I$89,3,0)*0.475*44/12</f>
        <v>1.7211455897778025</v>
      </c>
      <c r="BS57" s="22">
        <f t="shared" si="9"/>
        <v>24.173665114749131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3.3603333333333336</v>
      </c>
      <c r="BY57" s="12">
        <f>IF('Données projet'!$A$114&gt;35,BY56+BX57-CG56,IF(A57&lt;'Données projet'!$A$114,$BV$205^A57,IF(A57='Données projet'!$A$114,'Données projet'!$B$114,BY56+BX57-CG56)))</f>
        <v>181.45799999999991</v>
      </c>
      <c r="BZ57" s="13">
        <f>BY57*VLOOKUP('Données projet'!$B$12,Paramètres!$A$1:$I$89,3,0)*VLOOKUP('Données projet'!$B$12,Paramètres!$A$1:$I$89,5,0)</f>
        <v>206.6443703999999</v>
      </c>
      <c r="CA57" s="13">
        <f t="shared" si="39"/>
        <v>51.201610163516591</v>
      </c>
      <c r="CB57" s="20">
        <f t="shared" si="10"/>
        <v>449.08174948145785</v>
      </c>
      <c r="CC57" s="59">
        <f t="shared" si="11"/>
        <v>742.41508281479116</v>
      </c>
      <c r="CD57" s="59">
        <f ca="1">AVERAGE(OFFSET($CC$3,0,0,'Données projet'!$E$12+1,1))-AVERAGE(OFFSET($H$3,0,0,'Données projet'!$E$12+1,1))</f>
        <v>593.28343396240075</v>
      </c>
      <c r="CE57" s="59">
        <f t="shared" si="40"/>
        <v>289.66477662068695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4.3589743589743595</v>
      </c>
      <c r="CT57" s="12">
        <f>IF('Données projet'!$A$140&gt;35,CT56+CS57-DB56,IF(A57&lt;'Données projet'!$A$140,$CQ$205^A57,IF(A57='Données projet'!$A$140,'Données projet'!$B$140,CT56+CS57-DB56)))</f>
        <v>133.46153846153851</v>
      </c>
      <c r="CU57" s="17">
        <f>CT57*VLOOKUP('Données projet'!$B$13,Paramètres!$A$1:$I$89,3,0)*VLOOKUP('Données projet'!$B$13,Paramètres!$A$1:$I$89,5,0)</f>
        <v>139.49400000000006</v>
      </c>
      <c r="CV57" s="13">
        <f t="shared" si="41"/>
        <v>36.181063584224511</v>
      </c>
      <c r="CW57" s="20">
        <f t="shared" si="13"/>
        <v>305.96740240919115</v>
      </c>
      <c r="CX57" s="59">
        <f t="shared" si="14"/>
        <v>599.30073574252447</v>
      </c>
      <c r="CY57" s="59">
        <f ca="1">AVERAGE(OFFSET($CX$3,0,0,'Données projet'!$E$13+1,1))-AVERAGE(OFFSET($H$3,0,0,'Données projet'!$E$13+1,1))</f>
        <v>260.65406541614402</v>
      </c>
      <c r="CZ57" s="59">
        <f t="shared" si="42"/>
        <v>277.63456890196886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0.823843978799359</v>
      </c>
      <c r="DG57" s="21">
        <f>EXP(-LN(2)/25)*DG56+(1-EXP(-LN(2)/25))/(LN(2)/25)*Calculateur!DB57*Calculateur!DD57*VLOOKUP('Données projet'!$B$13,Paramètres!$A$1:$I$89,3,0)*0.475*44/12</f>
        <v>23.461500790292366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24.285344769091726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4.1025641025641049</v>
      </c>
      <c r="DO57" s="12">
        <f>IF('Données projet'!$A$166&gt;35,DO56+DN57-DW56,IF(A57&lt;'Données projet'!$A$166,$DL$205^A57,IF(A57='Données projet'!$A$166,'Données projet'!$B$166,DO56+DN57-DW56)))</f>
        <v>138.84615384615387</v>
      </c>
      <c r="DP57" s="17">
        <f>DO57*VLOOKUP('Données projet'!$B$14,Paramètres!$A$1:$I$89,3,0)*VLOOKUP('Données projet'!$B$14,Paramètres!$A$1:$I$89,5,0)</f>
        <v>90.972000000000008</v>
      </c>
      <c r="DQ57" s="13">
        <f t="shared" si="43"/>
        <v>24.79950122812183</v>
      </c>
      <c r="DR57" s="20">
        <f t="shared" si="16"/>
        <v>201.63536463897887</v>
      </c>
      <c r="DS57" s="59">
        <f t="shared" si="17"/>
        <v>494.96869797231216</v>
      </c>
      <c r="DT57" s="59">
        <f ca="1">AVERAGE(OFFSET($DS$3,0,0,'Données projet'!$E$14+1,1))-AVERAGE(OFFSET($H$3,0,0,'Données projet'!$E$14+1,1))</f>
        <v>181.4272795535777</v>
      </c>
      <c r="DU57" s="59">
        <f t="shared" si="44"/>
        <v>187.67131775419904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4.9441247641047843</v>
      </c>
      <c r="EC57" s="21">
        <f>EXP(-LN(2)/2)*EC56+(1-EXP(-LN(2)/2))/(LN(2)/2)*DW57*DZ57*VLOOKUP('Données projet'!$B$14,Paramètres!$A$1:$I$89,3,0)*0.475*44/12</f>
        <v>0.72730469039716583</v>
      </c>
      <c r="ED57" s="22">
        <f t="shared" si="18"/>
        <v>5.6714294545019506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1.1368683772161603E-13</v>
      </c>
      <c r="EK57" s="17">
        <f>EJ57*VLOOKUP('Données projet'!$B$15,Paramètres!$A$1:$I$89,3,0)*VLOOKUP('Données projet'!$B$15,Paramètres!$A$1:$I$89,5,0)</f>
        <v>9.2222762759774927E-14</v>
      </c>
      <c r="EL57" s="13">
        <f t="shared" si="45"/>
        <v>1.3985662224947967E-12</v>
      </c>
      <c r="EM57" s="20">
        <f t="shared" si="19"/>
        <v>2.5964574826517121E-12</v>
      </c>
      <c r="EN57" s="59">
        <f t="shared" si="20"/>
        <v>293.33333333333593</v>
      </c>
      <c r="EO57" s="59">
        <f ca="1">AVERAGE(OFFSET($EN$3,0,0,'Données projet'!$E$15+1,1))-AVERAGE(OFFSET($H$3,0,0,'Données projet'!$E$15+1,1))</f>
        <v>159.68591355116837</v>
      </c>
      <c r="EP57" s="59">
        <f t="shared" si="46"/>
        <v>284.32631786390112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11.052459265975976</v>
      </c>
      <c r="EW57" s="21">
        <f>EXP(-LN(2)/25)*EW56+(1-EXP(-LN(2)/25))/(LN(2)/25)*Calculateur!ER57*Calculateur!ET57*VLOOKUP('Données projet'!$B$15,Paramètres!$A$1:$I$89,3,0)*0.475*44/12</f>
        <v>13.10481569130847</v>
      </c>
      <c r="EX57" s="21">
        <f>EXP(-LN(2)/2)*EX56+(1-EXP(-LN(2)/2))/(LN(2)/2)*ER57*EU57*VLOOKUP('Données projet'!$B$15,Paramètres!$A$1:$I$89,3,0)*0.475*44/12</f>
        <v>0.22798526870949862</v>
      </c>
      <c r="EY57" s="22">
        <f t="shared" si="21"/>
        <v>24.385260225993946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</v>
      </c>
      <c r="FE57" s="12">
        <f>IF('Données projet'!$A$218&gt;35,FE56+FD57-FM56,IF(A57&lt;'Données projet'!$A$218,$FB$205^A57,IF(A57='Données projet'!$A$218,'Données projet'!$B$218,FE56+FD57-FM56)))</f>
        <v>225.99999999999989</v>
      </c>
      <c r="FF57" s="17">
        <f>FE57*VLOOKUP('Données projet'!$B$16,Paramètres!$A$1:$I$89,3,0)*VLOOKUP('Données projet'!$B$16,Paramètres!$A$1:$I$89,5,0)</f>
        <v>179.80559999999991</v>
      </c>
      <c r="FG57" s="13">
        <f t="shared" si="47"/>
        <v>45.278933028529984</v>
      </c>
      <c r="FH57" s="20">
        <f t="shared" si="22"/>
        <v>392.02222835802286</v>
      </c>
      <c r="FI57" s="59">
        <f t="shared" si="23"/>
        <v>685.35556169135612</v>
      </c>
      <c r="FJ57" s="59">
        <f ca="1">AVERAGE(OFFSET($FI$3,0,0,'Données projet'!$E$16+1,1))-AVERAGE(OFFSET($H$3,0,0,'Données projet'!$E$16+1,1))</f>
        <v>299.10536994156814</v>
      </c>
      <c r="FK57" s="59">
        <f t="shared" si="48"/>
        <v>292.57799203101769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6.4483285368141443</v>
      </c>
      <c r="FR57" s="21">
        <f>EXP(-LN(2)/25)*FR56+(1-EXP(-LN(2)/25))/(LN(2)/25)*Calculateur!FM57*Calculateur!FO57*VLOOKUP('Données projet'!$B$16,Paramètres!$A$1:$I$89,3,0)*0.475*44/12</f>
        <v>12.861618083909239</v>
      </c>
      <c r="FS57" s="21">
        <f>EXP(-LN(2)/2)*FS56+(1-EXP(-LN(2)/2))/(LN(2)/2)*FM57*FP57*VLOOKUP('Données projet'!$B$16,Paramètres!$A$1:$I$89,3,0)*0.475*44/12</f>
        <v>1.0299136191037779</v>
      </c>
      <c r="FT57" s="22">
        <f t="shared" si="24"/>
        <v>20.339860239827161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5.6843418860808015E-14</v>
      </c>
      <c r="GA57" s="17">
        <f>FZ57*VLOOKUP('Données projet'!$B$17,Paramètres!$A$1:$I$89,3,0)*VLOOKUP('Données projet'!$B$17,Paramètres!$A$1:$I$89,5,0)</f>
        <v>5.1431925385259088E-14</v>
      </c>
      <c r="GB57" s="13">
        <f t="shared" si="49"/>
        <v>8.3482866290946129E-13</v>
      </c>
      <c r="GC57" s="20">
        <f t="shared" si="25"/>
        <v>1.5435705246133045E-12</v>
      </c>
      <c r="GD57" s="59">
        <f t="shared" si="26"/>
        <v>293.33333333333485</v>
      </c>
      <c r="GE57" s="59">
        <f ca="1">AVERAGE(OFFSET($GD$3,0,0,'Données projet'!$E$17+1,1))-AVERAGE(OFFSET($H$3,0,0,'Données projet'!$E$17+1,1))</f>
        <v>204.78565758021779</v>
      </c>
      <c r="GF57" s="59">
        <f t="shared" si="50"/>
        <v>287.25131613242439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13.060948524093803</v>
      </c>
      <c r="GM57" s="21">
        <f>EXP(-LN(2)/25)*GM56+(1-EXP(-LN(2)/25))/(LN(2)/25)*Calculateur!GH57*Calculateur!GJ57*VLOOKUP('Données projet'!$B$17,Paramètres!$A$1:$I$89,3,0)*0.475*44/12</f>
        <v>10.298220364798475</v>
      </c>
      <c r="GN57" s="21">
        <f>EXP(-LN(2)/2)*GN56+(1-EXP(-LN(2)/2))/(LN(2)/2)*GH57*GK57*VLOOKUP('Données projet'!$B$17,Paramètres!$A$1:$I$89,3,0)*0.475*44/12</f>
        <v>0.60946370436845965</v>
      </c>
      <c r="GO57" s="21">
        <f t="shared" si="27"/>
        <v>23.968632593260736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9.375</v>
      </c>
      <c r="GU57" s="12">
        <f>IF('Données projet'!$A$270&gt;35,GU56+GT57-HC56,IF(A57&lt;'Données projet'!$A$270,$GR$205^A57,IF(A57='Données projet'!$A$270,'Données projet'!$B$270,GU56+GT57-HC56)))</f>
        <v>240.74999999999989</v>
      </c>
      <c r="GV57" s="17">
        <f>GU57*VLOOKUP('Données projet'!$B$18,Paramètres!$A$1:$I$89,3,0)*VLOOKUP('Données projet'!$B$18,Paramètres!$A$1:$I$89,5,0)</f>
        <v>187.78499999999991</v>
      </c>
      <c r="GW57" s="13">
        <f t="shared" si="51"/>
        <v>47.049914090154054</v>
      </c>
      <c r="GX57" s="20">
        <f t="shared" si="28"/>
        <v>409.0041420403515</v>
      </c>
      <c r="GY57" s="59">
        <f t="shared" si="29"/>
        <v>702.33747537368481</v>
      </c>
      <c r="GZ57" s="59">
        <f ca="1">AVERAGE(OFFSET($GY$3,0,0,'Données projet'!$E$18+1,1))-AVERAGE(OFFSET($H$3,0,0,'Données projet'!$E$18+1,1))</f>
        <v>288.82868507674738</v>
      </c>
      <c r="HA57" s="59">
        <f t="shared" si="52"/>
        <v>283.48738729114024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12.045389776076044</v>
      </c>
      <c r="HH57" s="21">
        <f>EXP(-LN(2)/25)*HH56+(1-EXP(-LN(2)/25))/(LN(2)/25)*Calculateur!HC57*Calculateur!HE57*VLOOKUP('Données projet'!$B$18,Paramètres!$A$1:$I$89,3,0)*0.475*44/12</f>
        <v>13.141589732426432</v>
      </c>
      <c r="HI57" s="21">
        <f>EXP(-LN(2)/2)*HI56+(1-EXP(-LN(2)/2))/(LN(2)/2)*HC57*HF57*VLOOKUP('Données projet'!$B$18,Paramètres!$A$1:$I$89,3,0)*0.475*44/12</f>
        <v>4.6837717969353339</v>
      </c>
      <c r="HJ57" s="22">
        <f t="shared" si="30"/>
        <v>29.870751305437807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14.113999999999999</v>
      </c>
      <c r="N58" s="13">
        <f>IF('Données projet'!$A$36&gt;35,N57+M58-V57,IF(A58&lt;'Données projet'!$A$36,$K$205^A58,IF(A58='Données projet'!$A$36,'Données projet'!$B$36,N57+M58-V57)))</f>
        <v>370.36999999999995</v>
      </c>
      <c r="O58" s="13">
        <f>N58*VLOOKUP('Données projet'!$B$9,Paramètres!$A$1:$I$89,3,0)*VLOOKUP('Données projet'!$B$9,Paramètres!$A$1:$I$89,5,0)</f>
        <v>221.48125999999999</v>
      </c>
      <c r="P58" s="13">
        <f t="shared" si="33"/>
        <v>54.436704420571644</v>
      </c>
      <c r="Q58" s="20">
        <f t="shared" si="53"/>
        <v>480.55712136582889</v>
      </c>
      <c r="R58" s="59">
        <f t="shared" si="0"/>
        <v>773.89045469916221</v>
      </c>
      <c r="S58" s="59">
        <f ca="1">AVERAGE(OFFSET($R$3,0,0,'Données projet'!$E$9+1,1))-AVERAGE(OFFSET($H$3,0,0,'Données projet'!$E$9+1,1))</f>
        <v>349.71285006949597</v>
      </c>
      <c r="T58" s="59">
        <f t="shared" si="34"/>
        <v>258.51550516456842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32.633495109618906</v>
      </c>
      <c r="AA58" s="21">
        <f>EXP(-LN(2)/25)*AA57+(1-EXP(-LN(2)/25))/(LN(2)/25)*Calculateur!V58*Calculateur!X58*VLOOKUP('Données projet'!$B$9,Paramètres!$A$1:$I$89,3,0)*0.475*44/12</f>
        <v>16.503378761961258</v>
      </c>
      <c r="AB58" s="21">
        <f>EXP(-LN(2)/2)*AB57+(1-EXP(-LN(2)/2))/(LN(2)/2)*V58*Y58*VLOOKUP('Données projet'!$B$9,Paramètres!$A$1:$I$89,3,0)*0.475*44/12</f>
        <v>1.7641231021933654</v>
      </c>
      <c r="AC58" s="22">
        <f t="shared" si="3"/>
        <v>50.90099697377353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9.8828571428571443</v>
      </c>
      <c r="AI58" s="13">
        <f>IF('Données projet'!$A$62&gt;35,AI57+AH58-AQ57,IF(A58&lt;'Données projet'!$A$62,$AF$205^A58,IF(A58='Données projet'!$A$62,'Données projet'!$B$62,AI57+AH58-AQ57)))</f>
        <v>163.3185714285714</v>
      </c>
      <c r="AJ58" s="13">
        <f>AI58*VLOOKUP('Données projet'!$B$10,Paramètres!$A$1:$I$89,3,0)*VLOOKUP('Données projet'!$B$10,Paramètres!$A$1:$I$89,5,0)</f>
        <v>155.41395257142855</v>
      </c>
      <c r="AK58" s="13">
        <f t="shared" si="35"/>
        <v>39.806375365418063</v>
      </c>
      <c r="AL58" s="20">
        <f t="shared" si="4"/>
        <v>340.00873782334116</v>
      </c>
      <c r="AM58" s="59">
        <f t="shared" si="5"/>
        <v>633.34207115667448</v>
      </c>
      <c r="AN58" s="59">
        <f ca="1">AVERAGE(OFFSET($AM$3,0,0,'Données projet'!$E$10+1,1))-AVERAGE(OFFSET($H$3,0,0,'Données projet'!$E$10+1,1))</f>
        <v>449.28947235329758</v>
      </c>
      <c r="AO58" s="59">
        <f t="shared" si="36"/>
        <v>289.36994109443964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6.6239713099273354</v>
      </c>
      <c r="AV58" s="21">
        <f>EXP(-LN(2)/25)*AV57+(1-EXP(-LN(2)/25))/(LN(2)/25)*Calculateur!AQ58*Calculateur!AS58*VLOOKUP('Données projet'!$B$10,Paramètres!$A$1:$I$89,3,0)*0.475*44/12</f>
        <v>31.172084277775671</v>
      </c>
      <c r="AW58" s="21">
        <f>EXP(-LN(2)/2)*AW57+(1-EXP(-LN(2)/2))/(LN(2)/2)*AQ58*AT58*VLOOKUP('Données projet'!$B$10,Paramètres!$A$1:$I$89,3,0)*0.475*44/12</f>
        <v>1.6788879503099088</v>
      </c>
      <c r="AX58" s="21">
        <f t="shared" si="6"/>
        <v>39.474943538012916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201.41639700000019</v>
      </c>
      <c r="BF58" s="13">
        <f t="shared" si="37"/>
        <v>50.055320951535919</v>
      </c>
      <c r="BG58" s="20">
        <f t="shared" si="7"/>
        <v>437.97990876559203</v>
      </c>
      <c r="BH58" s="59">
        <f t="shared" si="8"/>
        <v>731.31324209892534</v>
      </c>
      <c r="BI58" s="59">
        <f ca="1">AVERAGE(OFFSET($BH$3,0,0,'Données projet'!$E$11+1,1))-AVERAGE(OFFSET($H$3,0,0,'Données projet'!$E$11+1,1))</f>
        <v>635.71275911100679</v>
      </c>
      <c r="BJ58" s="59">
        <f t="shared" si="38"/>
        <v>281.7776857269169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21.838554197834302</v>
      </c>
      <c r="BR58" s="21">
        <f>EXP(-LN(2)/2)*BR57+(1-EXP(-LN(2)/2))/(LN(2)/2)*BL58*BO58*VLOOKUP('Données projet'!$B$11,Paramètres!$A$1:$I$89,3,0)*0.475*44/12</f>
        <v>1.2170337179412041</v>
      </c>
      <c r="BS58" s="22">
        <f t="shared" si="9"/>
        <v>23.055587915775504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3.3603333333333336</v>
      </c>
      <c r="BY58" s="12">
        <f>IF('Données projet'!$A$114&gt;35,BY57+BX58-CG57,IF(A58&lt;'Données projet'!$A$114,$BV$205^A58,IF(A58='Données projet'!$A$114,'Données projet'!$B$114,BY57+BX58-CG57)))</f>
        <v>184.81833333333324</v>
      </c>
      <c r="BZ58" s="13">
        <f>BY58*VLOOKUP('Données projet'!$B$12,Paramètres!$A$1:$I$89,3,0)*VLOOKUP('Données projet'!$B$12,Paramètres!$A$1:$I$89,5,0)</f>
        <v>210.4711179999999</v>
      </c>
      <c r="CA58" s="13">
        <f t="shared" si="39"/>
        <v>52.038523403646074</v>
      </c>
      <c r="CB58" s="20">
        <f t="shared" si="10"/>
        <v>457.20429211135001</v>
      </c>
      <c r="CC58" s="59">
        <f t="shared" si="11"/>
        <v>750.53762544468327</v>
      </c>
      <c r="CD58" s="59">
        <f ca="1">AVERAGE(OFFSET($CC$3,0,0,'Données projet'!$E$12+1,1))-AVERAGE(OFFSET($H$3,0,0,'Données projet'!$E$12+1,1))</f>
        <v>593.28343396240075</v>
      </c>
      <c r="CE58" s="59">
        <f t="shared" si="40"/>
        <v>289.66477662068695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137.82051282051282</v>
      </c>
      <c r="CR58" s="12">
        <f>VLOOKUP(A58,'Données projet'!$A$139:$I$159,9,0)</f>
        <v>4.3589743589743595</v>
      </c>
      <c r="CS58" s="12">
        <f t="array" ref="CS58">INDEX(CR:CR,MIN(IF(ISNUMBER(CR58:CR254),ROW(CR58:CR254),"")))</f>
        <v>4.3589743589743595</v>
      </c>
      <c r="CT58" s="12">
        <f>IF('Données projet'!$A$140&gt;35,CT57+CS58-DB57,IF(A58&lt;'Données projet'!$A$140,$CQ$205^A58,IF(A58='Données projet'!$A$140,'Données projet'!$B$140,CT57+CS58-DB57)))</f>
        <v>137.82051282051287</v>
      </c>
      <c r="CU58" s="17">
        <f>CT58*VLOOKUP('Données projet'!$B$13,Paramètres!$A$1:$I$89,3,0)*VLOOKUP('Données projet'!$B$13,Paramètres!$A$1:$I$89,5,0)</f>
        <v>144.05000000000007</v>
      </c>
      <c r="CV58" s="13">
        <f t="shared" si="41"/>
        <v>37.223258105752215</v>
      </c>
      <c r="CW58" s="20">
        <f t="shared" si="13"/>
        <v>315.71759120085187</v>
      </c>
      <c r="CX58" s="59">
        <f t="shared" si="14"/>
        <v>609.05092453418524</v>
      </c>
      <c r="CY58" s="59">
        <f ca="1">AVERAGE(OFFSET($CX$3,0,0,'Données projet'!$E$13+1,1))-AVERAGE(OFFSET($H$3,0,0,'Données projet'!$E$13+1,1))</f>
        <v>260.65406541614402</v>
      </c>
      <c r="CZ58" s="59">
        <f t="shared" si="42"/>
        <v>277.63456890196886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16.025641025641026</v>
      </c>
      <c r="DC58" s="16">
        <f>IF(ISNA(VLOOKUP(A58,'Données projet'!$A$139:$I$159,5,0)),0%,VLOOKUP(A58,'Données projet'!$A$139:$I$159,5,0)*VLOOKUP('Données projet'!$B$13,Paramètres!$A$1:$I$89,7,0))</f>
        <v>4.3000000000000003E-2</v>
      </c>
      <c r="DD58" s="16">
        <f>IF(ISNA(VLOOKUP(A58,'Données projet'!$A$139:$I$159,6,0)),0%,VLOOKUP(A58,'Données projet'!$A$139:$I$159,6,0)*VLOOKUP('Données projet'!$B$13,Paramètres!$A$1:$I$89,7,0))</f>
        <v>0.215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1.6039039417289207</v>
      </c>
      <c r="DG58" s="21">
        <f>EXP(-LN(2)/25)*DG57+(1-EXP(-LN(2)/25))/(LN(2)/25)*Calculateur!DB58*Calculateur!DD58*VLOOKUP('Données projet'!$B$13,Paramètres!$A$1:$I$89,3,0)*0.475*44/12</f>
        <v>26.785345011700272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28.389248953429192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142.94871794871796</v>
      </c>
      <c r="DM58" s="12">
        <f>VLOOKUP(A58,'Données projet'!$A$165:$I$185,9,0)</f>
        <v>4.1025641025641049</v>
      </c>
      <c r="DN58" s="12">
        <f t="array" ref="DN58">INDEX(DM:DM,MIN(IF(ISNUMBER(DM58:DM254),ROW(DM58:DM254),"")))</f>
        <v>4.1025641025641049</v>
      </c>
      <c r="DO58" s="12">
        <f>IF('Données projet'!$A$166&gt;35,DO57+DN58-DW57,IF(A58&lt;'Données projet'!$A$166,$DL$205^A58,IF(A58='Données projet'!$A$166,'Données projet'!$B$166,DO57+DN58-DW57)))</f>
        <v>142.94871794871798</v>
      </c>
      <c r="DP58" s="17">
        <f>DO58*VLOOKUP('Données projet'!$B$14,Paramètres!$A$1:$I$89,3,0)*VLOOKUP('Données projet'!$B$14,Paramètres!$A$1:$I$89,5,0)</f>
        <v>93.660000000000025</v>
      </c>
      <c r="DQ58" s="13">
        <f t="shared" si="43"/>
        <v>25.44587063077217</v>
      </c>
      <c r="DR58" s="20">
        <f t="shared" si="16"/>
        <v>207.44272468192821</v>
      </c>
      <c r="DS58" s="59">
        <f t="shared" si="17"/>
        <v>500.77605801526153</v>
      </c>
      <c r="DT58" s="59">
        <f ca="1">AVERAGE(OFFSET($DS$3,0,0,'Données projet'!$E$14+1,1))-AVERAGE(OFFSET($H$3,0,0,'Données projet'!$E$14+1,1))</f>
        <v>181.4272795535777</v>
      </c>
      <c r="DU58" s="59">
        <f t="shared" si="44"/>
        <v>187.67131775419904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14.743589743589743</v>
      </c>
      <c r="DX58" s="16">
        <f>IF(ISNA(VLOOKUP(A58,'Données projet'!$A$165:$I$185,5,0)),0%,VLOOKUP(A58,'Données projet'!$A$165:$I$185,5,0)*VLOOKUP('Données projet'!$B$14,Paramètres!$A$1:$I$89,7,0))</f>
        <v>0.1075</v>
      </c>
      <c r="DY58" s="16">
        <f>IF(ISNA(VLOOKUP(A58,'Données projet'!$A$165:$I$185,6,0)),0%,VLOOKUP(A58,'Données projet'!$A$165:$I$185,6,0)*VLOOKUP('Données projet'!$B$14,Paramètres!$A$1:$I$89,7,0))</f>
        <v>0.1075</v>
      </c>
      <c r="DZ58" s="16">
        <f>IF(ISNA(VLOOKUP(A58,'Données projet'!$A$165:$I$185,7,0)),0%,VLOOKUP(A58,'Données projet'!$A$165:$I$185,7,0))</f>
        <v>0.25</v>
      </c>
      <c r="EA58" s="21">
        <f>EXP(-LN(2)/35)*EA57+(1-EXP(-LN(2)/35))/(LN(2)/35)*DW58*DX58*VLOOKUP('Données projet'!$B$14,Paramètres!$A$1:$I$89,3,0)*0.475*44/12</f>
        <v>1.147975715625992</v>
      </c>
      <c r="EB58" s="21">
        <f>EXP(-LN(2)/25)*EB57+(1-EXP(-LN(2)/25))/(LN(2)/25)*Calculateur!DW58*Calculateur!DY58*VLOOKUP('Données projet'!$B$14,Paramètres!$A$1:$I$89,3,0)*0.475*44/12</f>
        <v>5.9523831102506497</v>
      </c>
      <c r="EC58" s="21">
        <f>EXP(-LN(2)/2)*EC57+(1-EXP(-LN(2)/2))/(LN(2)/2)*DW58*DZ58*VLOOKUP('Données projet'!$B$14,Paramètres!$A$1:$I$89,3,0)*0.475*44/12</f>
        <v>2.7928995773406302</v>
      </c>
      <c r="ED58" s="22">
        <f t="shared" si="18"/>
        <v>9.8932584032172723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1.1368683772161603E-13</v>
      </c>
      <c r="EK58" s="17">
        <f>EJ58*VLOOKUP('Données projet'!$B$15,Paramètres!$A$1:$I$89,3,0)*VLOOKUP('Données projet'!$B$15,Paramètres!$A$1:$I$89,5,0)</f>
        <v>9.2222762759774927E-14</v>
      </c>
      <c r="EL58" s="13">
        <f t="shared" si="45"/>
        <v>1.3985662224947967E-12</v>
      </c>
      <c r="EM58" s="20">
        <f t="shared" si="19"/>
        <v>2.5964574826517121E-12</v>
      </c>
      <c r="EN58" s="59">
        <f t="shared" si="20"/>
        <v>293.33333333333593</v>
      </c>
      <c r="EO58" s="59">
        <f ca="1">AVERAGE(OFFSET($EN$3,0,0,'Données projet'!$E$15+1,1))-AVERAGE(OFFSET($H$3,0,0,'Données projet'!$E$15+1,1))</f>
        <v>159.68591355116837</v>
      </c>
      <c r="EP58" s="59">
        <f t="shared" si="46"/>
        <v>284.32631786390112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10.835727281104688</v>
      </c>
      <c r="EW58" s="21">
        <f>EXP(-LN(2)/25)*EW57+(1-EXP(-LN(2)/25))/(LN(2)/25)*Calculateur!ER58*Calculateur!ET58*VLOOKUP('Données projet'!$B$15,Paramètres!$A$1:$I$89,3,0)*0.475*44/12</f>
        <v>12.746463817077334</v>
      </c>
      <c r="EX58" s="21">
        <f>EXP(-LN(2)/2)*EX57+(1-EXP(-LN(2)/2))/(LN(2)/2)*ER58*EU58*VLOOKUP('Données projet'!$B$15,Paramètres!$A$1:$I$89,3,0)*0.475*44/12</f>
        <v>0.1612099295151237</v>
      </c>
      <c r="EY58" s="22">
        <f t="shared" si="21"/>
        <v>23.743401027697146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232</v>
      </c>
      <c r="FC58" s="12">
        <f>VLOOKUP(A58,'Données projet'!$A$217:$I$237,9,0)</f>
        <v>6</v>
      </c>
      <c r="FD58" s="12">
        <f t="array" ref="FD58">INDEX(FC:FC,MIN(IF(ISNUMBER(FC58:FC254),ROW(FC58:FC254),"")))</f>
        <v>6</v>
      </c>
      <c r="FE58" s="12">
        <f>IF('Données projet'!$A$218&gt;35,FE57+FD58-FM57,IF(A58&lt;'Données projet'!$A$218,$FB$205^A58,IF(A58='Données projet'!$A$218,'Données projet'!$B$218,FE57+FD58-FM57)))</f>
        <v>231.99999999999989</v>
      </c>
      <c r="FF58" s="17">
        <f>FE58*VLOOKUP('Données projet'!$B$16,Paramètres!$A$1:$I$89,3,0)*VLOOKUP('Données projet'!$B$16,Paramètres!$A$1:$I$89,5,0)</f>
        <v>184.57919999999993</v>
      </c>
      <c r="FG58" s="13">
        <f t="shared" si="47"/>
        <v>46.339479465836618</v>
      </c>
      <c r="FH58" s="20">
        <f t="shared" si="22"/>
        <v>402.18336673633195</v>
      </c>
      <c r="FI58" s="59">
        <f t="shared" si="23"/>
        <v>695.51670006966526</v>
      </c>
      <c r="FJ58" s="59">
        <f ca="1">AVERAGE(OFFSET($FI$3,0,0,'Données projet'!$E$16+1,1))-AVERAGE(OFFSET($H$3,0,0,'Données projet'!$E$16+1,1))</f>
        <v>299.10536994156814</v>
      </c>
      <c r="FK58" s="59">
        <f t="shared" si="48"/>
        <v>292.57799203101769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0.13250000000000001</v>
      </c>
      <c r="FO58" s="16">
        <f>IF(ISNA(VLOOKUP(A58,'Données projet'!$A$217:$I$237,6,0)),0%,VLOOKUP(A58,'Données projet'!$A$217:$I$237,6,0)*VLOOKUP('Données projet'!$B$16,Paramètres!$A$1:$I$89,7,0))</f>
        <v>0.13250000000000001</v>
      </c>
      <c r="FP58" s="16">
        <f>IF(ISNA(VLOOKUP(A58,'Données projet'!$A$217:$I$237,7,0)),0%,VLOOKUP(A58,'Données projet'!$A$217:$I$237,7,0))</f>
        <v>0.25</v>
      </c>
      <c r="FQ58" s="21">
        <f>EXP(-LN(2)/35)*FQ57+(1-EXP(-LN(2)/35))/(LN(2)/35)*FM58*FN58*VLOOKUP('Données projet'!$B$16,Paramètres!$A$1:$I$89,3,0)*0.475*44/12</f>
        <v>7.8368405702891915</v>
      </c>
      <c r="FR58" s="21">
        <f>EXP(-LN(2)/25)*FR57+(1-EXP(-LN(2)/25))/(LN(2)/25)*Calculateur!FM58*Calculateur!FO58*VLOOKUP('Données projet'!$B$16,Paramètres!$A$1:$I$89,3,0)*0.475*44/12</f>
        <v>14.018911309963507</v>
      </c>
      <c r="FS58" s="21">
        <f>EXP(-LN(2)/2)*FS57+(1-EXP(-LN(2)/2))/(LN(2)/2)*FM58*FP58*VLOOKUP('Données projet'!$B$16,Paramètres!$A$1:$I$89,3,0)*0.475*44/12</f>
        <v>3.1679364471998124</v>
      </c>
      <c r="FT58" s="22">
        <f t="shared" si="24"/>
        <v>25.023688327452511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5.6843418860808015E-14</v>
      </c>
      <c r="GA58" s="17">
        <f>FZ58*VLOOKUP('Données projet'!$B$17,Paramètres!$A$1:$I$89,3,0)*VLOOKUP('Données projet'!$B$17,Paramètres!$A$1:$I$89,5,0)</f>
        <v>5.1431925385259088E-14</v>
      </c>
      <c r="GB58" s="13">
        <f t="shared" si="49"/>
        <v>8.3482866290946129E-13</v>
      </c>
      <c r="GC58" s="20">
        <f t="shared" si="25"/>
        <v>1.5435705246133045E-12</v>
      </c>
      <c r="GD58" s="59">
        <f t="shared" si="26"/>
        <v>293.33333333333485</v>
      </c>
      <c r="GE58" s="59">
        <f ca="1">AVERAGE(OFFSET($GD$3,0,0,'Données projet'!$E$17+1,1))-AVERAGE(OFFSET($H$3,0,0,'Données projet'!$E$17+1,1))</f>
        <v>204.78565758021779</v>
      </c>
      <c r="GF58" s="59">
        <f t="shared" si="50"/>
        <v>287.25131613242439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12.804831289928307</v>
      </c>
      <c r="GM58" s="21">
        <f>EXP(-LN(2)/25)*GM57+(1-EXP(-LN(2)/25))/(LN(2)/25)*Calculateur!GH58*Calculateur!GJ58*VLOOKUP('Données projet'!$B$17,Paramètres!$A$1:$I$89,3,0)*0.475*44/12</f>
        <v>10.016614987363189</v>
      </c>
      <c r="GN58" s="21">
        <f>EXP(-LN(2)/2)*GN57+(1-EXP(-LN(2)/2))/(LN(2)/2)*GH58*GK58*VLOOKUP('Données projet'!$B$17,Paramètres!$A$1:$I$89,3,0)*0.475*44/12</f>
        <v>0.43095591824601109</v>
      </c>
      <c r="GO58" s="21">
        <f t="shared" si="27"/>
        <v>23.252402195537506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9.375</v>
      </c>
      <c r="GU58" s="12">
        <f>IF('Données projet'!$A$270&gt;35,GU57+GT58-HC57,IF(A58&lt;'Données projet'!$A$270,$GR$205^A58,IF(A58='Données projet'!$A$270,'Données projet'!$B$270,GU57+GT58-HC57)))</f>
        <v>250.12499999999989</v>
      </c>
      <c r="GV58" s="17">
        <f>GU58*VLOOKUP('Données projet'!$B$18,Paramètres!$A$1:$I$89,3,0)*VLOOKUP('Données projet'!$B$18,Paramètres!$A$1:$I$89,5,0)</f>
        <v>195.09749999999991</v>
      </c>
      <c r="GW58" s="13">
        <f t="shared" si="51"/>
        <v>48.66519532492579</v>
      </c>
      <c r="GX58" s="20">
        <f t="shared" si="28"/>
        <v>424.55336102424553</v>
      </c>
      <c r="GY58" s="59">
        <f t="shared" si="29"/>
        <v>717.88669435757879</v>
      </c>
      <c r="GZ58" s="59">
        <f ca="1">AVERAGE(OFFSET($GY$3,0,0,'Données projet'!$E$18+1,1))-AVERAGE(OFFSET($H$3,0,0,'Données projet'!$E$18+1,1))</f>
        <v>288.82868507674738</v>
      </c>
      <c r="HA58" s="59">
        <f t="shared" si="52"/>
        <v>283.48738729114024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11.809187029529504</v>
      </c>
      <c r="HH58" s="21">
        <f>EXP(-LN(2)/25)*HH57+(1-EXP(-LN(2)/25))/(LN(2)/25)*Calculateur!HC58*Calculateur!HE58*VLOOKUP('Données projet'!$B$18,Paramètres!$A$1:$I$89,3,0)*0.475*44/12</f>
        <v>12.782232270107063</v>
      </c>
      <c r="HI58" s="21">
        <f>EXP(-LN(2)/2)*HI57+(1-EXP(-LN(2)/2))/(LN(2)/2)*HC58*HF58*VLOOKUP('Données projet'!$B$18,Paramètres!$A$1:$I$89,3,0)*0.475*44/12</f>
        <v>3.3119267991432757</v>
      </c>
      <c r="HJ58" s="22">
        <f t="shared" si="30"/>
        <v>27.903346098779842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14.113999999999999</v>
      </c>
      <c r="N59" s="13">
        <f>IF('Données projet'!$A$36&gt;35,N58+M59-V58,IF(A59&lt;'Données projet'!$A$36,$K$205^A59,IF(A59='Données projet'!$A$36,'Données projet'!$B$36,N58+M59-V58)))</f>
        <v>384.48399999999992</v>
      </c>
      <c r="O59" s="13">
        <f>N59*VLOOKUP('Données projet'!$B$9,Paramètres!$A$1:$I$89,3,0)*VLOOKUP('Données projet'!$B$9,Paramètres!$A$1:$I$89,5,0)</f>
        <v>229.92143199999998</v>
      </c>
      <c r="P59" s="13">
        <f t="shared" si="33"/>
        <v>56.265692954832708</v>
      </c>
      <c r="Q59" s="20">
        <f t="shared" si="53"/>
        <v>498.44257596300025</v>
      </c>
      <c r="R59" s="59">
        <f t="shared" si="0"/>
        <v>791.77590929633357</v>
      </c>
      <c r="S59" s="59">
        <f ca="1">AVERAGE(OFFSET($R$3,0,0,'Données projet'!$E$9+1,1))-AVERAGE(OFFSET($H$3,0,0,'Données projet'!$E$9+1,1))</f>
        <v>349.71285006949597</v>
      </c>
      <c r="T59" s="59">
        <f t="shared" si="34"/>
        <v>258.51550516456842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31.993572174985893</v>
      </c>
      <c r="AA59" s="21">
        <f>EXP(-LN(2)/25)*AA58+(1-EXP(-LN(2)/25))/(LN(2)/25)*Calculateur!V59*Calculateur!X59*VLOOKUP('Données projet'!$B$9,Paramètres!$A$1:$I$89,3,0)*0.475*44/12</f>
        <v>16.052093001840458</v>
      </c>
      <c r="AB59" s="21">
        <f>EXP(-LN(2)/2)*AB58+(1-EXP(-LN(2)/2))/(LN(2)/2)*V59*Y59*VLOOKUP('Données projet'!$B$9,Paramètres!$A$1:$I$89,3,0)*0.475*44/12</f>
        <v>1.2474234084087776</v>
      </c>
      <c r="AC59" s="22">
        <f t="shared" si="3"/>
        <v>49.293088585235125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9.8828571428571443</v>
      </c>
      <c r="AI59" s="13">
        <f>IF('Données projet'!$A$62&gt;35,AI58+AH59-AQ58,IF(A59&lt;'Données projet'!$A$62,$AF$205^A59,IF(A59='Données projet'!$A$62,'Données projet'!$B$62,AI58+AH59-AQ58)))</f>
        <v>173.20142857142855</v>
      </c>
      <c r="AJ59" s="13">
        <f>AI59*VLOOKUP('Données projet'!$B$10,Paramètres!$A$1:$I$89,3,0)*VLOOKUP('Données projet'!$B$10,Paramètres!$A$1:$I$89,5,0)</f>
        <v>164.81847942857141</v>
      </c>
      <c r="AK59" s="13">
        <f t="shared" si="35"/>
        <v>41.927453010205141</v>
      </c>
      <c r="AL59" s="20">
        <f t="shared" si="4"/>
        <v>360.08249899753582</v>
      </c>
      <c r="AM59" s="59">
        <f t="shared" si="5"/>
        <v>653.41583233086908</v>
      </c>
      <c r="AN59" s="59">
        <f ca="1">AVERAGE(OFFSET($AM$3,0,0,'Données projet'!$E$10+1,1))-AVERAGE(OFFSET($H$3,0,0,'Données projet'!$E$10+1,1))</f>
        <v>449.28947235329758</v>
      </c>
      <c r="AO59" s="59">
        <f t="shared" si="36"/>
        <v>289.36994109443964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6.4940792727632202</v>
      </c>
      <c r="AV59" s="21">
        <f>EXP(-LN(2)/25)*AV58+(1-EXP(-LN(2)/25))/(LN(2)/25)*Calculateur!AQ59*Calculateur!AS59*VLOOKUP('Données projet'!$B$10,Paramètres!$A$1:$I$89,3,0)*0.475*44/12</f>
        <v>30.319681993931226</v>
      </c>
      <c r="AW59" s="21">
        <f>EXP(-LN(2)/2)*AW58+(1-EXP(-LN(2)/2))/(LN(2)/2)*AQ59*AT59*VLOOKUP('Données projet'!$B$10,Paramètres!$A$1:$I$89,3,0)*0.475*44/12</f>
        <v>1.1871530545165201</v>
      </c>
      <c r="AX59" s="21">
        <f t="shared" si="6"/>
        <v>38.000914321210971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210.7935180000002</v>
      </c>
      <c r="BF59" s="13">
        <f t="shared" si="37"/>
        <v>52.108951264882847</v>
      </c>
      <c r="BG59" s="20">
        <f t="shared" si="7"/>
        <v>457.88846730300457</v>
      </c>
      <c r="BH59" s="59">
        <f t="shared" si="8"/>
        <v>751.22180063633789</v>
      </c>
      <c r="BI59" s="59">
        <f ca="1">AVERAGE(OFFSET($BH$3,0,0,'Données projet'!$E$11+1,1))-AVERAGE(OFFSET($H$3,0,0,'Données projet'!$E$11+1,1))</f>
        <v>635.71275911100679</v>
      </c>
      <c r="BJ59" s="59">
        <f t="shared" si="38"/>
        <v>281.7776857269169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21.241377784854869</v>
      </c>
      <c r="BR59" s="21">
        <f>EXP(-LN(2)/2)*BR58+(1-EXP(-LN(2)/2))/(LN(2)/2)*BL59*BO59*VLOOKUP('Données projet'!$B$11,Paramètres!$A$1:$I$89,3,0)*0.475*44/12</f>
        <v>0.86057279488890148</v>
      </c>
      <c r="BS59" s="22">
        <f t="shared" si="9"/>
        <v>22.101950579743772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3.3603333333333336</v>
      </c>
      <c r="BY59" s="12">
        <f>IF('Données projet'!$A$114&gt;35,BY58+BX59-CG58,IF(A59&lt;'Données projet'!$A$114,$BV$205^A59,IF(A59='Données projet'!$A$114,'Données projet'!$B$114,BY58+BX59-CG58)))</f>
        <v>188.17866666666657</v>
      </c>
      <c r="BZ59" s="13">
        <f>BY59*VLOOKUP('Données projet'!$B$12,Paramètres!$A$1:$I$89,3,0)*VLOOKUP('Données projet'!$B$12,Paramètres!$A$1:$I$89,5,0)</f>
        <v>214.29786559999988</v>
      </c>
      <c r="CA59" s="13">
        <f t="shared" si="39"/>
        <v>52.873667200907974</v>
      </c>
      <c r="CB59" s="20">
        <f t="shared" si="10"/>
        <v>465.32375296158119</v>
      </c>
      <c r="CC59" s="59">
        <f t="shared" si="11"/>
        <v>758.65708629491451</v>
      </c>
      <c r="CD59" s="59">
        <f ca="1">AVERAGE(OFFSET($CC$3,0,0,'Données projet'!$E$12+1,1))-AVERAGE(OFFSET($H$3,0,0,'Données projet'!$E$12+1,1))</f>
        <v>593.28343396240075</v>
      </c>
      <c r="CE59" s="59">
        <f t="shared" si="40"/>
        <v>289.66477662068695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3.8461538461538454</v>
      </c>
      <c r="CT59" s="12">
        <f>IF('Données projet'!$A$140&gt;35,CT58+CS59-DB58,IF(A59&lt;'Données projet'!$A$140,$CQ$205^A59,IF(A59='Données projet'!$A$140,'Données projet'!$B$140,CT58+CS59-DB58)))</f>
        <v>125.64102564102569</v>
      </c>
      <c r="CU59" s="17">
        <f>CT59*VLOOKUP('Données projet'!$B$13,Paramètres!$A$1:$I$89,3,0)*VLOOKUP('Données projet'!$B$13,Paramètres!$A$1:$I$89,5,0)</f>
        <v>131.32000000000008</v>
      </c>
      <c r="CV59" s="13">
        <f t="shared" si="41"/>
        <v>34.301193004895495</v>
      </c>
      <c r="CW59" s="20">
        <f t="shared" si="13"/>
        <v>288.45691115019309</v>
      </c>
      <c r="CX59" s="59">
        <f t="shared" si="14"/>
        <v>581.79024448352641</v>
      </c>
      <c r="CY59" s="59">
        <f ca="1">AVERAGE(OFFSET($CX$3,0,0,'Données projet'!$E$13+1,1))-AVERAGE(OFFSET($H$3,0,0,'Données projet'!$E$13+1,1))</f>
        <v>260.65406541614402</v>
      </c>
      <c r="CZ59" s="59">
        <f t="shared" si="42"/>
        <v>277.63456890196886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1.5724523637164234</v>
      </c>
      <c r="DG59" s="21">
        <f>EXP(-LN(2)/25)*DG58+(1-EXP(-LN(2)/25))/(LN(2)/25)*Calculateur!DB59*Calculateur!DD59*VLOOKUP('Données projet'!$B$13,Paramètres!$A$1:$I$89,3,0)*0.475*44/12</f>
        <v>26.052898343775254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27.625350707491677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3.7179487179487181</v>
      </c>
      <c r="DO59" s="12">
        <f>IF('Données projet'!$A$166&gt;35,DO58+DN59-DW58,IF(A59&lt;'Données projet'!$A$166,$DL$205^A59,IF(A59='Données projet'!$A$166,'Données projet'!$B$166,DO58+DN59-DW58)))</f>
        <v>131.92307692307696</v>
      </c>
      <c r="DP59" s="17">
        <f>DO59*VLOOKUP('Données projet'!$B$14,Paramètres!$A$1:$I$89,3,0)*VLOOKUP('Données projet'!$B$14,Paramètres!$A$1:$I$89,5,0)</f>
        <v>86.436000000000021</v>
      </c>
      <c r="DQ59" s="13">
        <f t="shared" si="43"/>
        <v>23.703663170000006</v>
      </c>
      <c r="DR59" s="20">
        <f t="shared" si="16"/>
        <v>191.82658002108337</v>
      </c>
      <c r="DS59" s="59">
        <f t="shared" si="17"/>
        <v>485.15991335441669</v>
      </c>
      <c r="DT59" s="59">
        <f ca="1">AVERAGE(OFFSET($DS$3,0,0,'Données projet'!$E$14+1,1))-AVERAGE(OFFSET($H$3,0,0,'Données projet'!$E$14+1,1))</f>
        <v>181.4272795535777</v>
      </c>
      <c r="DU59" s="59">
        <f t="shared" si="44"/>
        <v>187.67131775419904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1.1254646120386143</v>
      </c>
      <c r="EB59" s="21">
        <f>EXP(-LN(2)/25)*EB58+(1-EXP(-LN(2)/25))/(LN(2)/25)*Calculateur!DW59*Calculateur!DY59*VLOOKUP('Données projet'!$B$14,Paramètres!$A$1:$I$89,3,0)*0.475*44/12</f>
        <v>5.7896148810786219</v>
      </c>
      <c r="EC59" s="21">
        <f>EXP(-LN(2)/2)*EC58+(1-EXP(-LN(2)/2))/(LN(2)/2)*DW59*DZ59*VLOOKUP('Données projet'!$B$14,Paramètres!$A$1:$I$89,3,0)*0.475*44/12</f>
        <v>1.9748782303106023</v>
      </c>
      <c r="ED59" s="22">
        <f t="shared" si="18"/>
        <v>8.8899577234278393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1.1368683772161603E-13</v>
      </c>
      <c r="EK59" s="17">
        <f>EJ59*VLOOKUP('Données projet'!$B$15,Paramètres!$A$1:$I$89,3,0)*VLOOKUP('Données projet'!$B$15,Paramètres!$A$1:$I$89,5,0)</f>
        <v>9.2222762759774927E-14</v>
      </c>
      <c r="EL59" s="13">
        <f t="shared" si="45"/>
        <v>1.3985662224947967E-12</v>
      </c>
      <c r="EM59" s="20">
        <f t="shared" si="19"/>
        <v>2.5964574826517121E-12</v>
      </c>
      <c r="EN59" s="59">
        <f t="shared" si="20"/>
        <v>293.33333333333593</v>
      </c>
      <c r="EO59" s="59">
        <f ca="1">AVERAGE(OFFSET($EN$3,0,0,'Données projet'!$E$15+1,1))-AVERAGE(OFFSET($H$3,0,0,'Données projet'!$E$15+1,1))</f>
        <v>159.68591355116837</v>
      </c>
      <c r="EP59" s="59">
        <f t="shared" si="46"/>
        <v>284.32631786390112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10.623245278263269</v>
      </c>
      <c r="EW59" s="21">
        <f>EXP(-LN(2)/25)*EW58+(1-EXP(-LN(2)/25))/(LN(2)/25)*Calculateur!ER59*Calculateur!ET59*VLOOKUP('Données projet'!$B$15,Paramètres!$A$1:$I$89,3,0)*0.475*44/12</f>
        <v>12.397911093691954</v>
      </c>
      <c r="EX59" s="21">
        <f>EXP(-LN(2)/2)*EX58+(1-EXP(-LN(2)/2))/(LN(2)/2)*ER59*EU59*VLOOKUP('Données projet'!$B$15,Paramètres!$A$1:$I$89,3,0)*0.475*44/12</f>
        <v>0.11399263435474932</v>
      </c>
      <c r="EY59" s="22">
        <f t="shared" si="21"/>
        <v>23.13514900630997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5.2</v>
      </c>
      <c r="FE59" s="12">
        <f>IF('Données projet'!$A$218&gt;35,FE58+FD59-FM58,IF(A59&lt;'Données projet'!$A$218,$FB$205^A59,IF(A59='Données projet'!$A$218,'Données projet'!$B$218,FE58+FD59-FM58)))</f>
        <v>224.19999999999987</v>
      </c>
      <c r="FF59" s="17">
        <f>FE59*VLOOKUP('Données projet'!$B$16,Paramètres!$A$1:$I$89,3,0)*VLOOKUP('Données projet'!$B$16,Paramètres!$A$1:$I$89,5,0)</f>
        <v>178.37351999999993</v>
      </c>
      <c r="FG59" s="13">
        <f t="shared" si="47"/>
        <v>44.960133388294842</v>
      </c>
      <c r="FH59" s="20">
        <f t="shared" si="22"/>
        <v>388.97277965128006</v>
      </c>
      <c r="FI59" s="59">
        <f t="shared" si="23"/>
        <v>682.30611298461338</v>
      </c>
      <c r="FJ59" s="59">
        <f ca="1">AVERAGE(OFFSET($FI$3,0,0,'Données projet'!$E$16+1,1))-AVERAGE(OFFSET($H$3,0,0,'Données projet'!$E$16+1,1))</f>
        <v>299.10536994156814</v>
      </c>
      <c r="FK59" s="59">
        <f t="shared" si="48"/>
        <v>292.57799203101769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7.6831649067065824</v>
      </c>
      <c r="FR59" s="21">
        <f>EXP(-LN(2)/25)*FR58+(1-EXP(-LN(2)/25))/(LN(2)/25)*Calculateur!FM59*Calculateur!FO59*VLOOKUP('Données projet'!$B$16,Paramètres!$A$1:$I$89,3,0)*0.475*44/12</f>
        <v>13.635563442970049</v>
      </c>
      <c r="FS59" s="21">
        <f>EXP(-LN(2)/2)*FS58+(1-EXP(-LN(2)/2))/(LN(2)/2)*FM59*FP59*VLOOKUP('Données projet'!$B$16,Paramètres!$A$1:$I$89,3,0)*0.475*44/12</f>
        <v>2.2400693441830066</v>
      </c>
      <c r="FT59" s="22">
        <f t="shared" si="24"/>
        <v>23.558797693859638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5.6843418860808015E-14</v>
      </c>
      <c r="GA59" s="17">
        <f>FZ59*VLOOKUP('Données projet'!$B$17,Paramètres!$A$1:$I$89,3,0)*VLOOKUP('Données projet'!$B$17,Paramètres!$A$1:$I$89,5,0)</f>
        <v>5.1431925385259088E-14</v>
      </c>
      <c r="GB59" s="13">
        <f t="shared" si="49"/>
        <v>8.3482866290946129E-13</v>
      </c>
      <c r="GC59" s="20">
        <f t="shared" si="25"/>
        <v>1.5435705246133045E-12</v>
      </c>
      <c r="GD59" s="59">
        <f t="shared" si="26"/>
        <v>293.33333333333485</v>
      </c>
      <c r="GE59" s="59">
        <f ca="1">AVERAGE(OFFSET($GD$3,0,0,'Données projet'!$E$17+1,1))-AVERAGE(OFFSET($H$3,0,0,'Données projet'!$E$17+1,1))</f>
        <v>204.78565758021779</v>
      </c>
      <c r="GF59" s="59">
        <f t="shared" si="50"/>
        <v>287.25131613242439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12.55373635850871</v>
      </c>
      <c r="GM59" s="21">
        <f>EXP(-LN(2)/25)*GM58+(1-EXP(-LN(2)/25))/(LN(2)/25)*Calculateur!GH59*Calculateur!GJ59*VLOOKUP('Données projet'!$B$17,Paramètres!$A$1:$I$89,3,0)*0.475*44/12</f>
        <v>9.7427101237828531</v>
      </c>
      <c r="GN59" s="21">
        <f>EXP(-LN(2)/2)*GN58+(1-EXP(-LN(2)/2))/(LN(2)/2)*GH59*GK59*VLOOKUP('Données projet'!$B$17,Paramètres!$A$1:$I$89,3,0)*0.475*44/12</f>
        <v>0.30473185218422982</v>
      </c>
      <c r="GO59" s="21">
        <f t="shared" si="27"/>
        <v>22.601178334475794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9.375</v>
      </c>
      <c r="GU59" s="12">
        <f>IF('Données projet'!$A$270&gt;35,GU58+GT59-HC58,IF(A59&lt;'Données projet'!$A$270,$GR$205^A59,IF(A59='Données projet'!$A$270,'Données projet'!$B$270,GU58+GT59-HC58)))</f>
        <v>259.49999999999989</v>
      </c>
      <c r="GV59" s="17">
        <f>GU59*VLOOKUP('Données projet'!$B$18,Paramètres!$A$1:$I$89,3,0)*VLOOKUP('Données projet'!$B$18,Paramètres!$A$1:$I$89,5,0)</f>
        <v>202.40999999999991</v>
      </c>
      <c r="GW59" s="13">
        <f t="shared" si="51"/>
        <v>50.273442991661817</v>
      </c>
      <c r="GX59" s="20">
        <f t="shared" si="28"/>
        <v>440.09032987714414</v>
      </c>
      <c r="GY59" s="59">
        <f t="shared" si="29"/>
        <v>733.42366321047746</v>
      </c>
      <c r="GZ59" s="59">
        <f ca="1">AVERAGE(OFFSET($GY$3,0,0,'Données projet'!$E$18+1,1))-AVERAGE(OFFSET($H$3,0,0,'Données projet'!$E$18+1,1))</f>
        <v>288.82868507674738</v>
      </c>
      <c r="HA59" s="59">
        <f t="shared" si="52"/>
        <v>283.48738729114024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11.577616074773292</v>
      </c>
      <c r="HH59" s="21">
        <f>EXP(-LN(2)/25)*HH58+(1-EXP(-LN(2)/25))/(LN(2)/25)*Calculateur!HC59*Calculateur!HE59*VLOOKUP('Données projet'!$B$18,Paramètres!$A$1:$I$89,3,0)*0.475*44/12</f>
        <v>12.432701456492603</v>
      </c>
      <c r="HI59" s="21">
        <f>EXP(-LN(2)/2)*HI58+(1-EXP(-LN(2)/2))/(LN(2)/2)*HC59*HF59*VLOOKUP('Données projet'!$B$18,Paramètres!$A$1:$I$89,3,0)*0.475*44/12</f>
        <v>2.3418858984676669</v>
      </c>
      <c r="HJ59" s="22">
        <f t="shared" si="30"/>
        <v>26.352203429733564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14.113999999999999</v>
      </c>
      <c r="N60" s="13">
        <f>IF('Données projet'!$A$36&gt;35,N59+M60-V59,IF(A60&lt;'Données projet'!$A$36,$K$205^A60,IF(A60='Données projet'!$A$36,'Données projet'!$B$36,N59+M60-V59)))</f>
        <v>398.5979999999999</v>
      </c>
      <c r="O60" s="13">
        <f>N60*VLOOKUP('Données projet'!$B$9,Paramètres!$A$1:$I$89,3,0)*VLOOKUP('Données projet'!$B$9,Paramètres!$A$1:$I$89,5,0)</f>
        <v>238.36160399999994</v>
      </c>
      <c r="P60" s="13">
        <f t="shared" si="33"/>
        <v>58.086881188787437</v>
      </c>
      <c r="Q60" s="20">
        <f t="shared" si="53"/>
        <v>516.31444503713794</v>
      </c>
      <c r="R60" s="59">
        <f t="shared" si="0"/>
        <v>809.64777837047131</v>
      </c>
      <c r="S60" s="59">
        <f ca="1">AVERAGE(OFFSET($R$3,0,0,'Données projet'!$E$9+1,1))-AVERAGE(OFFSET($H$3,0,0,'Données projet'!$E$9+1,1))</f>
        <v>349.71285006949597</v>
      </c>
      <c r="T60" s="59">
        <f t="shared" si="34"/>
        <v>258.51550516456842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31.366197738786585</v>
      </c>
      <c r="AA60" s="21">
        <f>EXP(-LN(2)/25)*AA59+(1-EXP(-LN(2)/25))/(LN(2)/25)*Calculateur!V60*Calculateur!X60*VLOOKUP('Données projet'!$B$9,Paramètres!$A$1:$I$89,3,0)*0.475*44/12</f>
        <v>15.613147674562248</v>
      </c>
      <c r="AB60" s="21">
        <f>EXP(-LN(2)/2)*AB59+(1-EXP(-LN(2)/2))/(LN(2)/2)*V60*Y60*VLOOKUP('Données projet'!$B$9,Paramètres!$A$1:$I$89,3,0)*0.475*44/12</f>
        <v>0.88206155109668294</v>
      </c>
      <c r="AC60" s="22">
        <f t="shared" si="3"/>
        <v>47.861406964445514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9.8828571428571443</v>
      </c>
      <c r="AI60" s="13">
        <f>IF('Données projet'!$A$62&gt;35,AI59+AH60-AQ59,IF(A60&lt;'Données projet'!$A$62,$AF$205^A60,IF(A60='Données projet'!$A$62,'Données projet'!$B$62,AI59+AH60-AQ59)))</f>
        <v>183.0842857142857</v>
      </c>
      <c r="AJ60" s="13">
        <f>AI60*VLOOKUP('Données projet'!$B$10,Paramètres!$A$1:$I$89,3,0)*VLOOKUP('Données projet'!$B$10,Paramètres!$A$1:$I$89,5,0)</f>
        <v>174.22300628571426</v>
      </c>
      <c r="AK60" s="13">
        <f t="shared" si="35"/>
        <v>44.034481572204157</v>
      </c>
      <c r="AL60" s="20">
        <f t="shared" si="4"/>
        <v>380.13179135254126</v>
      </c>
      <c r="AM60" s="59">
        <f t="shared" si="5"/>
        <v>673.46512468587457</v>
      </c>
      <c r="AN60" s="59">
        <f ca="1">AVERAGE(OFFSET($AM$3,0,0,'Données projet'!$E$10+1,1))-AVERAGE(OFFSET($H$3,0,0,'Données projet'!$E$10+1,1))</f>
        <v>449.28947235329758</v>
      </c>
      <c r="AO60" s="59">
        <f t="shared" si="36"/>
        <v>289.36994109443964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6.3667343392215736</v>
      </c>
      <c r="AV60" s="21">
        <f>EXP(-LN(2)/25)*AV59+(1-EXP(-LN(2)/25))/(LN(2)/25)*Calculateur!AQ60*Calculateur!AS60*VLOOKUP('Données projet'!$B$10,Paramètres!$A$1:$I$89,3,0)*0.475*44/12</f>
        <v>29.490588695364398</v>
      </c>
      <c r="AW60" s="21">
        <f>EXP(-LN(2)/2)*AW59+(1-EXP(-LN(2)/2))/(LN(2)/2)*AQ60*AT60*VLOOKUP('Données projet'!$B$10,Paramètres!$A$1:$I$89,3,0)*0.475*44/12</f>
        <v>0.8394439751549545</v>
      </c>
      <c r="AX60" s="21">
        <f t="shared" si="6"/>
        <v>36.696767009740931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220.17063900000025</v>
      </c>
      <c r="BF60" s="13">
        <f t="shared" si="37"/>
        <v>54.151971590437505</v>
      </c>
      <c r="BG60" s="20">
        <f t="shared" si="7"/>
        <v>477.7785467783458</v>
      </c>
      <c r="BH60" s="59">
        <f t="shared" si="8"/>
        <v>771.11188011167906</v>
      </c>
      <c r="BI60" s="59">
        <f ca="1">AVERAGE(OFFSET($BH$3,0,0,'Données projet'!$E$11+1,1))-AVERAGE(OFFSET($H$3,0,0,'Données projet'!$E$11+1,1))</f>
        <v>635.71275911100679</v>
      </c>
      <c r="BJ60" s="59">
        <f t="shared" si="38"/>
        <v>281.7776857269169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20.660531192292503</v>
      </c>
      <c r="BR60" s="21">
        <f>EXP(-LN(2)/2)*BR59+(1-EXP(-LN(2)/2))/(LN(2)/2)*BL60*BO60*VLOOKUP('Données projet'!$B$11,Paramètres!$A$1:$I$89,3,0)*0.475*44/12</f>
        <v>0.60851685897060215</v>
      </c>
      <c r="BS60" s="22">
        <f t="shared" si="9"/>
        <v>21.269048051263105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3.3603333333333336</v>
      </c>
      <c r="BY60" s="12">
        <f>IF('Données projet'!$A$114&gt;35,BY59+BX60-CG59,IF(A60&lt;'Données projet'!$A$114,$BV$205^A60,IF(A60='Données projet'!$A$114,'Données projet'!$B$114,BY59+BX60-CG59)))</f>
        <v>191.5389999999999</v>
      </c>
      <c r="BZ60" s="13">
        <f>BY60*VLOOKUP('Données projet'!$B$12,Paramètres!$A$1:$I$89,3,0)*VLOOKUP('Données projet'!$B$12,Paramètres!$A$1:$I$89,5,0)</f>
        <v>218.12461319999989</v>
      </c>
      <c r="CA60" s="13">
        <f t="shared" si="39"/>
        <v>53.707076797550549</v>
      </c>
      <c r="CB60" s="20">
        <f t="shared" si="10"/>
        <v>473.44019341240033</v>
      </c>
      <c r="CC60" s="59">
        <f t="shared" si="11"/>
        <v>766.77352674573365</v>
      </c>
      <c r="CD60" s="59">
        <f ca="1">AVERAGE(OFFSET($CC$3,0,0,'Données projet'!$E$12+1,1))-AVERAGE(OFFSET($H$3,0,0,'Données projet'!$E$12+1,1))</f>
        <v>593.28343396240075</v>
      </c>
      <c r="CE60" s="59">
        <f t="shared" si="40"/>
        <v>289.66477662068695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3.8461538461538454</v>
      </c>
      <c r="CT60" s="12">
        <f>IF('Données projet'!$A$140&gt;35,CT59+CS60-DB59,IF(A60&lt;'Données projet'!$A$140,$CQ$205^A60,IF(A60='Données projet'!$A$140,'Données projet'!$B$140,CT59+CS60-DB59)))</f>
        <v>129.48717948717953</v>
      </c>
      <c r="CU60" s="17">
        <f>CT60*VLOOKUP('Données projet'!$B$13,Paramètres!$A$1:$I$89,3,0)*VLOOKUP('Données projet'!$B$13,Paramètres!$A$1:$I$89,5,0)</f>
        <v>135.34000000000006</v>
      </c>
      <c r="CV60" s="13">
        <f t="shared" si="41"/>
        <v>35.227370785462682</v>
      </c>
      <c r="CW60" s="20">
        <f t="shared" si="13"/>
        <v>297.07150411801427</v>
      </c>
      <c r="CX60" s="59">
        <f t="shared" si="14"/>
        <v>590.40483745134759</v>
      </c>
      <c r="CY60" s="59">
        <f ca="1">AVERAGE(OFFSET($CX$3,0,0,'Données projet'!$E$13+1,1))-AVERAGE(OFFSET($H$3,0,0,'Données projet'!$E$13+1,1))</f>
        <v>260.65406541614402</v>
      </c>
      <c r="CZ60" s="59">
        <f t="shared" si="42"/>
        <v>277.63456890196886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1.5416175319651828</v>
      </c>
      <c r="DG60" s="21">
        <f>EXP(-LN(2)/25)*DG59+(1-EXP(-LN(2)/25))/(LN(2)/25)*Calculateur!DB60*Calculateur!DD60*VLOOKUP('Données projet'!$B$13,Paramètres!$A$1:$I$89,3,0)*0.475*44/12</f>
        <v>25.340480468502342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26.882098000467526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3.7179487179487181</v>
      </c>
      <c r="DO60" s="12">
        <f>IF('Données projet'!$A$166&gt;35,DO59+DN60-DW59,IF(A60&lt;'Données projet'!$A$166,$DL$205^A60,IF(A60='Données projet'!$A$166,'Données projet'!$B$166,DO59+DN60-DW59)))</f>
        <v>135.64102564102569</v>
      </c>
      <c r="DP60" s="17">
        <f>DO60*VLOOKUP('Données projet'!$B$14,Paramètres!$A$1:$I$89,3,0)*VLOOKUP('Données projet'!$B$14,Paramètres!$A$1:$I$89,5,0)</f>
        <v>88.872000000000043</v>
      </c>
      <c r="DQ60" s="13">
        <f t="shared" si="43"/>
        <v>24.292979182806427</v>
      </c>
      <c r="DR60" s="20">
        <f t="shared" si="16"/>
        <v>197.09567207672126</v>
      </c>
      <c r="DS60" s="59">
        <f t="shared" si="17"/>
        <v>490.42900541005457</v>
      </c>
      <c r="DT60" s="59">
        <f ca="1">AVERAGE(OFFSET($DS$3,0,0,'Données projet'!$E$14+1,1))-AVERAGE(OFFSET($H$3,0,0,'Données projet'!$E$14+1,1))</f>
        <v>181.4272795535777</v>
      </c>
      <c r="DU60" s="59">
        <f t="shared" si="44"/>
        <v>187.67131775419904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1.1033949374621674</v>
      </c>
      <c r="EB60" s="21">
        <f>EXP(-LN(2)/25)*EB59+(1-EXP(-LN(2)/25))/(LN(2)/25)*Calculateur!DW60*Calculateur!DY60*VLOOKUP('Données projet'!$B$14,Paramètres!$A$1:$I$89,3,0)*0.475*44/12</f>
        <v>5.6312975576929123</v>
      </c>
      <c r="EC60" s="21">
        <f>EXP(-LN(2)/2)*EC59+(1-EXP(-LN(2)/2))/(LN(2)/2)*DW60*DZ60*VLOOKUP('Données projet'!$B$14,Paramètres!$A$1:$I$89,3,0)*0.475*44/12</f>
        <v>1.3964497886703153</v>
      </c>
      <c r="ED60" s="22">
        <f t="shared" si="18"/>
        <v>8.1311422838253939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1.1368683772161603E-13</v>
      </c>
      <c r="EK60" s="17">
        <f>EJ60*VLOOKUP('Données projet'!$B$15,Paramètres!$A$1:$I$89,3,0)*VLOOKUP('Données projet'!$B$15,Paramètres!$A$1:$I$89,5,0)</f>
        <v>9.2222762759774927E-14</v>
      </c>
      <c r="EL60" s="13">
        <f t="shared" si="45"/>
        <v>1.3985662224947967E-12</v>
      </c>
      <c r="EM60" s="20">
        <f t="shared" si="19"/>
        <v>2.5964574826517121E-12</v>
      </c>
      <c r="EN60" s="59">
        <f t="shared" si="20"/>
        <v>293.33333333333593</v>
      </c>
      <c r="EO60" s="59">
        <f ca="1">AVERAGE(OFFSET($EN$3,0,0,'Données projet'!$E$15+1,1))-AVERAGE(OFFSET($H$3,0,0,'Données projet'!$E$15+1,1))</f>
        <v>159.68591355116837</v>
      </c>
      <c r="EP60" s="59">
        <f t="shared" si="46"/>
        <v>284.32631786390112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10.414929917896345</v>
      </c>
      <c r="EW60" s="21">
        <f>EXP(-LN(2)/25)*EW59+(1-EXP(-LN(2)/25))/(LN(2)/25)*Calculateur!ER60*Calculateur!ET60*VLOOKUP('Données projet'!$B$15,Paramètres!$A$1:$I$89,3,0)*0.475*44/12</f>
        <v>12.058889562857139</v>
      </c>
      <c r="EX60" s="21">
        <f>EXP(-LN(2)/2)*EX59+(1-EXP(-LN(2)/2))/(LN(2)/2)*ER60*EU60*VLOOKUP('Données projet'!$B$15,Paramètres!$A$1:$I$89,3,0)*0.475*44/12</f>
        <v>8.0604964757561862E-2</v>
      </c>
      <c r="EY60" s="22">
        <f t="shared" si="21"/>
        <v>22.554424445511046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5.2</v>
      </c>
      <c r="FE60" s="12">
        <f>IF('Données projet'!$A$218&gt;35,FE59+FD60-FM59,IF(A60&lt;'Données projet'!$A$218,$FB$205^A60,IF(A60='Données projet'!$A$218,'Données projet'!$B$218,FE59+FD60-FM59)))</f>
        <v>229.39999999999986</v>
      </c>
      <c r="FF60" s="17">
        <f>FE60*VLOOKUP('Données projet'!$B$16,Paramètres!$A$1:$I$89,3,0)*VLOOKUP('Données projet'!$B$16,Paramètres!$A$1:$I$89,5,0)</f>
        <v>182.51063999999988</v>
      </c>
      <c r="FG60" s="13">
        <f t="shared" si="47"/>
        <v>45.880306213791371</v>
      </c>
      <c r="FH60" s="20">
        <f t="shared" si="22"/>
        <v>397.78089798901971</v>
      </c>
      <c r="FI60" s="59">
        <f t="shared" si="23"/>
        <v>691.11423132235302</v>
      </c>
      <c r="FJ60" s="59">
        <f ca="1">AVERAGE(OFFSET($FI$3,0,0,'Données projet'!$E$16+1,1))-AVERAGE(OFFSET($H$3,0,0,'Données projet'!$E$16+1,1))</f>
        <v>299.10536994156814</v>
      </c>
      <c r="FK60" s="59">
        <f t="shared" si="48"/>
        <v>292.57799203101769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7.5325027291539293</v>
      </c>
      <c r="FR60" s="21">
        <f>EXP(-LN(2)/25)*FR59+(1-EXP(-LN(2)/25))/(LN(2)/25)*Calculateur!FM60*Calculateur!FO60*VLOOKUP('Données projet'!$B$16,Paramètres!$A$1:$I$89,3,0)*0.475*44/12</f>
        <v>13.262698243558916</v>
      </c>
      <c r="FS60" s="21">
        <f>EXP(-LN(2)/2)*FS59+(1-EXP(-LN(2)/2))/(LN(2)/2)*FM60*FP60*VLOOKUP('Données projet'!$B$16,Paramètres!$A$1:$I$89,3,0)*0.475*44/12</f>
        <v>1.5839682235999064</v>
      </c>
      <c r="FT60" s="22">
        <f t="shared" si="24"/>
        <v>22.379169196312752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5.6843418860808015E-14</v>
      </c>
      <c r="GA60" s="17">
        <f>FZ60*VLOOKUP('Données projet'!$B$17,Paramètres!$A$1:$I$89,3,0)*VLOOKUP('Données projet'!$B$17,Paramètres!$A$1:$I$89,5,0)</f>
        <v>5.1431925385259088E-14</v>
      </c>
      <c r="GB60" s="13">
        <f t="shared" si="49"/>
        <v>8.3482866290946129E-13</v>
      </c>
      <c r="GC60" s="20">
        <f t="shared" si="25"/>
        <v>1.5435705246133045E-12</v>
      </c>
      <c r="GD60" s="59">
        <f t="shared" si="26"/>
        <v>293.33333333333485</v>
      </c>
      <c r="GE60" s="59">
        <f ca="1">AVERAGE(OFFSET($GD$3,0,0,'Données projet'!$E$17+1,1))-AVERAGE(OFFSET($H$3,0,0,'Données projet'!$E$17+1,1))</f>
        <v>204.78565758021779</v>
      </c>
      <c r="GF60" s="59">
        <f t="shared" si="50"/>
        <v>287.25131613242439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12.307565245541465</v>
      </c>
      <c r="GM60" s="21">
        <f>EXP(-LN(2)/25)*GM59+(1-EXP(-LN(2)/25))/(LN(2)/25)*Calculateur!GH60*Calculateur!GJ60*VLOOKUP('Données projet'!$B$17,Paramètres!$A$1:$I$89,3,0)*0.475*44/12</f>
        <v>9.4762952031011523</v>
      </c>
      <c r="GN60" s="21">
        <f>EXP(-LN(2)/2)*GN59+(1-EXP(-LN(2)/2))/(LN(2)/2)*GH60*GK60*VLOOKUP('Données projet'!$B$17,Paramètres!$A$1:$I$89,3,0)*0.475*44/12</f>
        <v>0.21547795912300555</v>
      </c>
      <c r="GO60" s="21">
        <f t="shared" si="27"/>
        <v>21.999338407765624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9.375</v>
      </c>
      <c r="GU60" s="12">
        <f>IF('Données projet'!$A$270&gt;35,GU59+GT60-HC59,IF(A60&lt;'Données projet'!$A$270,$GR$205^A60,IF(A60='Données projet'!$A$270,'Données projet'!$B$270,GU59+GT60-HC59)))</f>
        <v>268.87499999999989</v>
      </c>
      <c r="GV60" s="17">
        <f>GU60*VLOOKUP('Données projet'!$B$18,Paramètres!$A$1:$I$89,3,0)*VLOOKUP('Données projet'!$B$18,Paramètres!$A$1:$I$89,5,0)</f>
        <v>209.72249999999991</v>
      </c>
      <c r="GW60" s="13">
        <f t="shared" si="51"/>
        <v>51.874940300502246</v>
      </c>
      <c r="GX60" s="20">
        <f t="shared" si="28"/>
        <v>455.61554185670792</v>
      </c>
      <c r="GY60" s="59">
        <f t="shared" si="29"/>
        <v>748.94887519004124</v>
      </c>
      <c r="GZ60" s="59">
        <f ca="1">AVERAGE(OFFSET($GY$3,0,0,'Données projet'!$E$18+1,1))-AVERAGE(OFFSET($H$3,0,0,'Données projet'!$E$18+1,1))</f>
        <v>288.82868507674738</v>
      </c>
      <c r="HA60" s="59">
        <f t="shared" si="52"/>
        <v>283.48738729114024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11.350586085195514</v>
      </c>
      <c r="HH60" s="21">
        <f>EXP(-LN(2)/25)*HH59+(1-EXP(-LN(2)/25))/(LN(2)/25)*Calculateur!HC60*Calculateur!HE60*VLOOKUP('Données projet'!$B$18,Paramètres!$A$1:$I$89,3,0)*0.475*44/12</f>
        <v>12.092728581357459</v>
      </c>
      <c r="HI60" s="21">
        <f>EXP(-LN(2)/2)*HI59+(1-EXP(-LN(2)/2))/(LN(2)/2)*HC60*HF60*VLOOKUP('Données projet'!$B$18,Paramètres!$A$1:$I$89,3,0)*0.475*44/12</f>
        <v>1.6559633995716379</v>
      </c>
      <c r="HJ60" s="22">
        <f t="shared" si="30"/>
        <v>25.099278066124612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14.113999999999999</v>
      </c>
      <c r="N61" s="13">
        <f>IF('Données projet'!$A$36&gt;35,N60+M61-V60,IF(A61&lt;'Données projet'!$A$36,$K$205^A61,IF(A61='Données projet'!$A$36,'Données projet'!$B$36,N60+M61-V60)))</f>
        <v>412.71199999999988</v>
      </c>
      <c r="O61" s="13">
        <f>N61*VLOOKUP('Données projet'!$B$9,Paramètres!$A$1:$I$89,3,0)*VLOOKUP('Données projet'!$B$9,Paramètres!$A$1:$I$89,5,0)</f>
        <v>246.80177599999993</v>
      </c>
      <c r="P61" s="13">
        <f t="shared" si="33"/>
        <v>59.900576970210864</v>
      </c>
      <c r="Q61" s="20">
        <f t="shared" si="53"/>
        <v>534.17326475645041</v>
      </c>
      <c r="R61" s="59">
        <f t="shared" si="0"/>
        <v>827.50659808978367</v>
      </c>
      <c r="S61" s="59">
        <f ca="1">AVERAGE(OFFSET($R$3,0,0,'Données projet'!$E$9+1,1))-AVERAGE(OFFSET($H$3,0,0,'Données projet'!$E$9+1,1))</f>
        <v>349.71285006949597</v>
      </c>
      <c r="T61" s="59">
        <f t="shared" si="34"/>
        <v>258.51550516456842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30.751125732620523</v>
      </c>
      <c r="AA61" s="21">
        <f>EXP(-LN(2)/25)*AA60+(1-EXP(-LN(2)/25))/(LN(2)/25)*Calculateur!V61*Calculateur!X61*VLOOKUP('Données projet'!$B$9,Paramètres!$A$1:$I$89,3,0)*0.475*44/12</f>
        <v>15.186205330341592</v>
      </c>
      <c r="AB61" s="21">
        <f>EXP(-LN(2)/2)*AB60+(1-EXP(-LN(2)/2))/(LN(2)/2)*V61*Y61*VLOOKUP('Données projet'!$B$9,Paramètres!$A$1:$I$89,3,0)*0.475*44/12</f>
        <v>0.62371170420438893</v>
      </c>
      <c r="AC61" s="22">
        <f t="shared" si="3"/>
        <v>46.561042767166505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9.8828571428571443</v>
      </c>
      <c r="AI61" s="13">
        <f>IF('Données projet'!$A$62&gt;35,AI60+AH61-AQ60,IF(A61&lt;'Données projet'!$A$62,$AF$205^A61,IF(A61='Données projet'!$A$62,'Données projet'!$B$62,AI60+AH61-AQ60)))</f>
        <v>192.96714285714285</v>
      </c>
      <c r="AJ61" s="13">
        <f>AI61*VLOOKUP('Données projet'!$B$10,Paramètres!$A$1:$I$89,3,0)*VLOOKUP('Données projet'!$B$10,Paramètres!$A$1:$I$89,5,0)</f>
        <v>183.62753314285715</v>
      </c>
      <c r="AK61" s="13">
        <f t="shared" si="35"/>
        <v>46.128305880116194</v>
      </c>
      <c r="AL61" s="20">
        <f t="shared" si="4"/>
        <v>400.15808629834527</v>
      </c>
      <c r="AM61" s="59">
        <f t="shared" si="5"/>
        <v>693.49141963167858</v>
      </c>
      <c r="AN61" s="59">
        <f ca="1">AVERAGE(OFFSET($AM$3,0,0,'Données projet'!$E$10+1,1))-AVERAGE(OFFSET($H$3,0,0,'Données projet'!$E$10+1,1))</f>
        <v>449.28947235329758</v>
      </c>
      <c r="AO61" s="59">
        <f t="shared" si="36"/>
        <v>289.36994109443964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6.2418865621539394</v>
      </c>
      <c r="AV61" s="21">
        <f>EXP(-LN(2)/25)*AV60+(1-EXP(-LN(2)/25))/(LN(2)/25)*Calculateur!AQ61*Calculateur!AS61*VLOOKUP('Données projet'!$B$10,Paramètres!$A$1:$I$89,3,0)*0.475*44/12</f>
        <v>28.684166996647001</v>
      </c>
      <c r="AW61" s="21">
        <f>EXP(-LN(2)/2)*AW60+(1-EXP(-LN(2)/2))/(LN(2)/2)*AQ61*AT61*VLOOKUP('Données projet'!$B$10,Paramètres!$A$1:$I$89,3,0)*0.475*44/12</f>
        <v>0.59357652725826004</v>
      </c>
      <c r="AX61" s="21">
        <f t="shared" si="6"/>
        <v>35.519630086059195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229.54776000000027</v>
      </c>
      <c r="BF61" s="13">
        <f t="shared" si="37"/>
        <v>56.184885471425758</v>
      </c>
      <c r="BG61" s="20">
        <f t="shared" si="7"/>
        <v>497.651024196067</v>
      </c>
      <c r="BH61" s="59">
        <f t="shared" si="8"/>
        <v>790.98435752940031</v>
      </c>
      <c r="BI61" s="59">
        <f ca="1">AVERAGE(OFFSET($BH$3,0,0,'Données projet'!$E$11+1,1))-AVERAGE(OFFSET($H$3,0,0,'Données projet'!$E$11+1,1))</f>
        <v>635.71275911100679</v>
      </c>
      <c r="BJ61" s="59">
        <f t="shared" si="38"/>
        <v>281.7776857269169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36.474357978367649</v>
      </c>
      <c r="BR61" s="21">
        <f>EXP(-LN(2)/2)*BR60+(1-EXP(-LN(2)/2))/(LN(2)/2)*BL61*BO61*VLOOKUP('Données projet'!$B$11,Paramètres!$A$1:$I$89,3,0)*0.475*44/12</f>
        <v>8.589981127461952</v>
      </c>
      <c r="BS61" s="22">
        <f t="shared" si="9"/>
        <v>45.064339105829603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3.3603333333333336</v>
      </c>
      <c r="BY61" s="12">
        <f>IF('Données projet'!$A$114&gt;35,BY60+BX61-CG60,IF(A61&lt;'Données projet'!$A$114,$BV$205^A61,IF(A61='Données projet'!$A$114,'Données projet'!$B$114,BY60+BX61-CG60)))</f>
        <v>194.89933333333323</v>
      </c>
      <c r="BZ61" s="13">
        <f>BY61*VLOOKUP('Données projet'!$B$12,Paramètres!$A$1:$I$89,3,0)*VLOOKUP('Données projet'!$B$12,Paramètres!$A$1:$I$89,5,0)</f>
        <v>221.95136079999986</v>
      </c>
      <c r="CA61" s="13">
        <f t="shared" si="39"/>
        <v>54.538786128418167</v>
      </c>
      <c r="CB61" s="20">
        <f t="shared" si="10"/>
        <v>481.55367256699475</v>
      </c>
      <c r="CC61" s="59">
        <f t="shared" si="11"/>
        <v>774.88700590032806</v>
      </c>
      <c r="CD61" s="59">
        <f ca="1">AVERAGE(OFFSET($CC$3,0,0,'Données projet'!$E$12+1,1))-AVERAGE(OFFSET($H$3,0,0,'Données projet'!$E$12+1,1))</f>
        <v>593.28343396240075</v>
      </c>
      <c r="CE61" s="59">
        <f t="shared" si="40"/>
        <v>289.66477662068695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3.8461538461538454</v>
      </c>
      <c r="CT61" s="12">
        <f>IF('Données projet'!$A$140&gt;35,CT60+CS61-DB60,IF(A61&lt;'Données projet'!$A$140,$CQ$205^A61,IF(A61='Données projet'!$A$140,'Données projet'!$B$140,CT60+CS61-DB60)))</f>
        <v>133.33333333333337</v>
      </c>
      <c r="CU61" s="17">
        <f>CT61*VLOOKUP('Données projet'!$B$13,Paramètres!$A$1:$I$89,3,0)*VLOOKUP('Données projet'!$B$13,Paramètres!$A$1:$I$89,5,0)</f>
        <v>139.36000000000004</v>
      </c>
      <c r="CV61" s="13">
        <f t="shared" si="41"/>
        <v>36.150351407691375</v>
      </c>
      <c r="CW61" s="20">
        <f t="shared" si="13"/>
        <v>305.6805287017292</v>
      </c>
      <c r="CX61" s="59">
        <f t="shared" si="14"/>
        <v>599.01386203506252</v>
      </c>
      <c r="CY61" s="59">
        <f ca="1">AVERAGE(OFFSET($CX$3,0,0,'Données projet'!$E$13+1,1))-AVERAGE(OFFSET($H$3,0,0,'Données projet'!$E$13+1,1))</f>
        <v>260.65406541614402</v>
      </c>
      <c r="CZ61" s="59">
        <f t="shared" si="42"/>
        <v>277.63456890196886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1.5113873524571937</v>
      </c>
      <c r="DG61" s="21">
        <f>EXP(-LN(2)/25)*DG60+(1-EXP(-LN(2)/25))/(LN(2)/25)*Calculateur!DB61*Calculateur!DD61*VLOOKUP('Données projet'!$B$13,Paramètres!$A$1:$I$89,3,0)*0.475*44/12</f>
        <v>24.647543697493195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26.15893104995039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3.7179487179487181</v>
      </c>
      <c r="DO61" s="12">
        <f>IF('Données projet'!$A$166&gt;35,DO60+DN61-DW60,IF(A61&lt;'Données projet'!$A$166,$DL$205^A61,IF(A61='Données projet'!$A$166,'Données projet'!$B$166,DO60+DN61-DW60)))</f>
        <v>139.35897435897442</v>
      </c>
      <c r="DP61" s="17">
        <f>DO61*VLOOKUP('Données projet'!$B$14,Paramètres!$A$1:$I$89,3,0)*VLOOKUP('Données projet'!$B$14,Paramètres!$A$1:$I$89,5,0)</f>
        <v>91.308000000000035</v>
      </c>
      <c r="DQ61" s="13">
        <f t="shared" si="43"/>
        <v>24.880417702348108</v>
      </c>
      <c r="DR61" s="20">
        <f t="shared" si="16"/>
        <v>202.36149416492299</v>
      </c>
      <c r="DS61" s="59">
        <f t="shared" si="17"/>
        <v>495.6948274982563</v>
      </c>
      <c r="DT61" s="59">
        <f ca="1">AVERAGE(OFFSET($DS$3,0,0,'Données projet'!$E$14+1,1))-AVERAGE(OFFSET($H$3,0,0,'Données projet'!$E$14+1,1))</f>
        <v>181.4272795535777</v>
      </c>
      <c r="DU61" s="59">
        <f t="shared" si="44"/>
        <v>187.67131775419904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1.0817580357429926</v>
      </c>
      <c r="EB61" s="21">
        <f>EXP(-LN(2)/25)*EB60+(1-EXP(-LN(2)/25))/(LN(2)/25)*Calculateur!DW61*Calculateur!DY61*VLOOKUP('Données projet'!$B$14,Paramètres!$A$1:$I$89,3,0)*0.475*44/12</f>
        <v>5.4773094298407319</v>
      </c>
      <c r="EC61" s="21">
        <f>EXP(-LN(2)/2)*EC60+(1-EXP(-LN(2)/2))/(LN(2)/2)*DW61*DZ61*VLOOKUP('Données projet'!$B$14,Paramètres!$A$1:$I$89,3,0)*0.475*44/12</f>
        <v>0.98743911515530125</v>
      </c>
      <c r="ED61" s="22">
        <f t="shared" si="18"/>
        <v>7.5465065807390257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1.1368683772161603E-13</v>
      </c>
      <c r="EK61" s="17">
        <f>EJ61*VLOOKUP('Données projet'!$B$15,Paramètres!$A$1:$I$89,3,0)*VLOOKUP('Données projet'!$B$15,Paramètres!$A$1:$I$89,5,0)</f>
        <v>9.2222762759774927E-14</v>
      </c>
      <c r="EL61" s="13">
        <f t="shared" si="45"/>
        <v>1.3985662224947967E-12</v>
      </c>
      <c r="EM61" s="20">
        <f t="shared" si="19"/>
        <v>2.5964574826517121E-12</v>
      </c>
      <c r="EN61" s="59">
        <f t="shared" si="20"/>
        <v>293.33333333333593</v>
      </c>
      <c r="EO61" s="59">
        <f ca="1">AVERAGE(OFFSET($EN$3,0,0,'Données projet'!$E$15+1,1))-AVERAGE(OFFSET($H$3,0,0,'Données projet'!$E$15+1,1))</f>
        <v>159.68591355116837</v>
      </c>
      <c r="EP61" s="59">
        <f t="shared" si="46"/>
        <v>284.32631786390112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10.210699494686391</v>
      </c>
      <c r="EW61" s="21">
        <f>EXP(-LN(2)/25)*EW60+(1-EXP(-LN(2)/25))/(LN(2)/25)*Calculateur!ER61*Calculateur!ET61*VLOOKUP('Données projet'!$B$15,Paramètres!$A$1:$I$89,3,0)*0.475*44/12</f>
        <v>11.729138593611371</v>
      </c>
      <c r="EX61" s="21">
        <f>EXP(-LN(2)/2)*EX60+(1-EXP(-LN(2)/2))/(LN(2)/2)*ER61*EU61*VLOOKUP('Données projet'!$B$15,Paramètres!$A$1:$I$89,3,0)*0.475*44/12</f>
        <v>5.6996317177374675E-2</v>
      </c>
      <c r="EY61" s="22">
        <f t="shared" si="21"/>
        <v>21.996834405475138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5.2</v>
      </c>
      <c r="FE61" s="12">
        <f>IF('Données projet'!$A$218&gt;35,FE60+FD61-FM60,IF(A61&lt;'Données projet'!$A$218,$FB$205^A61,IF(A61='Données projet'!$A$218,'Données projet'!$B$218,FE60+FD61-FM60)))</f>
        <v>234.59999999999985</v>
      </c>
      <c r="FF61" s="17">
        <f>FE61*VLOOKUP('Données projet'!$B$16,Paramètres!$A$1:$I$89,3,0)*VLOOKUP('Données projet'!$B$16,Paramètres!$A$1:$I$89,5,0)</f>
        <v>186.64775999999989</v>
      </c>
      <c r="FG61" s="13">
        <f t="shared" si="47"/>
        <v>46.79805411155214</v>
      </c>
      <c r="FH61" s="20">
        <f t="shared" si="22"/>
        <v>406.58479291095313</v>
      </c>
      <c r="FI61" s="59">
        <f t="shared" si="23"/>
        <v>699.91812624428644</v>
      </c>
      <c r="FJ61" s="59">
        <f ca="1">AVERAGE(OFFSET($FI$3,0,0,'Données projet'!$E$16+1,1))-AVERAGE(OFFSET($H$3,0,0,'Données projet'!$E$16+1,1))</f>
        <v>299.10536994156814</v>
      </c>
      <c r="FK61" s="59">
        <f t="shared" si="48"/>
        <v>292.57799203101769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7.3847949450082284</v>
      </c>
      <c r="FR61" s="21">
        <f>EXP(-LN(2)/25)*FR60+(1-EXP(-LN(2)/25))/(LN(2)/25)*Calculateur!FM61*Calculateur!FO61*VLOOKUP('Données projet'!$B$16,Paramètres!$A$1:$I$89,3,0)*0.475*44/12</f>
        <v>12.900029062633809</v>
      </c>
      <c r="FS61" s="21">
        <f>EXP(-LN(2)/2)*FS60+(1-EXP(-LN(2)/2))/(LN(2)/2)*FM61*FP61*VLOOKUP('Données projet'!$B$16,Paramètres!$A$1:$I$89,3,0)*0.475*44/12</f>
        <v>1.1200346720915035</v>
      </c>
      <c r="FT61" s="22">
        <f t="shared" si="24"/>
        <v>21.40485867973354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5.6843418860808015E-14</v>
      </c>
      <c r="GA61" s="17">
        <f>FZ61*VLOOKUP('Données projet'!$B$17,Paramètres!$A$1:$I$89,3,0)*VLOOKUP('Données projet'!$B$17,Paramètres!$A$1:$I$89,5,0)</f>
        <v>5.1431925385259088E-14</v>
      </c>
      <c r="GB61" s="13">
        <f t="shared" si="49"/>
        <v>8.3482866290946129E-13</v>
      </c>
      <c r="GC61" s="20">
        <f t="shared" si="25"/>
        <v>1.5435705246133045E-12</v>
      </c>
      <c r="GD61" s="59">
        <f t="shared" si="26"/>
        <v>293.33333333333485</v>
      </c>
      <c r="GE61" s="59">
        <f ca="1">AVERAGE(OFFSET($GD$3,0,0,'Données projet'!$E$17+1,1))-AVERAGE(OFFSET($H$3,0,0,'Données projet'!$E$17+1,1))</f>
        <v>204.78565758021779</v>
      </c>
      <c r="GF61" s="59">
        <f t="shared" si="50"/>
        <v>287.25131613242439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12.066221397949954</v>
      </c>
      <c r="GM61" s="21">
        <f>EXP(-LN(2)/25)*GM60+(1-EXP(-LN(2)/25))/(LN(2)/25)*Calculateur!GH61*Calculateur!GJ61*VLOOKUP('Données projet'!$B$17,Paramètres!$A$1:$I$89,3,0)*0.475*44/12</f>
        <v>9.2171654124356444</v>
      </c>
      <c r="GN61" s="21">
        <f>EXP(-LN(2)/2)*GN60+(1-EXP(-LN(2)/2))/(LN(2)/2)*GH61*GK61*VLOOKUP('Données projet'!$B$17,Paramètres!$A$1:$I$89,3,0)*0.475*44/12</f>
        <v>0.15236592609211491</v>
      </c>
      <c r="GO61" s="21">
        <f t="shared" si="27"/>
        <v>21.435752736477717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9.375</v>
      </c>
      <c r="GU61" s="12">
        <f>IF('Données projet'!$A$270&gt;35,GU60+GT61-HC60,IF(A61&lt;'Données projet'!$A$270,$GR$205^A61,IF(A61='Données projet'!$A$270,'Données projet'!$B$270,GU60+GT61-HC60)))</f>
        <v>278.24999999999989</v>
      </c>
      <c r="GV61" s="17">
        <f>GU61*VLOOKUP('Données projet'!$B$18,Paramètres!$A$1:$I$89,3,0)*VLOOKUP('Données projet'!$B$18,Paramètres!$A$1:$I$89,5,0)</f>
        <v>217.03499999999991</v>
      </c>
      <c r="GW61" s="13">
        <f t="shared" si="51"/>
        <v>53.469949591969474</v>
      </c>
      <c r="GX61" s="20">
        <f t="shared" si="28"/>
        <v>471.12945387267996</v>
      </c>
      <c r="GY61" s="59">
        <f t="shared" si="29"/>
        <v>764.46278720601322</v>
      </c>
      <c r="GZ61" s="59">
        <f ca="1">AVERAGE(OFFSET($GY$3,0,0,'Données projet'!$E$18+1,1))-AVERAGE(OFFSET($H$3,0,0,'Données projet'!$E$18+1,1))</f>
        <v>288.82868507674738</v>
      </c>
      <c r="HA61" s="59">
        <f t="shared" si="52"/>
        <v>283.48738729114024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11.128008015238736</v>
      </c>
      <c r="HH61" s="21">
        <f>EXP(-LN(2)/25)*HH60+(1-EXP(-LN(2)/25))/(LN(2)/25)*Calculateur!HC61*Calculateur!HE61*VLOOKUP('Données projet'!$B$18,Paramètres!$A$1:$I$89,3,0)*0.475*44/12</f>
        <v>11.762052282371283</v>
      </c>
      <c r="HI61" s="21">
        <f>EXP(-LN(2)/2)*HI60+(1-EXP(-LN(2)/2))/(LN(2)/2)*HC61*HF61*VLOOKUP('Données projet'!$B$18,Paramètres!$A$1:$I$89,3,0)*0.475*44/12</f>
        <v>1.1709429492338335</v>
      </c>
      <c r="HJ61" s="22">
        <f t="shared" si="30"/>
        <v>24.061003246843853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14.113999999999999</v>
      </c>
      <c r="N62" s="13">
        <f>IF('Données projet'!$A$36&gt;35,N61+M62-V61,IF(A62&lt;'Données projet'!$A$36,$K$205^A62,IF(A62='Données projet'!$A$36,'Données projet'!$B$36,N61+M62-V61)))</f>
        <v>426.82599999999985</v>
      </c>
      <c r="O62" s="13">
        <f>N62*VLOOKUP('Données projet'!$B$9,Paramètres!$A$1:$I$89,3,0)*VLOOKUP('Données projet'!$B$9,Paramètres!$A$1:$I$89,5,0)</f>
        <v>255.24194799999992</v>
      </c>
      <c r="P62" s="13">
        <f t="shared" si="33"/>
        <v>61.707065896857912</v>
      </c>
      <c r="Q62" s="20">
        <f t="shared" si="53"/>
        <v>552.01953253702732</v>
      </c>
      <c r="R62" s="59">
        <f t="shared" si="0"/>
        <v>845.35286587036057</v>
      </c>
      <c r="S62" s="59">
        <f ca="1">AVERAGE(OFFSET($R$3,0,0,'Données projet'!$E$9+1,1))-AVERAGE(OFFSET($H$3,0,0,'Données projet'!$E$9+1,1))</f>
        <v>349.71285006949597</v>
      </c>
      <c r="T62" s="59">
        <f t="shared" si="34"/>
        <v>258.51550516456842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30.148114913338496</v>
      </c>
      <c r="AA62" s="21">
        <f>EXP(-LN(2)/25)*AA61+(1-EXP(-LN(2)/25))/(LN(2)/25)*Calculateur!V62*Calculateur!X62*VLOOKUP('Données projet'!$B$9,Paramètres!$A$1:$I$89,3,0)*0.475*44/12</f>
        <v>14.770937746975571</v>
      </c>
      <c r="AB62" s="21">
        <f>EXP(-LN(2)/2)*AB61+(1-EXP(-LN(2)/2))/(LN(2)/2)*V62*Y62*VLOOKUP('Données projet'!$B$9,Paramètres!$A$1:$I$89,3,0)*0.475*44/12</f>
        <v>0.44103077554834152</v>
      </c>
      <c r="AC62" s="22">
        <f t="shared" si="3"/>
        <v>45.360083435862407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202.85</v>
      </c>
      <c r="AG62" s="12">
        <f>VLOOKUP(A62,'Données projet'!$A$61:$I$81,9,0)</f>
        <v>9.8828571428571443</v>
      </c>
      <c r="AH62" s="12">
        <f t="array" ref="AH62">INDEX(AG:AG,MIN(IF(ISNUMBER(AG62:AG258),ROW(AG62:AG258),"")))</f>
        <v>9.8828571428571443</v>
      </c>
      <c r="AI62" s="13">
        <f>IF('Données projet'!$A$62&gt;35,AI61+AH62-AQ61,IF(A62&lt;'Données projet'!$A$62,$AF$205^A62,IF(A62='Données projet'!$A$62,'Données projet'!$B$62,AI61+AH62-AQ61)))</f>
        <v>202.85</v>
      </c>
      <c r="AJ62" s="13">
        <f>AI62*VLOOKUP('Données projet'!$B$10,Paramètres!$A$1:$I$89,3,0)*VLOOKUP('Données projet'!$B$10,Paramètres!$A$1:$I$89,5,0)</f>
        <v>193.03206</v>
      </c>
      <c r="AK62" s="13">
        <f t="shared" si="35"/>
        <v>48.20967933854056</v>
      </c>
      <c r="AL62" s="20">
        <f t="shared" si="4"/>
        <v>420.16269601462477</v>
      </c>
      <c r="AM62" s="59">
        <f t="shared" si="5"/>
        <v>713.49602934795803</v>
      </c>
      <c r="AN62" s="59">
        <f ca="1">AVERAGE(OFFSET($AM$3,0,0,'Données projet'!$E$10+1,1))-AVERAGE(OFFSET($H$3,0,0,'Données projet'!$E$10+1,1))</f>
        <v>449.28947235329758</v>
      </c>
      <c r="AO62" s="59">
        <f t="shared" si="36"/>
        <v>289.36994109443964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41.81</v>
      </c>
      <c r="AR62" s="16">
        <f>IF(ISNA(VLOOKUP(A62,'Données projet'!$A$61:$I$81,5,0)),0%,VLOOKUP(A62,'Données projet'!$A$61:$I$81,5,0)*VLOOKUP('Données projet'!$B$10,Paramètres!$A$1:$I$89,7,0))</f>
        <v>0.15049999999999999</v>
      </c>
      <c r="AS62" s="16">
        <f>IF(ISNA(VLOOKUP(A62,'Données projet'!$A$61:$I$81,6,0)),0%,VLOOKUP(A62,'Données projet'!$A$61:$I$81,6,0)*VLOOKUP('Données projet'!$B$10,Paramètres!$A$1:$I$89,7,0))</f>
        <v>8.6000000000000007E-2</v>
      </c>
      <c r="AT62" s="16">
        <f>IF(ISNA(VLOOKUP(A62,'Données projet'!$A$61:$I$81,7,0)),0%,VLOOKUP(A62,'Données projet'!$A$61:$I$81,7,0))</f>
        <v>0.1</v>
      </c>
      <c r="AU62" s="21">
        <f>EXP(-LN(2)/35)*AU61+(1-EXP(-LN(2)/35))/(LN(2)/35)*AQ62*AR62*VLOOKUP('Données projet'!$B$10,Paramètres!$A$1:$I$89,3,0)*0.475*44/12</f>
        <v>12.738880657943398</v>
      </c>
      <c r="AV62" s="21">
        <f>EXP(-LN(2)/25)*AV61+(1-EXP(-LN(2)/25))/(LN(2)/25)*Calculateur!AQ62*Calculateur!AS62*VLOOKUP('Données projet'!$B$10,Paramètres!$A$1:$I$89,3,0)*0.475*44/12</f>
        <v>31.667414432533132</v>
      </c>
      <c r="AW62" s="21">
        <f>EXP(-LN(2)/2)*AW61+(1-EXP(-LN(2)/2))/(LN(2)/2)*AQ62*AT62*VLOOKUP('Données projet'!$B$10,Paramètres!$A$1:$I$89,3,0)*0.475*44/12</f>
        <v>4.1736755336922924</v>
      </c>
      <c r="AX62" s="21">
        <f t="shared" si="6"/>
        <v>48.579970624168823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195.45263400000027</v>
      </c>
      <c r="BF62" s="13">
        <f t="shared" si="37"/>
        <v>48.743460533300031</v>
      </c>
      <c r="BG62" s="20">
        <f t="shared" si="7"/>
        <v>425.3081979788314</v>
      </c>
      <c r="BH62" s="59">
        <f t="shared" si="8"/>
        <v>718.64153131216472</v>
      </c>
      <c r="BI62" s="59">
        <f ca="1">AVERAGE(OFFSET($BH$3,0,0,'Données projet'!$E$11+1,1))-AVERAGE(OFFSET($H$3,0,0,'Données projet'!$E$11+1,1))</f>
        <v>635.71275911100679</v>
      </c>
      <c r="BJ62" s="59">
        <f t="shared" si="38"/>
        <v>281.7776857269169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35.476964741346066</v>
      </c>
      <c r="BR62" s="21">
        <f>EXP(-LN(2)/2)*BR61+(1-EXP(-LN(2)/2))/(LN(2)/2)*BL62*BO62*VLOOKUP('Données projet'!$B$11,Paramètres!$A$1:$I$89,3,0)*0.475*44/12</f>
        <v>6.0740339054928114</v>
      </c>
      <c r="BS62" s="22">
        <f t="shared" si="9"/>
        <v>41.550998646838877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3.3603333333333336</v>
      </c>
      <c r="BY62" s="12">
        <f>IF('Données projet'!$A$114&gt;35,BY61+BX62-CG61,IF(A62&lt;'Données projet'!$A$114,$BV$205^A62,IF(A62='Données projet'!$A$114,'Données projet'!$B$114,BY61+BX62-CG61)))</f>
        <v>198.25966666666656</v>
      </c>
      <c r="BZ62" s="13">
        <f>BY62*VLOOKUP('Données projet'!$B$12,Paramètres!$A$1:$I$89,3,0)*VLOOKUP('Données projet'!$B$12,Paramètres!$A$1:$I$89,5,0)</f>
        <v>225.77810839999987</v>
      </c>
      <c r="CA62" s="13">
        <f t="shared" si="39"/>
        <v>55.368827891142729</v>
      </c>
      <c r="CB62" s="20">
        <f t="shared" si="10"/>
        <v>489.66424737373995</v>
      </c>
      <c r="CC62" s="59">
        <f t="shared" si="11"/>
        <v>782.99758070707321</v>
      </c>
      <c r="CD62" s="59">
        <f ca="1">AVERAGE(OFFSET($CC$3,0,0,'Données projet'!$E$12+1,1))-AVERAGE(OFFSET($H$3,0,0,'Données projet'!$E$12+1,1))</f>
        <v>593.28343396240075</v>
      </c>
      <c r="CE62" s="59">
        <f t="shared" si="40"/>
        <v>289.66477662068695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3.8461538461538454</v>
      </c>
      <c r="CT62" s="12">
        <f>IF('Données projet'!$A$140&gt;35,CT61+CS62-DB61,IF(A62&lt;'Données projet'!$A$140,$CQ$205^A62,IF(A62='Données projet'!$A$140,'Données projet'!$B$140,CT61+CS62-DB61)))</f>
        <v>137.17948717948721</v>
      </c>
      <c r="CU62" s="17">
        <f>CT62*VLOOKUP('Données projet'!$B$13,Paramètres!$A$1:$I$89,3,0)*VLOOKUP('Données projet'!$B$13,Paramètres!$A$1:$I$89,5,0)</f>
        <v>143.38000000000005</v>
      </c>
      <c r="CV62" s="13">
        <f t="shared" si="41"/>
        <v>37.070237688614164</v>
      </c>
      <c r="CW62" s="20">
        <f t="shared" si="13"/>
        <v>314.28416397433642</v>
      </c>
      <c r="CX62" s="59">
        <f t="shared" si="14"/>
        <v>607.61749730766974</v>
      </c>
      <c r="CY62" s="59">
        <f ca="1">AVERAGE(OFFSET($CX$3,0,0,'Données projet'!$E$13+1,1))-AVERAGE(OFFSET($H$3,0,0,'Données projet'!$E$13+1,1))</f>
        <v>260.65406541614402</v>
      </c>
      <c r="CZ62" s="59">
        <f t="shared" si="42"/>
        <v>277.63456890196886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1.4817499683307676</v>
      </c>
      <c r="DG62" s="21">
        <f>EXP(-LN(2)/25)*DG61+(1-EXP(-LN(2)/25))/(LN(2)/25)*Calculateur!DB62*Calculateur!DD62*VLOOKUP('Données projet'!$B$13,Paramètres!$A$1:$I$89,3,0)*0.475*44/12</f>
        <v>23.973555318927254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25.455305287258021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3.7179487179487181</v>
      </c>
      <c r="DO62" s="12">
        <f>IF('Données projet'!$A$166&gt;35,DO61+DN62-DW61,IF(A62&lt;'Données projet'!$A$166,$DL$205^A62,IF(A62='Données projet'!$A$166,'Données projet'!$B$166,DO61+DN62-DW61)))</f>
        <v>143.07692307692315</v>
      </c>
      <c r="DP62" s="17">
        <f>DO62*VLOOKUP('Données projet'!$B$14,Paramètres!$A$1:$I$89,3,0)*VLOOKUP('Données projet'!$B$14,Paramètres!$A$1:$I$89,5,0)</f>
        <v>93.744000000000042</v>
      </c>
      <c r="DQ62" s="13">
        <f t="shared" si="43"/>
        <v>25.466034575236794</v>
      </c>
      <c r="DR62" s="20">
        <f t="shared" si="16"/>
        <v>207.62414355187082</v>
      </c>
      <c r="DS62" s="59">
        <f t="shared" si="17"/>
        <v>500.95747688520413</v>
      </c>
      <c r="DT62" s="59">
        <f ca="1">AVERAGE(OFFSET($DS$3,0,0,'Données projet'!$E$14+1,1))-AVERAGE(OFFSET($H$3,0,0,'Données projet'!$E$14+1,1))</f>
        <v>181.4272795535777</v>
      </c>
      <c r="DU62" s="59">
        <f t="shared" si="44"/>
        <v>187.67131775419904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1.0605454204693237</v>
      </c>
      <c r="EB62" s="21">
        <f>EXP(-LN(2)/25)*EB61+(1-EXP(-LN(2)/25))/(LN(2)/25)*Calculateur!DW62*Calculateur!DY62*VLOOKUP('Données projet'!$B$14,Paramètres!$A$1:$I$89,3,0)*0.475*44/12</f>
        <v>5.327532115442553</v>
      </c>
      <c r="EC62" s="21">
        <f>EXP(-LN(2)/2)*EC61+(1-EXP(-LN(2)/2))/(LN(2)/2)*DW62*DZ62*VLOOKUP('Données projet'!$B$14,Paramètres!$A$1:$I$89,3,0)*0.475*44/12</f>
        <v>0.69822489433515778</v>
      </c>
      <c r="ED62" s="22">
        <f t="shared" si="18"/>
        <v>7.0863024302470343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1.1368683772161603E-13</v>
      </c>
      <c r="EK62" s="17">
        <f>EJ62*VLOOKUP('Données projet'!$B$15,Paramètres!$A$1:$I$89,3,0)*VLOOKUP('Données projet'!$B$15,Paramètres!$A$1:$I$89,5,0)</f>
        <v>9.2222762759774927E-14</v>
      </c>
      <c r="EL62" s="13">
        <f t="shared" si="45"/>
        <v>1.3985662224947967E-12</v>
      </c>
      <c r="EM62" s="20">
        <f t="shared" si="19"/>
        <v>2.5964574826517121E-12</v>
      </c>
      <c r="EN62" s="59">
        <f t="shared" si="20"/>
        <v>293.33333333333593</v>
      </c>
      <c r="EO62" s="59">
        <f ca="1">AVERAGE(OFFSET($EN$3,0,0,'Données projet'!$E$15+1,1))-AVERAGE(OFFSET($H$3,0,0,'Données projet'!$E$15+1,1))</f>
        <v>159.68591355116837</v>
      </c>
      <c r="EP62" s="59">
        <f t="shared" si="46"/>
        <v>284.32631786390112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10.010473905507327</v>
      </c>
      <c r="EW62" s="21">
        <f>EXP(-LN(2)/25)*EW61+(1-EXP(-LN(2)/25))/(LN(2)/25)*Calculateur!ER62*Calculateur!ET62*VLOOKUP('Données projet'!$B$15,Paramètres!$A$1:$I$89,3,0)*0.475*44/12</f>
        <v>11.408404681960477</v>
      </c>
      <c r="EX62" s="21">
        <f>EXP(-LN(2)/2)*EX61+(1-EXP(-LN(2)/2))/(LN(2)/2)*ER62*EU62*VLOOKUP('Données projet'!$B$15,Paramètres!$A$1:$I$89,3,0)*0.475*44/12</f>
        <v>4.0302482378780938E-2</v>
      </c>
      <c r="EY62" s="22">
        <f t="shared" si="21"/>
        <v>21.459181069846583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5.2</v>
      </c>
      <c r="FE62" s="12">
        <f>IF('Données projet'!$A$218&gt;35,FE61+FD62-FM61,IF(A62&lt;'Données projet'!$A$218,$FB$205^A62,IF(A62='Données projet'!$A$218,'Données projet'!$B$218,FE61+FD62-FM61)))</f>
        <v>239.79999999999984</v>
      </c>
      <c r="FF62" s="17">
        <f>FE62*VLOOKUP('Données projet'!$B$16,Paramètres!$A$1:$I$89,3,0)*VLOOKUP('Données projet'!$B$16,Paramètres!$A$1:$I$89,5,0)</f>
        <v>190.78487999999987</v>
      </c>
      <c r="FG62" s="13">
        <f t="shared" si="47"/>
        <v>47.713437020051622</v>
      </c>
      <c r="FH62" s="20">
        <f t="shared" si="22"/>
        <v>415.384568809923</v>
      </c>
      <c r="FI62" s="59">
        <f t="shared" si="23"/>
        <v>708.71790214325631</v>
      </c>
      <c r="FJ62" s="59">
        <f ca="1">AVERAGE(OFFSET($FI$3,0,0,'Données projet'!$E$16+1,1))-AVERAGE(OFFSET($H$3,0,0,'Données projet'!$E$16+1,1))</f>
        <v>299.10536994156814</v>
      </c>
      <c r="FK62" s="59">
        <f t="shared" si="48"/>
        <v>292.57799203101769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7.2399836204167727</v>
      </c>
      <c r="FR62" s="21">
        <f>EXP(-LN(2)/25)*FR61+(1-EXP(-LN(2)/25))/(LN(2)/25)*Calculateur!FM62*Calculateur!FO62*VLOOKUP('Données projet'!$B$16,Paramètres!$A$1:$I$89,3,0)*0.475*44/12</f>
        <v>12.547277089533043</v>
      </c>
      <c r="FS62" s="21">
        <f>EXP(-LN(2)/2)*FS61+(1-EXP(-LN(2)/2))/(LN(2)/2)*FM62*FP62*VLOOKUP('Données projet'!$B$16,Paramètres!$A$1:$I$89,3,0)*0.475*44/12</f>
        <v>0.79198411179995332</v>
      </c>
      <c r="FT62" s="22">
        <f t="shared" si="24"/>
        <v>20.579244821749768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5.6843418860808015E-14</v>
      </c>
      <c r="GA62" s="17">
        <f>FZ62*VLOOKUP('Données projet'!$B$17,Paramètres!$A$1:$I$89,3,0)*VLOOKUP('Données projet'!$B$17,Paramètres!$A$1:$I$89,5,0)</f>
        <v>5.1431925385259088E-14</v>
      </c>
      <c r="GB62" s="13">
        <f t="shared" si="49"/>
        <v>8.3482866290946129E-13</v>
      </c>
      <c r="GC62" s="20">
        <f t="shared" si="25"/>
        <v>1.5435705246133045E-12</v>
      </c>
      <c r="GD62" s="59">
        <f t="shared" si="26"/>
        <v>293.33333333333485</v>
      </c>
      <c r="GE62" s="59">
        <f ca="1">AVERAGE(OFFSET($GD$3,0,0,'Données projet'!$E$17+1,1))-AVERAGE(OFFSET($H$3,0,0,'Données projet'!$E$17+1,1))</f>
        <v>204.78565758021779</v>
      </c>
      <c r="GF62" s="59">
        <f t="shared" si="50"/>
        <v>287.25131613242439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11.829610156004502</v>
      </c>
      <c r="GM62" s="21">
        <f>EXP(-LN(2)/25)*GM61+(1-EXP(-LN(2)/25))/(LN(2)/25)*Calculateur!GH62*Calculateur!GJ62*VLOOKUP('Données projet'!$B$17,Paramètres!$A$1:$I$89,3,0)*0.475*44/12</f>
        <v>8.9651215395229293</v>
      </c>
      <c r="GN62" s="21">
        <f>EXP(-LN(2)/2)*GN61+(1-EXP(-LN(2)/2))/(LN(2)/2)*GH62*GK62*VLOOKUP('Données projet'!$B$17,Paramètres!$A$1:$I$89,3,0)*0.475*44/12</f>
        <v>0.10773897956150277</v>
      </c>
      <c r="GO62" s="21">
        <f t="shared" si="27"/>
        <v>20.902470675088935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9.375</v>
      </c>
      <c r="GU62" s="12">
        <f>IF('Données projet'!$A$270&gt;35,GU61+GT62-HC61,IF(A62&lt;'Données projet'!$A$270,$GR$205^A62,IF(A62='Données projet'!$A$270,'Données projet'!$B$270,GU61+GT62-HC61)))</f>
        <v>287.62499999999989</v>
      </c>
      <c r="GV62" s="17">
        <f>GU62*VLOOKUP('Données projet'!$B$18,Paramètres!$A$1:$I$89,3,0)*VLOOKUP('Données projet'!$B$18,Paramètres!$A$1:$I$89,5,0)</f>
        <v>224.34749999999991</v>
      </c>
      <c r="GW62" s="13">
        <f t="shared" si="51"/>
        <v>55.058714525680429</v>
      </c>
      <c r="GX62" s="20">
        <f t="shared" si="28"/>
        <v>486.63249029889329</v>
      </c>
      <c r="GY62" s="59">
        <f t="shared" si="29"/>
        <v>779.9658236322266</v>
      </c>
      <c r="GZ62" s="59">
        <f ca="1">AVERAGE(OFFSET($GY$3,0,0,'Données projet'!$E$18+1,1))-AVERAGE(OFFSET($H$3,0,0,'Données projet'!$E$18+1,1))</f>
        <v>288.82868507674738</v>
      </c>
      <c r="HA62" s="59">
        <f t="shared" si="52"/>
        <v>283.48738729114024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10.909794565474591</v>
      </c>
      <c r="HH62" s="21">
        <f>EXP(-LN(2)/25)*HH61+(1-EXP(-LN(2)/25))/(LN(2)/25)*Calculateur!HC62*Calculateur!HE62*VLOOKUP('Données projet'!$B$18,Paramètres!$A$1:$I$89,3,0)*0.475*44/12</f>
        <v>11.440418344170393</v>
      </c>
      <c r="HI62" s="21">
        <f>EXP(-LN(2)/2)*HI61+(1-EXP(-LN(2)/2))/(LN(2)/2)*HC62*HF62*VLOOKUP('Données projet'!$B$18,Paramètres!$A$1:$I$89,3,0)*0.475*44/12</f>
        <v>0.82798169978581893</v>
      </c>
      <c r="HJ62" s="22">
        <f t="shared" si="30"/>
        <v>23.178194609430804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440.94</v>
      </c>
      <c r="L63" s="12">
        <f>VLOOKUP(A63,'Données projet'!$A$35:$I$55,9,0)</f>
        <v>14.113999999999999</v>
      </c>
      <c r="M63" s="12">
        <f t="array" ref="M63">INDEX(L:L,MIN(IF(ISNUMBER(L63:L259),ROW(L63:L259),"")))</f>
        <v>14.113999999999999</v>
      </c>
      <c r="N63" s="13">
        <f>IF('Données projet'!$A$36&gt;35,N62+M63-V62,IF(A63&lt;'Données projet'!$A$36,$K$205^A63,IF(A63='Données projet'!$A$36,'Données projet'!$B$36,N62+M63-V62)))</f>
        <v>440.93999999999983</v>
      </c>
      <c r="O63" s="13">
        <f>N63*VLOOKUP('Données projet'!$B$9,Paramètres!$A$1:$I$89,3,0)*VLOOKUP('Données projet'!$B$9,Paramètres!$A$1:$I$89,5,0)</f>
        <v>263.68211999999988</v>
      </c>
      <c r="P63" s="13">
        <f t="shared" si="33"/>
        <v>63.506613606650006</v>
      </c>
      <c r="Q63" s="20">
        <f t="shared" si="53"/>
        <v>569.85371103158184</v>
      </c>
      <c r="R63" s="59">
        <f t="shared" si="0"/>
        <v>863.18704436491521</v>
      </c>
      <c r="S63" s="59">
        <f ca="1">AVERAGE(OFFSET($R$3,0,0,'Données projet'!$E$9+1,1))-AVERAGE(OFFSET($H$3,0,0,'Données projet'!$E$9+1,1))</f>
        <v>349.71285006949597</v>
      </c>
      <c r="T63" s="59">
        <f t="shared" si="34"/>
        <v>258.51550516456842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69.839999999999975</v>
      </c>
      <c r="W63" s="16">
        <f>IF(ISNA(VLOOKUP(A63,'Données projet'!$A$35:$I$55,5,0)),0%,VLOOKUP(A63,'Données projet'!$A$35:$I$55,5,0)*VLOOKUP('Données projet'!$B$9,Paramètres!$A$1:$I$89,7,0))</f>
        <v>0.27</v>
      </c>
      <c r="X63" s="16">
        <f>IF(ISNA(VLOOKUP(A63,'Données projet'!$A$35:$I$55,6,0)),0%,VLOOKUP(A63,'Données projet'!$A$35:$I$55,6,0)*VLOOKUP('Données projet'!$B$9,Paramètres!$A$1:$I$89,7,0))</f>
        <v>9.0000000000000011E-2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44.515755621175032</v>
      </c>
      <c r="AA63" s="21">
        <f>EXP(-LN(2)/25)*AA62+(1-EXP(-LN(2)/25))/(LN(2)/25)*Calculateur!V63*Calculateur!X63*VLOOKUP('Données projet'!$B$9,Paramètres!$A$1:$I$89,3,0)*0.475*44/12</f>
        <v>19.333668428072521</v>
      </c>
      <c r="AB63" s="21">
        <f>EXP(-LN(2)/2)*AB62+(1-EXP(-LN(2)/2))/(LN(2)/2)*V63*Y63*VLOOKUP('Données projet'!$B$9,Paramètres!$A$1:$I$89,3,0)*0.475*44/12</f>
        <v>9.7692382497482964</v>
      </c>
      <c r="AC63" s="22">
        <f t="shared" si="3"/>
        <v>73.618662298995844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9.7525000000000013</v>
      </c>
      <c r="AI63" s="13">
        <f>IF('Données projet'!$A$62&gt;35,AI62+AH63-AQ62,IF(A63&lt;'Données projet'!$A$62,$AF$205^A63,IF(A63='Données projet'!$A$62,'Données projet'!$B$62,AI62+AH63-AQ62)))</f>
        <v>170.79249999999999</v>
      </c>
      <c r="AJ63" s="13">
        <f>AI63*VLOOKUP('Données projet'!$B$10,Paramètres!$A$1:$I$89,3,0)*VLOOKUP('Données projet'!$B$10,Paramètres!$A$1:$I$89,5,0)</f>
        <v>162.52614299999999</v>
      </c>
      <c r="AK63" s="13">
        <f t="shared" si="35"/>
        <v>41.411773501591178</v>
      </c>
      <c r="AL63" s="20">
        <f t="shared" si="4"/>
        <v>355.19187124027127</v>
      </c>
      <c r="AM63" s="59">
        <f t="shared" si="5"/>
        <v>648.52520457360458</v>
      </c>
      <c r="AN63" s="59">
        <f ca="1">AVERAGE(OFFSET($AM$3,0,0,'Données projet'!$E$10+1,1))-AVERAGE(OFFSET($H$3,0,0,'Données projet'!$E$10+1,1))</f>
        <v>449.28947235329758</v>
      </c>
      <c r="AO63" s="59">
        <f t="shared" si="36"/>
        <v>289.36994109443964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12.48907897819111</v>
      </c>
      <c r="AV63" s="21">
        <f>EXP(-LN(2)/25)*AV62+(1-EXP(-LN(2)/25))/(LN(2)/25)*Calculateur!AQ63*Calculateur!AS63*VLOOKUP('Données projet'!$B$10,Paramètres!$A$1:$I$89,3,0)*0.475*44/12</f>
        <v>30.801467319558565</v>
      </c>
      <c r="AW63" s="21">
        <f>EXP(-LN(2)/2)*AW62+(1-EXP(-LN(2)/2))/(LN(2)/2)*AQ63*AT63*VLOOKUP('Données projet'!$B$10,Paramètres!$A$1:$I$89,3,0)*0.475*44/12</f>
        <v>2.9512342723462028</v>
      </c>
      <c r="AX63" s="21">
        <f t="shared" si="6"/>
        <v>46.241780570095877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204.59790000000024</v>
      </c>
      <c r="BF63" s="13">
        <f t="shared" si="37"/>
        <v>50.753306398717811</v>
      </c>
      <c r="BG63" s="20">
        <f t="shared" si="7"/>
        <v>444.73668447776726</v>
      </c>
      <c r="BH63" s="59">
        <f t="shared" si="8"/>
        <v>738.07001781110057</v>
      </c>
      <c r="BI63" s="59">
        <f ca="1">AVERAGE(OFFSET($BH$3,0,0,'Données projet'!$E$11+1,1))-AVERAGE(OFFSET($H$3,0,0,'Données projet'!$E$11+1,1))</f>
        <v>635.71275911100679</v>
      </c>
      <c r="BJ63" s="59">
        <f t="shared" si="38"/>
        <v>281.7776857269169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34.506845274841467</v>
      </c>
      <c r="BR63" s="21">
        <f>EXP(-LN(2)/2)*BR62+(1-EXP(-LN(2)/2))/(LN(2)/2)*BL63*BO63*VLOOKUP('Données projet'!$B$11,Paramètres!$A$1:$I$89,3,0)*0.475*44/12</f>
        <v>4.294990563730976</v>
      </c>
      <c r="BS63" s="22">
        <f t="shared" si="9"/>
        <v>38.801835838572444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201.62</v>
      </c>
      <c r="BW63" s="12">
        <f>VLOOKUP(A63,'Données projet'!$A$113:$I$133,9,0)</f>
        <v>3.3603333333333336</v>
      </c>
      <c r="BX63" s="12">
        <f t="array" ref="BX63">INDEX(BW:BW,MIN(IF(ISNUMBER(BW63:BW259),ROW(BW63:BW259),"")))</f>
        <v>3.3603333333333336</v>
      </c>
      <c r="BY63" s="12">
        <f>IF('Données projet'!$A$114&gt;35,BY62+BX63-CG62,IF(A63&lt;'Données projet'!$A$114,$BV$205^A63,IF(A63='Données projet'!$A$114,'Données projet'!$B$114,BY62+BX63-CG62)))</f>
        <v>201.61999999999989</v>
      </c>
      <c r="BZ63" s="13">
        <f>BY63*VLOOKUP('Données projet'!$B$12,Paramètres!$A$1:$I$89,3,0)*VLOOKUP('Données projet'!$B$12,Paramètres!$A$1:$I$89,5,0)</f>
        <v>229.6048559999999</v>
      </c>
      <c r="CA63" s="13">
        <f t="shared" si="39"/>
        <v>56.19723361144181</v>
      </c>
      <c r="CB63" s="20">
        <f t="shared" si="10"/>
        <v>497.77197273992761</v>
      </c>
      <c r="CC63" s="59">
        <f t="shared" si="11"/>
        <v>791.10530607326086</v>
      </c>
      <c r="CD63" s="59">
        <f ca="1">AVERAGE(OFFSET($CC$3,0,0,'Données projet'!$E$12+1,1))-AVERAGE(OFFSET($H$3,0,0,'Données projet'!$E$12+1,1))</f>
        <v>593.28343396240075</v>
      </c>
      <c r="CE63" s="59">
        <f t="shared" si="40"/>
        <v>289.66477662068695</v>
      </c>
      <c r="CF63" s="15">
        <f>IF(ISNA(VLOOKUP(A63,'Données projet'!$A$113:$I$133,3,0)),0,VLOOKUP(A63,'Données projet'!$A$113:$I$133,3,0))</f>
        <v>1</v>
      </c>
      <c r="CG63" s="15">
        <f>IF(ISNA(VLOOKUP(A63,'Données projet'!$A$113:$I$133,4,0)),0,VLOOKUP(A63,'Données projet'!$A$113:$I$133,4,0))</f>
        <v>72.87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0.34400000000000003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31.433187477653828</v>
      </c>
      <c r="CM63" s="21">
        <f>EXP(-LN(2)/2)*CM62+(1-EXP(-LN(2)/2))/(LN(2)/2)*CG63*CJ63*VLOOKUP('Données projet'!$B$12,Paramètres!$A$1:$I$89,3,0)*0.475*44/12</f>
        <v>15.659594675439026</v>
      </c>
      <c r="CN63" s="22">
        <f t="shared" si="12"/>
        <v>47.092782153092855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141.02564102564102</v>
      </c>
      <c r="CR63" s="12">
        <f>VLOOKUP(A63,'Données projet'!$A$139:$I$159,9,0)</f>
        <v>3.8461538461538454</v>
      </c>
      <c r="CS63" s="12">
        <f t="array" ref="CS63">INDEX(CR:CR,MIN(IF(ISNUMBER(CR63:CR259),ROW(CR63:CR259),"")))</f>
        <v>3.8461538461538454</v>
      </c>
      <c r="CT63" s="12">
        <f>IF('Données projet'!$A$140&gt;35,CT62+CS63-DB62,IF(A63&lt;'Données projet'!$A$140,$CQ$205^A63,IF(A63='Données projet'!$A$140,'Données projet'!$B$140,CT62+CS63-DB62)))</f>
        <v>141.02564102564105</v>
      </c>
      <c r="CU63" s="17">
        <f>CT63*VLOOKUP('Données projet'!$B$13,Paramètres!$A$1:$I$89,3,0)*VLOOKUP('Données projet'!$B$13,Paramètres!$A$1:$I$89,5,0)</f>
        <v>147.40000000000003</v>
      </c>
      <c r="CV63" s="13">
        <f t="shared" si="41"/>
        <v>37.987126351804257</v>
      </c>
      <c r="CW63" s="20">
        <f t="shared" si="13"/>
        <v>322.8825783960591</v>
      </c>
      <c r="CX63" s="59">
        <f t="shared" si="14"/>
        <v>616.21591172939247</v>
      </c>
      <c r="CY63" s="59">
        <f ca="1">AVERAGE(OFFSET($CX$3,0,0,'Données projet'!$E$13+1,1))-AVERAGE(OFFSET($H$3,0,0,'Données projet'!$E$13+1,1))</f>
        <v>260.65406541614402</v>
      </c>
      <c r="CZ63" s="59">
        <f t="shared" si="42"/>
        <v>277.63456890196886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14.102564102564102</v>
      </c>
      <c r="DC63" s="16">
        <f>IF(ISNA(VLOOKUP(A63,'Données projet'!$A$139:$I$159,5,0)),0%,VLOOKUP(A63,'Données projet'!$A$139:$I$159,5,0)*VLOOKUP('Données projet'!$B$13,Paramètres!$A$1:$I$89,7,0))</f>
        <v>4.3000000000000003E-2</v>
      </c>
      <c r="DD63" s="16">
        <f>IF(ISNA(VLOOKUP(A63,'Données projet'!$A$139:$I$159,6,0)),0%,VLOOKUP(A63,'Données projet'!$A$139:$I$159,6,0)*VLOOKUP('Données projet'!$B$13,Paramètres!$A$1:$I$89,7,0))</f>
        <v>0.215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2.1533629911856158</v>
      </c>
      <c r="DG63" s="21">
        <f>EXP(-LN(2)/25)*DG62+(1-EXP(-LN(2)/25))/(LN(2)/25)*Calculateur!DB63*Calculateur!DD63*VLOOKUP('Données projet'!$B$13,Paramètres!$A$1:$I$89,3,0)*0.475*44/12</f>
        <v>26.807549359005243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28.96091235019086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146.7948717948718</v>
      </c>
      <c r="DM63" s="12">
        <f>VLOOKUP(A63,'Données projet'!$A$165:$I$185,9,0)</f>
        <v>3.7179487179487181</v>
      </c>
      <c r="DN63" s="12">
        <f t="array" ref="DN63">INDEX(DM:DM,MIN(IF(ISNUMBER(DM63:DM259),ROW(DM63:DM259),"")))</f>
        <v>3.7179487179487181</v>
      </c>
      <c r="DO63" s="12">
        <f>IF('Données projet'!$A$166&gt;35,DO62+DN63-DW62,IF(A63&lt;'Données projet'!$A$166,$DL$205^A63,IF(A63='Données projet'!$A$166,'Données projet'!$B$166,DO62+DN63-DW62)))</f>
        <v>146.79487179487188</v>
      </c>
      <c r="DP63" s="17">
        <f>DO63*VLOOKUP('Données projet'!$B$14,Paramètres!$A$1:$I$89,3,0)*VLOOKUP('Données projet'!$B$14,Paramètres!$A$1:$I$89,5,0)</f>
        <v>96.180000000000064</v>
      </c>
      <c r="DQ63" s="13">
        <f t="shared" si="43"/>
        <v>26.04988258033918</v>
      </c>
      <c r="DR63" s="20">
        <f t="shared" si="16"/>
        <v>212.88371216075754</v>
      </c>
      <c r="DS63" s="59">
        <f t="shared" si="17"/>
        <v>506.21704549409083</v>
      </c>
      <c r="DT63" s="59">
        <f ca="1">AVERAGE(OFFSET($DS$3,0,0,'Données projet'!$E$14+1,1))-AVERAGE(OFFSET($H$3,0,0,'Données projet'!$E$14+1,1))</f>
        <v>181.4272795535777</v>
      </c>
      <c r="DU63" s="59">
        <f t="shared" si="44"/>
        <v>187.67131775419904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14.102564102564102</v>
      </c>
      <c r="DX63" s="16">
        <f>IF(ISNA(VLOOKUP(A63,'Données projet'!$A$165:$I$185,5,0)),0%,VLOOKUP(A63,'Données projet'!$A$165:$I$185,5,0)*VLOOKUP('Données projet'!$B$14,Paramètres!$A$1:$I$89,7,0))</f>
        <v>0.1075</v>
      </c>
      <c r="DY63" s="16">
        <f>IF(ISNA(VLOOKUP(A63,'Données projet'!$A$165:$I$185,6,0)),0%,VLOOKUP(A63,'Données projet'!$A$165:$I$185,6,0)*VLOOKUP('Données projet'!$B$14,Paramètres!$A$1:$I$89,7,0))</f>
        <v>0.1075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2.1378124996328332</v>
      </c>
      <c r="EB63" s="21">
        <f>EXP(-LN(2)/25)*EB62+(1-EXP(-LN(2)/25))/(LN(2)/25)*Calculateur!DW63*Calculateur!DY63*VLOOKUP('Données projet'!$B$14,Paramètres!$A$1:$I$89,3,0)*0.475*44/12</f>
        <v>6.2755907022809394</v>
      </c>
      <c r="EC63" s="21">
        <f>EXP(-LN(2)/2)*EC62+(1-EXP(-LN(2)/2))/(LN(2)/2)*DW63*DZ63*VLOOKUP('Données projet'!$B$14,Paramètres!$A$1:$I$89,3,0)*0.475*44/12</f>
        <v>2.6732667303160977</v>
      </c>
      <c r="ED63" s="22">
        <f t="shared" si="18"/>
        <v>11.086669932229871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1.1368683772161603E-13</v>
      </c>
      <c r="EK63" s="17">
        <f>EJ63*VLOOKUP('Données projet'!$B$15,Paramètres!$A$1:$I$89,3,0)*VLOOKUP('Données projet'!$B$15,Paramètres!$A$1:$I$89,5,0)</f>
        <v>9.2222762759774927E-14</v>
      </c>
      <c r="EL63" s="13">
        <f t="shared" si="45"/>
        <v>1.3985662224947967E-12</v>
      </c>
      <c r="EM63" s="20">
        <f t="shared" si="19"/>
        <v>2.5964574826517121E-12</v>
      </c>
      <c r="EN63" s="59">
        <f t="shared" si="20"/>
        <v>293.33333333333593</v>
      </c>
      <c r="EO63" s="59">
        <f ca="1">AVERAGE(OFFSET($EN$3,0,0,'Données projet'!$E$15+1,1))-AVERAGE(OFFSET($H$3,0,0,'Données projet'!$E$15+1,1))</f>
        <v>159.68591355116837</v>
      </c>
      <c r="EP63" s="59">
        <f t="shared" si="46"/>
        <v>284.32631786390112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9.8141746180065148</v>
      </c>
      <c r="EW63" s="21">
        <f>EXP(-LN(2)/25)*EW62+(1-EXP(-LN(2)/25))/(LN(2)/25)*Calculateur!ER63*Calculateur!ET63*VLOOKUP('Données projet'!$B$15,Paramètres!$A$1:$I$89,3,0)*0.475*44/12</f>
        <v>11.096441255990339</v>
      </c>
      <c r="EX63" s="21">
        <f>EXP(-LN(2)/2)*EX62+(1-EXP(-LN(2)/2))/(LN(2)/2)*ER63*EU63*VLOOKUP('Données projet'!$B$15,Paramètres!$A$1:$I$89,3,0)*0.475*44/12</f>
        <v>2.8498158588687341E-2</v>
      </c>
      <c r="EY63" s="22">
        <f t="shared" si="21"/>
        <v>20.93911403258554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245</v>
      </c>
      <c r="FC63" s="12">
        <f>VLOOKUP(A63,'Données projet'!$A$217:$I$237,9,0)</f>
        <v>5.2</v>
      </c>
      <c r="FD63" s="12">
        <f t="array" ref="FD63">INDEX(FC:FC,MIN(IF(ISNUMBER(FC63:FC259),ROW(FC63:FC259),"")))</f>
        <v>5.2</v>
      </c>
      <c r="FE63" s="12">
        <f>IF('Données projet'!$A$218&gt;35,FE62+FD63-FM62,IF(A63&lt;'Données projet'!$A$218,$FB$205^A63,IF(A63='Données projet'!$A$218,'Données projet'!$B$218,FE62+FD63-FM62)))</f>
        <v>244.99999999999983</v>
      </c>
      <c r="FF63" s="17">
        <f>FE63*VLOOKUP('Données projet'!$B$16,Paramètres!$A$1:$I$89,3,0)*VLOOKUP('Données projet'!$B$16,Paramètres!$A$1:$I$89,5,0)</f>
        <v>194.92199999999988</v>
      </c>
      <c r="FG63" s="13">
        <f t="shared" si="47"/>
        <v>48.626512129794925</v>
      </c>
      <c r="FH63" s="20">
        <f t="shared" si="22"/>
        <v>424.18032529272591</v>
      </c>
      <c r="FI63" s="59">
        <f t="shared" si="23"/>
        <v>717.51365862605917</v>
      </c>
      <c r="FJ63" s="59">
        <f ca="1">AVERAGE(OFFSET($FI$3,0,0,'Données projet'!$E$16+1,1))-AVERAGE(OFFSET($H$3,0,0,'Données projet'!$E$16+1,1))</f>
        <v>299.10536994156814</v>
      </c>
      <c r="FK63" s="59">
        <f t="shared" si="48"/>
        <v>292.57799203101769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0.13250000000000001</v>
      </c>
      <c r="FO63" s="16">
        <f>IF(ISNA(VLOOKUP(A63,'Données projet'!$A$217:$I$237,6,0)),0%,VLOOKUP(A63,'Données projet'!$A$217:$I$237,6,0)*VLOOKUP('Données projet'!$B$16,Paramètres!$A$1:$I$89,7,0))</f>
        <v>0.13250000000000001</v>
      </c>
      <c r="FP63" s="16">
        <f>IF(ISNA(VLOOKUP(A63,'Données projet'!$A$217:$I$237,7,0)),0%,VLOOKUP(A63,'Données projet'!$A$217:$I$237,7,0))</f>
        <v>0.25</v>
      </c>
      <c r="FQ63" s="21">
        <f>EXP(-LN(2)/35)*FQ62+(1-EXP(-LN(2)/35))/(LN(2)/35)*FM63*FN63*VLOOKUP('Données projet'!$B$16,Paramètres!$A$1:$I$89,3,0)*0.475*44/12</f>
        <v>8.4964364095650691</v>
      </c>
      <c r="FR63" s="21">
        <f>EXP(-LN(2)/25)*FR62+(1-EXP(-LN(2)/25))/(LN(2)/25)*Calculateur!FM63*Calculateur!FO63*VLOOKUP('Données projet'!$B$16,Paramètres!$A$1:$I$89,3,0)*0.475*44/12</f>
        <v>13.59708945976886</v>
      </c>
      <c r="FS63" s="21">
        <f>EXP(-LN(2)/2)*FS62+(1-EXP(-LN(2)/2))/(LN(2)/2)*FM63*FP63*VLOOKUP('Données projet'!$B$16,Paramètres!$A$1:$I$89,3,0)*0.475*44/12</f>
        <v>2.8120273758258922</v>
      </c>
      <c r="FT63" s="22">
        <f t="shared" si="24"/>
        <v>24.905553245159822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5.6843418860808015E-14</v>
      </c>
      <c r="GA63" s="17">
        <f>FZ63*VLOOKUP('Données projet'!$B$17,Paramètres!$A$1:$I$89,3,0)*VLOOKUP('Données projet'!$B$17,Paramètres!$A$1:$I$89,5,0)</f>
        <v>5.1431925385259088E-14</v>
      </c>
      <c r="GB63" s="13">
        <f t="shared" si="49"/>
        <v>8.3482866290946129E-13</v>
      </c>
      <c r="GC63" s="20">
        <f t="shared" si="25"/>
        <v>1.5435705246133045E-12</v>
      </c>
      <c r="GD63" s="59">
        <f t="shared" si="26"/>
        <v>293.33333333333485</v>
      </c>
      <c r="GE63" s="59">
        <f ca="1">AVERAGE(OFFSET($GD$3,0,0,'Données projet'!$E$17+1,1))-AVERAGE(OFFSET($H$3,0,0,'Données projet'!$E$17+1,1))</f>
        <v>204.78565758021779</v>
      </c>
      <c r="GF63" s="59">
        <f t="shared" si="50"/>
        <v>287.25131613242439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11.597638716194993</v>
      </c>
      <c r="GM63" s="21">
        <f>EXP(-LN(2)/25)*GM62+(1-EXP(-LN(2)/25))/(LN(2)/25)*Calculateur!GH63*Calculateur!GJ63*VLOOKUP('Données projet'!$B$17,Paramètres!$A$1:$I$89,3,0)*0.475*44/12</f>
        <v>8.7199698195694229</v>
      </c>
      <c r="GN63" s="21">
        <f>EXP(-LN(2)/2)*GN62+(1-EXP(-LN(2)/2))/(LN(2)/2)*GH63*GK63*VLOOKUP('Données projet'!$B$17,Paramètres!$A$1:$I$89,3,0)*0.475*44/12</f>
        <v>7.6182963046057456E-2</v>
      </c>
      <c r="GO63" s="21">
        <f t="shared" si="27"/>
        <v>20.393791498810472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297</v>
      </c>
      <c r="GS63" s="12">
        <f>VLOOKUP(A63,'Données projet'!$A$269:$I$289,9,0)</f>
        <v>9.375</v>
      </c>
      <c r="GT63" s="12">
        <f t="array" ref="GT63">INDEX(GS:GS,MIN(IF(ISNUMBER(GS63:GS259),ROW(GS63:GS259),"")))</f>
        <v>9.375</v>
      </c>
      <c r="GU63" s="12">
        <f>IF('Données projet'!$A$270&gt;35,GU62+GT63-HC62,IF(A63&lt;'Données projet'!$A$270,$GR$205^A63,IF(A63='Données projet'!$A$270,'Données projet'!$B$270,GU62+GT63-HC62)))</f>
        <v>296.99999999999989</v>
      </c>
      <c r="GV63" s="17">
        <f>GU63*VLOOKUP('Données projet'!$B$18,Paramètres!$A$1:$I$89,3,0)*VLOOKUP('Données projet'!$B$18,Paramètres!$A$1:$I$89,5,0)</f>
        <v>231.65999999999991</v>
      </c>
      <c r="GW63" s="13">
        <f t="shared" si="51"/>
        <v>56.641461975682766</v>
      </c>
      <c r="GX63" s="20">
        <f t="shared" si="28"/>
        <v>502.125046274314</v>
      </c>
      <c r="GY63" s="59">
        <f t="shared" si="29"/>
        <v>795.45837960764732</v>
      </c>
      <c r="GZ63" s="59">
        <f ca="1">AVERAGE(OFFSET($GY$3,0,0,'Données projet'!$E$18+1,1))-AVERAGE(OFFSET($H$3,0,0,'Données projet'!$E$18+1,1))</f>
        <v>288.82868507674738</v>
      </c>
      <c r="HA63" s="59">
        <f t="shared" si="52"/>
        <v>283.48738729114024</v>
      </c>
      <c r="HB63" s="15">
        <f>IF(ISNA(VLOOKUP(A63,'Données projet'!$A$269:$I$289,3,0)),0,VLOOKUP(A63,'Données projet'!$A$269:$I$289,3,0))</f>
        <v>8</v>
      </c>
      <c r="HC63" s="15">
        <f>IF(ISNA(VLOOKUP(A63,'Données projet'!$A$269:$I$289,4,0)),0,VLOOKUP(A63,'Données projet'!$A$269:$I$289,4,0))</f>
        <v>47</v>
      </c>
      <c r="HD63" s="16">
        <f>IF(ISNA(VLOOKUP(A63,'Données projet'!$A$269:$I$289,5,0)),0%,VLOOKUP(A63,'Données projet'!$A$269:$I$289,5,0)*VLOOKUP('Données projet'!$B$18,Paramètres!$A$1:$I$89,7,0))</f>
        <v>0.1075</v>
      </c>
      <c r="HE63" s="16">
        <f>IF(ISNA(VLOOKUP(A63,'Données projet'!$A$269:$I$289,6,0)),0%,VLOOKUP(A63,'Données projet'!$A$269:$I$289,6,0)*VLOOKUP('Données projet'!$B$18,Paramètres!$A$1:$I$89,7,0))</f>
        <v>0.1075</v>
      </c>
      <c r="HF63" s="16">
        <f>IF(ISNA(VLOOKUP(A63,'Données projet'!$A$269:$I$289,7,0)),0%,VLOOKUP(A63,'Données projet'!$A$269:$I$289,7,0))</f>
        <v>0.25</v>
      </c>
      <c r="HG63" s="21">
        <f>EXP(-LN(2)/35)*HG62+(1-EXP(-LN(2)/35))/(LN(2)/35)*HC63*HD63*VLOOKUP('Données projet'!$B$18,Paramètres!$A$1:$I$89,3,0)*0.475*44/12</f>
        <v>15.052463640583639</v>
      </c>
      <c r="HH63" s="21">
        <f>EXP(-LN(2)/25)*HH62+(1-EXP(-LN(2)/25))/(LN(2)/25)*Calculateur!HC63*Calculateur!HE63*VLOOKUP('Données projet'!$B$18,Paramètres!$A$1:$I$89,3,0)*0.475*44/12</f>
        <v>15.467029387199036</v>
      </c>
      <c r="HI63" s="21">
        <f>EXP(-LN(2)/2)*HI62+(1-EXP(-LN(2)/2))/(LN(2)/2)*HC63*HF63*VLOOKUP('Données projet'!$B$18,Paramètres!$A$1:$I$89,3,0)*0.475*44/12</f>
        <v>9.2328956469752992</v>
      </c>
      <c r="HJ63" s="22">
        <f t="shared" si="30"/>
        <v>39.752388674757974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11.896999999999997</v>
      </c>
      <c r="N64" s="13">
        <f>IF('Données projet'!$A$36&gt;35,N63+M64-V63,IF(A64&lt;'Données projet'!$A$36,$K$205^A64,IF(A64='Données projet'!$A$36,'Données projet'!$B$36,N63+M64-V63)))</f>
        <v>382.99699999999984</v>
      </c>
      <c r="O64" s="13">
        <f>N64*VLOOKUP('Données projet'!$B$9,Paramètres!$A$1:$I$89,3,0)*VLOOKUP('Données projet'!$B$9,Paramètres!$A$1:$I$89,5,0)</f>
        <v>229.03220599999992</v>
      </c>
      <c r="P64" s="13">
        <f t="shared" si="33"/>
        <v>56.073370514455313</v>
      </c>
      <c r="Q64" s="20">
        <f t="shared" si="53"/>
        <v>496.55887909600943</v>
      </c>
      <c r="R64" s="59">
        <f t="shared" si="0"/>
        <v>789.89221242934275</v>
      </c>
      <c r="S64" s="59">
        <f ca="1">AVERAGE(OFFSET($R$3,0,0,'Données projet'!$E$9+1,1))-AVERAGE(OFFSET($H$3,0,0,'Données projet'!$E$9+1,1))</f>
        <v>349.71285006949597</v>
      </c>
      <c r="T64" s="59">
        <f t="shared" si="34"/>
        <v>258.51550516456842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43.642828805373689</v>
      </c>
      <c r="AA64" s="21">
        <f>EXP(-LN(2)/25)*AA63+(1-EXP(-LN(2)/25))/(LN(2)/25)*Calculateur!V64*Calculateur!X64*VLOOKUP('Données projet'!$B$9,Paramètres!$A$1:$I$89,3,0)*0.475*44/12</f>
        <v>18.804988248193443</v>
      </c>
      <c r="AB64" s="21">
        <f>EXP(-LN(2)/2)*AB63+(1-EXP(-LN(2)/2))/(LN(2)/2)*V64*Y64*VLOOKUP('Données projet'!$B$9,Paramètres!$A$1:$I$89,3,0)*0.475*44/12</f>
        <v>6.9078946134240198</v>
      </c>
      <c r="AC64" s="22">
        <f t="shared" si="3"/>
        <v>69.355711666991155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9.7525000000000013</v>
      </c>
      <c r="AI64" s="13">
        <f>IF('Données projet'!$A$62&gt;35,AI63+AH64-AQ63,IF(A64&lt;'Données projet'!$A$62,$AF$205^A64,IF(A64='Données projet'!$A$62,'Données projet'!$B$62,AI63+AH64-AQ63)))</f>
        <v>180.54499999999999</v>
      </c>
      <c r="AJ64" s="13">
        <f>AI64*VLOOKUP('Données projet'!$B$10,Paramètres!$A$1:$I$89,3,0)*VLOOKUP('Données projet'!$B$10,Paramètres!$A$1:$I$89,5,0)</f>
        <v>171.806622</v>
      </c>
      <c r="AK64" s="13">
        <f t="shared" si="35"/>
        <v>43.494397538625861</v>
      </c>
      <c r="AL64" s="20">
        <f t="shared" si="4"/>
        <v>374.98260902977336</v>
      </c>
      <c r="AM64" s="59">
        <f t="shared" si="5"/>
        <v>668.31594236310661</v>
      </c>
      <c r="AN64" s="59">
        <f ca="1">AVERAGE(OFFSET($AM$3,0,0,'Données projet'!$E$10+1,1))-AVERAGE(OFFSET($H$3,0,0,'Données projet'!$E$10+1,1))</f>
        <v>449.28947235329758</v>
      </c>
      <c r="AO64" s="59">
        <f t="shared" si="36"/>
        <v>289.36994109443964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12.244175757014785</v>
      </c>
      <c r="AV64" s="21">
        <f>EXP(-LN(2)/25)*AV63+(1-EXP(-LN(2)/25))/(LN(2)/25)*Calculateur!AQ64*Calculateur!AS64*VLOOKUP('Données projet'!$B$10,Paramètres!$A$1:$I$89,3,0)*0.475*44/12</f>
        <v>29.959199575926469</v>
      </c>
      <c r="AW64" s="21">
        <f>EXP(-LN(2)/2)*AW63+(1-EXP(-LN(2)/2))/(LN(2)/2)*AQ64*AT64*VLOOKUP('Données projet'!$B$10,Paramètres!$A$1:$I$89,3,0)*0.475*44/12</f>
        <v>2.0868377668461462</v>
      </c>
      <c r="AX64" s="21">
        <f t="shared" si="6"/>
        <v>44.290213099787401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213.74316600000023</v>
      </c>
      <c r="BF64" s="13">
        <f t="shared" si="37"/>
        <v>52.752718660626023</v>
      </c>
      <c r="BG64" s="20">
        <f t="shared" si="7"/>
        <v>464.14699911725734</v>
      </c>
      <c r="BH64" s="59">
        <f t="shared" si="8"/>
        <v>757.48033245059059</v>
      </c>
      <c r="BI64" s="59">
        <f ca="1">AVERAGE(OFFSET($BH$3,0,0,'Données projet'!$E$11+1,1))-AVERAGE(OFFSET($H$3,0,0,'Données projet'!$E$11+1,1))</f>
        <v>635.71275911100679</v>
      </c>
      <c r="BJ64" s="59">
        <f t="shared" si="38"/>
        <v>281.7776857269169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33.5632537761648</v>
      </c>
      <c r="BR64" s="21">
        <f>EXP(-LN(2)/2)*BR63+(1-EXP(-LN(2)/2))/(LN(2)/2)*BL64*BO64*VLOOKUP('Données projet'!$B$11,Paramètres!$A$1:$I$89,3,0)*0.475*44/12</f>
        <v>3.0370169527464057</v>
      </c>
      <c r="BS64" s="22">
        <f t="shared" si="9"/>
        <v>36.600270728911205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6.8933333333333326</v>
      </c>
      <c r="BY64" s="12">
        <f>IF('Données projet'!$A$114&gt;35,BY63+BX64-CG63,IF(A64&lt;'Données projet'!$A$114,$BV$205^A64,IF(A64='Données projet'!$A$114,'Données projet'!$B$114,BY63+BX64-CG63)))</f>
        <v>135.64333333333323</v>
      </c>
      <c r="BZ64" s="13">
        <f>BY64*VLOOKUP('Données projet'!$B$12,Paramètres!$A$1:$I$89,3,0)*VLOOKUP('Données projet'!$B$12,Paramètres!$A$1:$I$89,5,0)</f>
        <v>154.47062799999989</v>
      </c>
      <c r="CA64" s="13">
        <f t="shared" si="39"/>
        <v>39.592808820576636</v>
      </c>
      <c r="CB64" s="20">
        <f t="shared" si="10"/>
        <v>337.99381912917073</v>
      </c>
      <c r="CC64" s="59">
        <f t="shared" si="11"/>
        <v>631.32715246250405</v>
      </c>
      <c r="CD64" s="59">
        <f ca="1">AVERAGE(OFFSET($CC$3,0,0,'Données projet'!$E$12+1,1))-AVERAGE(OFFSET($H$3,0,0,'Données projet'!$E$12+1,1))</f>
        <v>593.28343396240075</v>
      </c>
      <c r="CE64" s="59">
        <f t="shared" si="40"/>
        <v>289.66477662068695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30.573645313077897</v>
      </c>
      <c r="CM64" s="21">
        <f>EXP(-LN(2)/2)*CM63+(1-EXP(-LN(2)/2))/(LN(2)/2)*CG64*CJ64*VLOOKUP('Données projet'!$B$12,Paramètres!$A$1:$I$89,3,0)*0.475*44/12</f>
        <v>11.073005585635689</v>
      </c>
      <c r="CN64" s="22">
        <f t="shared" si="12"/>
        <v>41.646650898713588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3.3333333333333344</v>
      </c>
      <c r="CT64" s="12">
        <f>IF('Données projet'!$A$140&gt;35,CT63+CS64-DB63,IF(A64&lt;'Données projet'!$A$140,$CQ$205^A64,IF(A64='Données projet'!$A$140,'Données projet'!$B$140,CT63+CS64-DB63)))</f>
        <v>130.25641025641028</v>
      </c>
      <c r="CU64" s="17">
        <f>CT64*VLOOKUP('Données projet'!$B$13,Paramètres!$A$1:$I$89,3,0)*VLOOKUP('Données projet'!$B$13,Paramètres!$A$1:$I$89,5,0)</f>
        <v>136.14400000000003</v>
      </c>
      <c r="CV64" s="13">
        <f t="shared" si="41"/>
        <v>35.412219300194842</v>
      </c>
      <c r="CW64" s="20">
        <f t="shared" si="13"/>
        <v>298.79374861450606</v>
      </c>
      <c r="CX64" s="59">
        <f t="shared" si="14"/>
        <v>592.12708194783932</v>
      </c>
      <c r="CY64" s="59">
        <f ca="1">AVERAGE(OFFSET($CX$3,0,0,'Données projet'!$E$13+1,1))-AVERAGE(OFFSET($H$3,0,0,'Données projet'!$E$13+1,1))</f>
        <v>260.65406541614402</v>
      </c>
      <c r="CZ64" s="59">
        <f t="shared" si="42"/>
        <v>277.63456890196886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2.1111368563502011</v>
      </c>
      <c r="DG64" s="21">
        <f>EXP(-LN(2)/25)*DG63+(1-EXP(-LN(2)/25))/(LN(2)/25)*Calculateur!DB64*Calculateur!DD64*VLOOKUP('Données projet'!$B$13,Paramètres!$A$1:$I$89,3,0)*0.475*44/12</f>
        <v>26.074495512035494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28.185632368385694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3.333333333333337</v>
      </c>
      <c r="DO64" s="12">
        <f>IF('Données projet'!$A$166&gt;35,DO63+DN64-DW63,IF(A64&lt;'Données projet'!$A$166,$DL$205^A64,IF(A64='Données projet'!$A$166,'Données projet'!$B$166,DO63+DN64-DW63)))</f>
        <v>136.02564102564111</v>
      </c>
      <c r="DP64" s="17">
        <f>DO64*VLOOKUP('Données projet'!$B$14,Paramètres!$A$1:$I$89,3,0)*VLOOKUP('Données projet'!$B$14,Paramètres!$A$1:$I$89,5,0)</f>
        <v>89.124000000000052</v>
      </c>
      <c r="DQ64" s="13">
        <f t="shared" si="43"/>
        <v>24.353834771915079</v>
      </c>
      <c r="DR64" s="20">
        <f t="shared" si="16"/>
        <v>197.64056222775218</v>
      </c>
      <c r="DS64" s="59">
        <f t="shared" si="17"/>
        <v>490.9738955610855</v>
      </c>
      <c r="DT64" s="59">
        <f ca="1">AVERAGE(OFFSET($DS$3,0,0,'Données projet'!$E$14+1,1))-AVERAGE(OFFSET($H$3,0,0,'Données projet'!$E$14+1,1))</f>
        <v>181.4272795535777</v>
      </c>
      <c r="DU64" s="59">
        <f t="shared" si="44"/>
        <v>187.67131775419904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2.0958913004519051</v>
      </c>
      <c r="EB64" s="21">
        <f>EXP(-LN(2)/25)*EB63+(1-EXP(-LN(2)/25))/(LN(2)/25)*Calculateur!DW64*Calculateur!DY64*VLOOKUP('Données projet'!$B$14,Paramètres!$A$1:$I$89,3,0)*0.475*44/12</f>
        <v>6.1039843445080955</v>
      </c>
      <c r="EC64" s="21">
        <f>EXP(-LN(2)/2)*EC63+(1-EXP(-LN(2)/2))/(LN(2)/2)*DW64*DZ64*VLOOKUP('Données projet'!$B$14,Paramètres!$A$1:$I$89,3,0)*0.475*44/12</f>
        <v>1.8902850329269023</v>
      </c>
      <c r="ED64" s="22">
        <f t="shared" si="18"/>
        <v>10.090160677886903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1.1368683772161603E-13</v>
      </c>
      <c r="EK64" s="17">
        <f>EJ64*VLOOKUP('Données projet'!$B$15,Paramètres!$A$1:$I$89,3,0)*VLOOKUP('Données projet'!$B$15,Paramètres!$A$1:$I$89,5,0)</f>
        <v>9.2222762759774927E-14</v>
      </c>
      <c r="EL64" s="13">
        <f t="shared" si="45"/>
        <v>1.3985662224947967E-12</v>
      </c>
      <c r="EM64" s="20">
        <f t="shared" si="19"/>
        <v>2.5964574826517121E-12</v>
      </c>
      <c r="EN64" s="59">
        <f t="shared" si="20"/>
        <v>293.33333333333593</v>
      </c>
      <c r="EO64" s="59">
        <f ca="1">AVERAGE(OFFSET($EN$3,0,0,'Données projet'!$E$15+1,1))-AVERAGE(OFFSET($H$3,0,0,'Données projet'!$E$15+1,1))</f>
        <v>159.68591355116837</v>
      </c>
      <c r="EP64" s="59">
        <f t="shared" si="46"/>
        <v>284.32631786390112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9.6217246398028493</v>
      </c>
      <c r="EW64" s="21">
        <f>EXP(-LN(2)/25)*EW63+(1-EXP(-LN(2)/25))/(LN(2)/25)*Calculateur!ER64*Calculateur!ET64*VLOOKUP('Données projet'!$B$15,Paramètres!$A$1:$I$89,3,0)*0.475*44/12</f>
        <v>10.793008486308798</v>
      </c>
      <c r="EX64" s="21">
        <f>EXP(-LN(2)/2)*EX63+(1-EXP(-LN(2)/2))/(LN(2)/2)*ER64*EU64*VLOOKUP('Données projet'!$B$15,Paramètres!$A$1:$I$89,3,0)*0.475*44/12</f>
        <v>2.0151241189390472E-2</v>
      </c>
      <c r="EY64" s="22">
        <f t="shared" si="21"/>
        <v>20.434884367301038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4.4000000000000004</v>
      </c>
      <c r="FE64" s="12">
        <f>IF('Données projet'!$A$218&gt;35,FE63+FD64-FM63,IF(A64&lt;'Données projet'!$A$218,$FB$205^A64,IF(A64='Données projet'!$A$218,'Données projet'!$B$218,FE63+FD64-FM63)))</f>
        <v>237.39999999999984</v>
      </c>
      <c r="FF64" s="17">
        <f>FE64*VLOOKUP('Données projet'!$B$16,Paramètres!$A$1:$I$89,3,0)*VLOOKUP('Données projet'!$B$16,Paramètres!$A$1:$I$89,5,0)</f>
        <v>188.87543999999988</v>
      </c>
      <c r="FG64" s="13">
        <f t="shared" si="47"/>
        <v>47.291242769027726</v>
      </c>
      <c r="FH64" s="20">
        <f t="shared" si="22"/>
        <v>411.32363915605634</v>
      </c>
      <c r="FI64" s="59">
        <f t="shared" si="23"/>
        <v>704.65697248938966</v>
      </c>
      <c r="FJ64" s="59">
        <f ca="1">AVERAGE(OFFSET($FI$3,0,0,'Données projet'!$E$16+1,1))-AVERAGE(OFFSET($H$3,0,0,'Données projet'!$E$16+1,1))</f>
        <v>299.10536994156814</v>
      </c>
      <c r="FK64" s="59">
        <f t="shared" si="48"/>
        <v>292.57799203101769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8.3298264738879961</v>
      </c>
      <c r="FR64" s="21">
        <f>EXP(-LN(2)/25)*FR63+(1-EXP(-LN(2)/25))/(LN(2)/25)*Calculateur!FM64*Calculateur!FO64*VLOOKUP('Données projet'!$B$16,Paramètres!$A$1:$I$89,3,0)*0.475*44/12</f>
        <v>13.225276333451623</v>
      </c>
      <c r="FS64" s="21">
        <f>EXP(-LN(2)/2)*FS63+(1-EXP(-LN(2)/2))/(LN(2)/2)*FM64*FP64*VLOOKUP('Données projet'!$B$16,Paramètres!$A$1:$I$89,3,0)*0.475*44/12</f>
        <v>1.9884036263287008</v>
      </c>
      <c r="FT64" s="22">
        <f t="shared" si="24"/>
        <v>23.54350643366832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5.6843418860808015E-14</v>
      </c>
      <c r="GA64" s="17">
        <f>FZ64*VLOOKUP('Données projet'!$B$17,Paramètres!$A$1:$I$89,3,0)*VLOOKUP('Données projet'!$B$17,Paramètres!$A$1:$I$89,5,0)</f>
        <v>5.1431925385259088E-14</v>
      </c>
      <c r="GB64" s="13">
        <f t="shared" si="49"/>
        <v>8.3482866290946129E-13</v>
      </c>
      <c r="GC64" s="20">
        <f t="shared" si="25"/>
        <v>1.5435705246133045E-12</v>
      </c>
      <c r="GD64" s="59">
        <f t="shared" si="26"/>
        <v>293.33333333333485</v>
      </c>
      <c r="GE64" s="59">
        <f ca="1">AVERAGE(OFFSET($GD$3,0,0,'Données projet'!$E$17+1,1))-AVERAGE(OFFSET($H$3,0,0,'Données projet'!$E$17+1,1))</f>
        <v>204.78565758021779</v>
      </c>
      <c r="GF64" s="59">
        <f t="shared" si="50"/>
        <v>287.25131613242439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11.370216094831541</v>
      </c>
      <c r="GM64" s="21">
        <f>EXP(-LN(2)/25)*GM63+(1-EXP(-LN(2)/25))/(LN(2)/25)*Calculateur!GH64*Calculateur!GJ64*VLOOKUP('Données projet'!$B$17,Paramètres!$A$1:$I$89,3,0)*0.475*44/12</f>
        <v>8.4815217862900134</v>
      </c>
      <c r="GN64" s="21">
        <f>EXP(-LN(2)/2)*GN63+(1-EXP(-LN(2)/2))/(LN(2)/2)*GH64*GK64*VLOOKUP('Données projet'!$B$17,Paramètres!$A$1:$I$89,3,0)*0.475*44/12</f>
        <v>5.3869489780751387E-2</v>
      </c>
      <c r="GO64" s="21">
        <f t="shared" si="27"/>
        <v>19.905607370902306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8.6666666666666661</v>
      </c>
      <c r="GU64" s="12">
        <f>IF('Données projet'!$A$270&gt;35,GU63+GT64-HC63,IF(A64&lt;'Données projet'!$A$270,$GR$205^A64,IF(A64='Données projet'!$A$270,'Données projet'!$B$270,GU63+GT64-HC63)))</f>
        <v>258.66666666666657</v>
      </c>
      <c r="GV64" s="17">
        <f>GU64*VLOOKUP('Données projet'!$B$18,Paramètres!$A$1:$I$89,3,0)*VLOOKUP('Données projet'!$B$18,Paramètres!$A$1:$I$89,5,0)</f>
        <v>201.75999999999993</v>
      </c>
      <c r="GW64" s="13">
        <f t="shared" si="51"/>
        <v>50.130765000424169</v>
      </c>
      <c r="GX64" s="20">
        <f t="shared" si="28"/>
        <v>438.70974904240529</v>
      </c>
      <c r="GY64" s="59">
        <f t="shared" si="29"/>
        <v>732.04308237573855</v>
      </c>
      <c r="GZ64" s="59">
        <f ca="1">AVERAGE(OFFSET($GY$3,0,0,'Données projet'!$E$18+1,1))-AVERAGE(OFFSET($H$3,0,0,'Données projet'!$E$18+1,1))</f>
        <v>288.82868507674738</v>
      </c>
      <c r="HA64" s="59">
        <f t="shared" si="52"/>
        <v>283.48738729114024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14.757294009688056</v>
      </c>
      <c r="HH64" s="21">
        <f>EXP(-LN(2)/25)*HH63+(1-EXP(-LN(2)/25))/(LN(2)/25)*Calculateur!HC64*Calculateur!HE64*VLOOKUP('Données projet'!$B$18,Paramètres!$A$1:$I$89,3,0)*0.475*44/12</f>
        <v>15.044082655230353</v>
      </c>
      <c r="HI64" s="21">
        <f>EXP(-LN(2)/2)*HI63+(1-EXP(-LN(2)/2))/(LN(2)/2)*HC64*HF64*VLOOKUP('Données projet'!$B$18,Paramètres!$A$1:$I$89,3,0)*0.475*44/12</f>
        <v>6.5286431219639907</v>
      </c>
      <c r="HJ64" s="22">
        <f t="shared" si="30"/>
        <v>36.330019786882396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11.896999999999997</v>
      </c>
      <c r="N65" s="13">
        <f>IF('Données projet'!$A$36&gt;35,N64+M65-V64,IF(A65&lt;'Données projet'!$A$36,$K$205^A65,IF(A65='Données projet'!$A$36,'Données projet'!$B$36,N64+M65-V64)))</f>
        <v>394.89399999999983</v>
      </c>
      <c r="O65" s="13">
        <f>N65*VLOOKUP('Données projet'!$B$9,Paramètres!$A$1:$I$89,3,0)*VLOOKUP('Données projet'!$B$9,Paramètres!$A$1:$I$89,5,0)</f>
        <v>236.14661199999995</v>
      </c>
      <c r="P65" s="13">
        <f t="shared" si="33"/>
        <v>57.609675887529612</v>
      </c>
      <c r="Q65" s="20">
        <f t="shared" si="53"/>
        <v>511.6255347374472</v>
      </c>
      <c r="R65" s="59">
        <f t="shared" si="0"/>
        <v>804.95886807078045</v>
      </c>
      <c r="S65" s="59">
        <f ca="1">AVERAGE(OFFSET($R$3,0,0,'Données projet'!$E$9+1,1))-AVERAGE(OFFSET($H$3,0,0,'Données projet'!$E$9+1,1))</f>
        <v>349.71285006949597</v>
      </c>
      <c r="T65" s="59">
        <f t="shared" si="34"/>
        <v>258.51550516456842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42.787019551997425</v>
      </c>
      <c r="AA65" s="21">
        <f>EXP(-LN(2)/25)*AA64+(1-EXP(-LN(2)/25))/(LN(2)/25)*Calculateur!V65*Calculateur!X65*VLOOKUP('Données projet'!$B$9,Paramètres!$A$1:$I$89,3,0)*0.475*44/12</f>
        <v>18.290764855635238</v>
      </c>
      <c r="AB65" s="21">
        <f>EXP(-LN(2)/2)*AB64+(1-EXP(-LN(2)/2))/(LN(2)/2)*V65*Y65*VLOOKUP('Données projet'!$B$9,Paramètres!$A$1:$I$89,3,0)*0.475*44/12</f>
        <v>4.8846191248741491</v>
      </c>
      <c r="AC65" s="22">
        <f t="shared" si="3"/>
        <v>65.962403532506812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9.7525000000000013</v>
      </c>
      <c r="AI65" s="13">
        <f>IF('Données projet'!$A$62&gt;35,AI64+AH65-AQ64,IF(A65&lt;'Données projet'!$A$62,$AF$205^A65,IF(A65='Données projet'!$A$62,'Données projet'!$B$62,AI64+AH65-AQ64)))</f>
        <v>190.29749999999999</v>
      </c>
      <c r="AJ65" s="13">
        <f>AI65*VLOOKUP('Données projet'!$B$10,Paramètres!$A$1:$I$89,3,0)*VLOOKUP('Données projet'!$B$10,Paramètres!$A$1:$I$89,5,0)</f>
        <v>181.08710099999999</v>
      </c>
      <c r="AK65" s="13">
        <f t="shared" si="35"/>
        <v>45.563961288072498</v>
      </c>
      <c r="AL65" s="20">
        <f t="shared" si="4"/>
        <v>394.7506001517263</v>
      </c>
      <c r="AM65" s="59">
        <f t="shared" si="5"/>
        <v>688.08393348505956</v>
      </c>
      <c r="AN65" s="59">
        <f ca="1">AVERAGE(OFFSET($AM$3,0,0,'Données projet'!$E$10+1,1))-AVERAGE(OFFSET($H$3,0,0,'Données projet'!$E$10+1,1))</f>
        <v>449.28947235329758</v>
      </c>
      <c r="AO65" s="59">
        <f t="shared" si="36"/>
        <v>289.36994109443964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12.004074938629513</v>
      </c>
      <c r="AV65" s="21">
        <f>EXP(-LN(2)/25)*AV64+(1-EXP(-LN(2)/25))/(LN(2)/25)*Calculateur!AQ65*Calculateur!AS65*VLOOKUP('Données projet'!$B$10,Paramètres!$A$1:$I$89,3,0)*0.475*44/12</f>
        <v>29.139963688036925</v>
      </c>
      <c r="AW65" s="21">
        <f>EXP(-LN(2)/2)*AW64+(1-EXP(-LN(2)/2))/(LN(2)/2)*AQ65*AT65*VLOOKUP('Données projet'!$B$10,Paramètres!$A$1:$I$89,3,0)*0.475*44/12</f>
        <v>1.4756171361731014</v>
      </c>
      <c r="AX65" s="21">
        <f t="shared" si="6"/>
        <v>42.619655762839535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222.88843200000022</v>
      </c>
      <c r="BF65" s="13">
        <f t="shared" si="37"/>
        <v>54.74219476708182</v>
      </c>
      <c r="BG65" s="20">
        <f t="shared" si="7"/>
        <v>483.54000828600118</v>
      </c>
      <c r="BH65" s="59">
        <f t="shared" si="8"/>
        <v>776.8733416193345</v>
      </c>
      <c r="BI65" s="59">
        <f ca="1">AVERAGE(OFFSET($BH$3,0,0,'Données projet'!$E$11+1,1))-AVERAGE(OFFSET($H$3,0,0,'Données projet'!$E$11+1,1))</f>
        <v>635.71275911100679</v>
      </c>
      <c r="BJ65" s="59">
        <f t="shared" si="38"/>
        <v>281.7776857269169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32.64546483664077</v>
      </c>
      <c r="BR65" s="21">
        <f>EXP(-LN(2)/2)*BR64+(1-EXP(-LN(2)/2))/(LN(2)/2)*BL65*BO65*VLOOKUP('Données projet'!$B$11,Paramètres!$A$1:$I$89,3,0)*0.475*44/12</f>
        <v>2.147495281865488</v>
      </c>
      <c r="BS65" s="22">
        <f t="shared" si="9"/>
        <v>34.792960118506258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6.8933333333333326</v>
      </c>
      <c r="BY65" s="12">
        <f>IF('Données projet'!$A$114&gt;35,BY64+BX65-CG64,IF(A65&lt;'Données projet'!$A$114,$BV$205^A65,IF(A65='Données projet'!$A$114,'Données projet'!$B$114,BY64+BX65-CG64)))</f>
        <v>142.53666666666658</v>
      </c>
      <c r="BZ65" s="13">
        <f>BY65*VLOOKUP('Données projet'!$B$12,Paramètres!$A$1:$I$89,3,0)*VLOOKUP('Données projet'!$B$12,Paramètres!$A$1:$I$89,5,0)</f>
        <v>162.3207559999999</v>
      </c>
      <c r="CA65" s="13">
        <f t="shared" si="39"/>
        <v>41.365528881594308</v>
      </c>
      <c r="CB65" s="20">
        <f t="shared" si="10"/>
        <v>354.75361283544322</v>
      </c>
      <c r="CC65" s="59">
        <f t="shared" si="11"/>
        <v>648.08694616877654</v>
      </c>
      <c r="CD65" s="59">
        <f ca="1">AVERAGE(OFFSET($CC$3,0,0,'Données projet'!$E$12+1,1))-AVERAGE(OFFSET($H$3,0,0,'Données projet'!$E$12+1,1))</f>
        <v>593.28343396240075</v>
      </c>
      <c r="CE65" s="59">
        <f t="shared" si="40"/>
        <v>289.66477662068695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29.737607374193651</v>
      </c>
      <c r="CM65" s="21">
        <f>EXP(-LN(2)/2)*CM64+(1-EXP(-LN(2)/2))/(LN(2)/2)*CG65*CJ65*VLOOKUP('Données projet'!$B$12,Paramètres!$A$1:$I$89,3,0)*0.475*44/12</f>
        <v>7.8297973377195147</v>
      </c>
      <c r="CN65" s="22">
        <f t="shared" si="12"/>
        <v>37.567404711913163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3.3333333333333344</v>
      </c>
      <c r="CT65" s="12">
        <f>IF('Données projet'!$A$140&gt;35,CT64+CS65-DB64,IF(A65&lt;'Données projet'!$A$140,$CQ$205^A65,IF(A65='Données projet'!$A$140,'Données projet'!$B$140,CT64+CS65-DB64)))</f>
        <v>133.58974358974362</v>
      </c>
      <c r="CU65" s="17">
        <f>CT65*VLOOKUP('Données projet'!$B$13,Paramètres!$A$1:$I$89,3,0)*VLOOKUP('Données projet'!$B$13,Paramètres!$A$1:$I$89,5,0)</f>
        <v>139.62800000000004</v>
      </c>
      <c r="CV65" s="13">
        <f t="shared" si="41"/>
        <v>36.211772326849783</v>
      </c>
      <c r="CW65" s="20">
        <f t="shared" si="13"/>
        <v>306.25427013593008</v>
      </c>
      <c r="CX65" s="59">
        <f t="shared" si="14"/>
        <v>599.5876034692634</v>
      </c>
      <c r="CY65" s="59">
        <f ca="1">AVERAGE(OFFSET($CX$3,0,0,'Données projet'!$E$13+1,1))-AVERAGE(OFFSET($H$3,0,0,'Données projet'!$E$13+1,1))</f>
        <v>260.65406541614402</v>
      </c>
      <c r="CZ65" s="59">
        <f t="shared" si="42"/>
        <v>277.63456890196886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2.0697387502635096</v>
      </c>
      <c r="DG65" s="21">
        <f>EXP(-LN(2)/25)*DG64+(1-EXP(-LN(2)/25))/(LN(2)/25)*Calculateur!DB65*Calculateur!DD65*VLOOKUP('Données projet'!$B$13,Paramètres!$A$1:$I$89,3,0)*0.475*44/12</f>
        <v>25.361487061060757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27.431225811324268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3.333333333333337</v>
      </c>
      <c r="DO65" s="12">
        <f>IF('Données projet'!$A$166&gt;35,DO64+DN65-DW64,IF(A65&lt;'Données projet'!$A$166,$DL$205^A65,IF(A65='Données projet'!$A$166,'Données projet'!$B$166,DO64+DN65-DW64)))</f>
        <v>139.35897435897445</v>
      </c>
      <c r="DP65" s="17">
        <f>DO65*VLOOKUP('Données projet'!$B$14,Paramètres!$A$1:$I$89,3,0)*VLOOKUP('Données projet'!$B$14,Paramètres!$A$1:$I$89,5,0)</f>
        <v>91.308000000000064</v>
      </c>
      <c r="DQ65" s="13">
        <f t="shared" si="43"/>
        <v>24.880417702348119</v>
      </c>
      <c r="DR65" s="20">
        <f t="shared" si="16"/>
        <v>202.36149416492307</v>
      </c>
      <c r="DS65" s="59">
        <f t="shared" si="17"/>
        <v>495.69482749825636</v>
      </c>
      <c r="DT65" s="59">
        <f ca="1">AVERAGE(OFFSET($DS$3,0,0,'Données projet'!$E$14+1,1))-AVERAGE(OFFSET($H$3,0,0,'Données projet'!$E$14+1,1))</f>
        <v>181.4272795535777</v>
      </c>
      <c r="DU65" s="59">
        <f t="shared" si="44"/>
        <v>187.67131775419904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2.0547921504175082</v>
      </c>
      <c r="EB65" s="21">
        <f>EXP(-LN(2)/25)*EB64+(1-EXP(-LN(2)/25))/(LN(2)/25)*Calculateur!DW65*Calculateur!DY65*VLOOKUP('Données projet'!$B$14,Paramètres!$A$1:$I$89,3,0)*0.475*44/12</f>
        <v>5.9370705716129359</v>
      </c>
      <c r="EC65" s="21">
        <f>EXP(-LN(2)/2)*EC64+(1-EXP(-LN(2)/2))/(LN(2)/2)*DW65*DZ65*VLOOKUP('Données projet'!$B$14,Paramètres!$A$1:$I$89,3,0)*0.475*44/12</f>
        <v>1.3366333651580491</v>
      </c>
      <c r="ED65" s="22">
        <f t="shared" si="18"/>
        <v>9.3284960871884923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1.1368683772161603E-13</v>
      </c>
      <c r="EK65" s="17">
        <f>EJ65*VLOOKUP('Données projet'!$B$15,Paramètres!$A$1:$I$89,3,0)*VLOOKUP('Données projet'!$B$15,Paramètres!$A$1:$I$89,5,0)</f>
        <v>9.2222762759774927E-14</v>
      </c>
      <c r="EL65" s="13">
        <f t="shared" si="45"/>
        <v>1.3985662224947967E-12</v>
      </c>
      <c r="EM65" s="20">
        <f t="shared" si="19"/>
        <v>2.5964574826517121E-12</v>
      </c>
      <c r="EN65" s="59">
        <f t="shared" si="20"/>
        <v>293.33333333333593</v>
      </c>
      <c r="EO65" s="59">
        <f ca="1">AVERAGE(OFFSET($EN$3,0,0,'Données projet'!$E$15+1,1))-AVERAGE(OFFSET($H$3,0,0,'Données projet'!$E$15+1,1))</f>
        <v>159.68591355116837</v>
      </c>
      <c r="EP65" s="59">
        <f t="shared" si="46"/>
        <v>284.32631786390112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9.433048488288863</v>
      </c>
      <c r="EW65" s="21">
        <f>EXP(-LN(2)/25)*EW64+(1-EXP(-LN(2)/25))/(LN(2)/25)*Calculateur!ER65*Calculateur!ET65*VLOOKUP('Données projet'!$B$15,Paramètres!$A$1:$I$89,3,0)*0.475*44/12</f>
        <v>10.497873101671036</v>
      </c>
      <c r="EX65" s="21">
        <f>EXP(-LN(2)/2)*EX64+(1-EXP(-LN(2)/2))/(LN(2)/2)*ER65*EU65*VLOOKUP('Données projet'!$B$15,Paramètres!$A$1:$I$89,3,0)*0.475*44/12</f>
        <v>1.4249079294343674E-2</v>
      </c>
      <c r="EY65" s="22">
        <f t="shared" si="21"/>
        <v>19.945170669254246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4.4000000000000004</v>
      </c>
      <c r="FE65" s="12">
        <f>IF('Données projet'!$A$218&gt;35,FE64+FD65-FM64,IF(A65&lt;'Données projet'!$A$218,$FB$205^A65,IF(A65='Données projet'!$A$218,'Données projet'!$B$218,FE64+FD65-FM64)))</f>
        <v>241.79999999999984</v>
      </c>
      <c r="FF65" s="17">
        <f>FE65*VLOOKUP('Données projet'!$B$16,Paramètres!$A$1:$I$89,3,0)*VLOOKUP('Données projet'!$B$16,Paramètres!$A$1:$I$89,5,0)</f>
        <v>192.37607999999989</v>
      </c>
      <c r="FG65" s="13">
        <f t="shared" si="47"/>
        <v>48.064889828485896</v>
      </c>
      <c r="FH65" s="20">
        <f t="shared" si="22"/>
        <v>418.76802245127936</v>
      </c>
      <c r="FI65" s="59">
        <f t="shared" si="23"/>
        <v>712.10135578461268</v>
      </c>
      <c r="FJ65" s="59">
        <f ca="1">AVERAGE(OFFSET($FI$3,0,0,'Données projet'!$E$16+1,1))-AVERAGE(OFFSET($H$3,0,0,'Données projet'!$E$16+1,1))</f>
        <v>299.10536994156814</v>
      </c>
      <c r="FK65" s="59">
        <f t="shared" si="48"/>
        <v>292.57799203101769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8.1664836574275252</v>
      </c>
      <c r="FR65" s="21">
        <f>EXP(-LN(2)/25)*FR64+(1-EXP(-LN(2)/25))/(LN(2)/25)*Calculateur!FM65*Calculateur!FO65*VLOOKUP('Données projet'!$B$16,Paramètres!$A$1:$I$89,3,0)*0.475*44/12</f>
        <v>12.863630456626332</v>
      </c>
      <c r="FS65" s="21">
        <f>EXP(-LN(2)/2)*FS64+(1-EXP(-LN(2)/2))/(LN(2)/2)*FM65*FP65*VLOOKUP('Données projet'!$B$16,Paramètres!$A$1:$I$89,3,0)*0.475*44/12</f>
        <v>1.4060136879129463</v>
      </c>
      <c r="FT65" s="22">
        <f t="shared" si="24"/>
        <v>22.436127801966805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5.6843418860808015E-14</v>
      </c>
      <c r="GA65" s="17">
        <f>FZ65*VLOOKUP('Données projet'!$B$17,Paramètres!$A$1:$I$89,3,0)*VLOOKUP('Données projet'!$B$17,Paramètres!$A$1:$I$89,5,0)</f>
        <v>5.1431925385259088E-14</v>
      </c>
      <c r="GB65" s="13">
        <f t="shared" si="49"/>
        <v>8.3482866290946129E-13</v>
      </c>
      <c r="GC65" s="20">
        <f t="shared" si="25"/>
        <v>1.5435705246133045E-12</v>
      </c>
      <c r="GD65" s="59">
        <f t="shared" si="26"/>
        <v>293.33333333333485</v>
      </c>
      <c r="GE65" s="59">
        <f ca="1">AVERAGE(OFFSET($GD$3,0,0,'Données projet'!$E$17+1,1))-AVERAGE(OFFSET($H$3,0,0,'Données projet'!$E$17+1,1))</f>
        <v>204.78565758021779</v>
      </c>
      <c r="GF65" s="59">
        <f t="shared" si="50"/>
        <v>287.25131613242439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11.147253092358923</v>
      </c>
      <c r="GM65" s="21">
        <f>EXP(-LN(2)/25)*GM64+(1-EXP(-LN(2)/25))/(LN(2)/25)*Calculateur!GH65*Calculateur!GJ65*VLOOKUP('Données projet'!$B$17,Paramètres!$A$1:$I$89,3,0)*0.475*44/12</f>
        <v>8.2495941270200674</v>
      </c>
      <c r="GN65" s="21">
        <f>EXP(-LN(2)/2)*GN64+(1-EXP(-LN(2)/2))/(LN(2)/2)*GH65*GK65*VLOOKUP('Données projet'!$B$17,Paramètres!$A$1:$I$89,3,0)*0.475*44/12</f>
        <v>3.8091481523028728E-2</v>
      </c>
      <c r="GO65" s="21">
        <f t="shared" si="27"/>
        <v>19.43493870090202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8.6666666666666661</v>
      </c>
      <c r="GU65" s="12">
        <f>IF('Données projet'!$A$270&gt;35,GU64+GT65-HC64,IF(A65&lt;'Données projet'!$A$270,$GR$205^A65,IF(A65='Données projet'!$A$270,'Données projet'!$B$270,GU64+GT65-HC64)))</f>
        <v>267.33333333333326</v>
      </c>
      <c r="GV65" s="17">
        <f>GU65*VLOOKUP('Données projet'!$B$18,Paramètres!$A$1:$I$89,3,0)*VLOOKUP('Données projet'!$B$18,Paramètres!$A$1:$I$89,5,0)</f>
        <v>208.51999999999995</v>
      </c>
      <c r="GW65" s="13">
        <f t="shared" si="51"/>
        <v>51.612035456318459</v>
      </c>
      <c r="GX65" s="20">
        <f t="shared" si="28"/>
        <v>453.06329508642119</v>
      </c>
      <c r="GY65" s="59">
        <f t="shared" si="29"/>
        <v>746.39662841975451</v>
      </c>
      <c r="GZ65" s="59">
        <f ca="1">AVERAGE(OFFSET($GY$3,0,0,'Données projet'!$E$18+1,1))-AVERAGE(OFFSET($H$3,0,0,'Données projet'!$E$18+1,1))</f>
        <v>288.82868507674738</v>
      </c>
      <c r="HA65" s="59">
        <f t="shared" si="52"/>
        <v>283.48738729114024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14.467912475218638</v>
      </c>
      <c r="HH65" s="21">
        <f>EXP(-LN(2)/25)*HH64+(1-EXP(-LN(2)/25))/(LN(2)/25)*Calculateur!HC65*Calculateur!HE65*VLOOKUP('Données projet'!$B$18,Paramètres!$A$1:$I$89,3,0)*0.475*44/12</f>
        <v>14.632701423889156</v>
      </c>
      <c r="HI65" s="21">
        <f>EXP(-LN(2)/2)*HI64+(1-EXP(-LN(2)/2))/(LN(2)/2)*HC65*HF65*VLOOKUP('Données projet'!$B$18,Paramètres!$A$1:$I$89,3,0)*0.475*44/12</f>
        <v>4.6164478234876505</v>
      </c>
      <c r="HJ65" s="22">
        <f t="shared" si="30"/>
        <v>33.717061722595446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11.896999999999997</v>
      </c>
      <c r="N66" s="13">
        <f>IF('Données projet'!$A$36&gt;35,N65+M66-V65,IF(A66&lt;'Données projet'!$A$36,$K$205^A66,IF(A66='Données projet'!$A$36,'Données projet'!$B$36,N65+M66-V65)))</f>
        <v>406.79099999999983</v>
      </c>
      <c r="O66" s="13">
        <f>N66*VLOOKUP('Données projet'!$B$9,Paramètres!$A$1:$I$89,3,0)*VLOOKUP('Données projet'!$B$9,Paramètres!$A$1:$I$89,5,0)</f>
        <v>243.26101799999989</v>
      </c>
      <c r="P66" s="13">
        <f t="shared" si="33"/>
        <v>59.140602334121624</v>
      </c>
      <c r="Q66" s="20">
        <f t="shared" si="53"/>
        <v>526.68282208192829</v>
      </c>
      <c r="R66" s="59">
        <f t="shared" si="0"/>
        <v>820.01615541526166</v>
      </c>
      <c r="S66" s="59">
        <f ca="1">AVERAGE(OFFSET($R$3,0,0,'Données projet'!$E$9+1,1))-AVERAGE(OFFSET($H$3,0,0,'Données projet'!$E$9+1,1))</f>
        <v>349.71285006949597</v>
      </c>
      <c r="T66" s="59">
        <f t="shared" si="34"/>
        <v>258.51550516456842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41.947992196087768</v>
      </c>
      <c r="AA66" s="21">
        <f>EXP(-LN(2)/25)*AA65+(1-EXP(-LN(2)/25))/(LN(2)/25)*Calculateur!V66*Calculateur!X66*VLOOKUP('Données projet'!$B$9,Paramètres!$A$1:$I$89,3,0)*0.475*44/12</f>
        <v>17.790602928788374</v>
      </c>
      <c r="AB66" s="21">
        <f>EXP(-LN(2)/2)*AB65+(1-EXP(-LN(2)/2))/(LN(2)/2)*V66*Y66*VLOOKUP('Données projet'!$B$9,Paramètres!$A$1:$I$89,3,0)*0.475*44/12</f>
        <v>3.4539473067120103</v>
      </c>
      <c r="AC66" s="22">
        <f t="shared" si="3"/>
        <v>63.192542431588151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9.7525000000000013</v>
      </c>
      <c r="AI66" s="13">
        <f>IF('Données projet'!$A$62&gt;35,AI65+AH66-AQ65,IF(A66&lt;'Données projet'!$A$62,$AF$205^A66,IF(A66='Données projet'!$A$62,'Données projet'!$B$62,AI65+AH66-AQ65)))</f>
        <v>200.04999999999998</v>
      </c>
      <c r="AJ66" s="13">
        <f>AI66*VLOOKUP('Données projet'!$B$10,Paramètres!$A$1:$I$89,3,0)*VLOOKUP('Données projet'!$B$10,Paramètres!$A$1:$I$89,5,0)</f>
        <v>190.36758</v>
      </c>
      <c r="AK66" s="13">
        <f t="shared" si="35"/>
        <v>47.621210426557901</v>
      </c>
      <c r="AL66" s="20">
        <f t="shared" si="4"/>
        <v>414.49714332625496</v>
      </c>
      <c r="AM66" s="59">
        <f t="shared" si="5"/>
        <v>707.83047665958827</v>
      </c>
      <c r="AN66" s="59">
        <f ca="1">AVERAGE(OFFSET($AM$3,0,0,'Données projet'!$E$10+1,1))-AVERAGE(OFFSET($H$3,0,0,'Données projet'!$E$10+1,1))</f>
        <v>449.28947235329758</v>
      </c>
      <c r="AO66" s="59">
        <f t="shared" si="36"/>
        <v>289.36994109443964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11.768682350845737</v>
      </c>
      <c r="AV66" s="21">
        <f>EXP(-LN(2)/25)*AV65+(1-EXP(-LN(2)/25))/(LN(2)/25)*Calculateur!AQ66*Calculateur!AS66*VLOOKUP('Données projet'!$B$10,Paramètres!$A$1:$I$89,3,0)*0.475*44/12</f>
        <v>28.343129848583466</v>
      </c>
      <c r="AW66" s="21">
        <f>EXP(-LN(2)/2)*AW65+(1-EXP(-LN(2)/2))/(LN(2)/2)*AQ66*AT66*VLOOKUP('Données projet'!$B$10,Paramètres!$A$1:$I$89,3,0)*0.475*44/12</f>
        <v>1.0434188834230731</v>
      </c>
      <c r="AX66" s="21">
        <f t="shared" si="6"/>
        <v>41.155231082852275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232.03369800000024</v>
      </c>
      <c r="BF66" s="13">
        <f t="shared" si="37"/>
        <v>56.722189034958802</v>
      </c>
      <c r="BG66" s="20">
        <f t="shared" si="7"/>
        <v>502.91650325255364</v>
      </c>
      <c r="BH66" s="59">
        <f t="shared" si="8"/>
        <v>796.2498365858869</v>
      </c>
      <c r="BI66" s="59">
        <f ca="1">AVERAGE(OFFSET($BH$3,0,0,'Données projet'!$E$11+1,1))-AVERAGE(OFFSET($H$3,0,0,'Données projet'!$E$11+1,1))</f>
        <v>635.71275911100679</v>
      </c>
      <c r="BJ66" s="59">
        <f t="shared" si="38"/>
        <v>281.7776857269169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31.752772883932444</v>
      </c>
      <c r="BR66" s="21">
        <f>EXP(-LN(2)/2)*BR65+(1-EXP(-LN(2)/2))/(LN(2)/2)*BL66*BO66*VLOOKUP('Données projet'!$B$11,Paramètres!$A$1:$I$89,3,0)*0.475*44/12</f>
        <v>1.5185084763732029</v>
      </c>
      <c r="BS66" s="22">
        <f t="shared" si="9"/>
        <v>33.27128136030565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6.8933333333333326</v>
      </c>
      <c r="BY66" s="12">
        <f>IF('Données projet'!$A$114&gt;35,BY65+BX66-CG65,IF(A66&lt;'Données projet'!$A$114,$BV$205^A66,IF(A66='Données projet'!$A$114,'Données projet'!$B$114,BY65+BX66-CG65)))</f>
        <v>149.42999999999992</v>
      </c>
      <c r="BZ66" s="13">
        <f>BY66*VLOOKUP('Données projet'!$B$12,Paramètres!$A$1:$I$89,3,0)*VLOOKUP('Données projet'!$B$12,Paramètres!$A$1:$I$89,5,0)</f>
        <v>170.17088399999992</v>
      </c>
      <c r="CA66" s="13">
        <f t="shared" si="39"/>
        <v>43.128293678549916</v>
      </c>
      <c r="CB66" s="20">
        <f t="shared" si="10"/>
        <v>371.4960677901409</v>
      </c>
      <c r="CC66" s="59">
        <f t="shared" si="11"/>
        <v>664.82940112347421</v>
      </c>
      <c r="CD66" s="59">
        <f ca="1">AVERAGE(OFFSET($CC$3,0,0,'Données projet'!$E$12+1,1))-AVERAGE(OFFSET($H$3,0,0,'Données projet'!$E$12+1,1))</f>
        <v>593.28343396240075</v>
      </c>
      <c r="CE66" s="59">
        <f t="shared" si="40"/>
        <v>289.66477662068695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28.92443093671352</v>
      </c>
      <c r="CM66" s="21">
        <f>EXP(-LN(2)/2)*CM65+(1-EXP(-LN(2)/2))/(LN(2)/2)*CG66*CJ66*VLOOKUP('Données projet'!$B$12,Paramètres!$A$1:$I$89,3,0)*0.475*44/12</f>
        <v>5.5365027928178456</v>
      </c>
      <c r="CN66" s="22">
        <f t="shared" si="12"/>
        <v>34.460933729531362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3.3333333333333344</v>
      </c>
      <c r="CT66" s="12">
        <f>IF('Données projet'!$A$140&gt;35,CT65+CS66-DB65,IF(A66&lt;'Données projet'!$A$140,$CQ$205^A66,IF(A66='Données projet'!$A$140,'Données projet'!$B$140,CT65+CS66-DB65)))</f>
        <v>136.92307692307696</v>
      </c>
      <c r="CU66" s="17">
        <f>CT66*VLOOKUP('Données projet'!$B$13,Paramètres!$A$1:$I$89,3,0)*VLOOKUP('Données projet'!$B$13,Paramètres!$A$1:$I$89,5,0)</f>
        <v>143.11200000000005</v>
      </c>
      <c r="CV66" s="13">
        <f t="shared" si="41"/>
        <v>37.009006234809753</v>
      </c>
      <c r="CW66" s="20">
        <f t="shared" si="13"/>
        <v>313.71075252562707</v>
      </c>
      <c r="CX66" s="59">
        <f t="shared" si="14"/>
        <v>607.04408585896044</v>
      </c>
      <c r="CY66" s="59">
        <f ca="1">AVERAGE(OFFSET($CX$3,0,0,'Données projet'!$E$13+1,1))-AVERAGE(OFFSET($H$3,0,0,'Données projet'!$E$13+1,1))</f>
        <v>260.65406541614402</v>
      </c>
      <c r="CZ66" s="59">
        <f t="shared" si="42"/>
        <v>277.63456890196886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2.0291524357868265</v>
      </c>
      <c r="DG66" s="21">
        <f>EXP(-LN(2)/25)*DG65+(1-EXP(-LN(2)/25))/(LN(2)/25)*Calculateur!DB66*Calculateur!DD66*VLOOKUP('Données projet'!$B$13,Paramètres!$A$1:$I$89,3,0)*0.475*44/12</f>
        <v>24.667975863673409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26.697128299460235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3.333333333333337</v>
      </c>
      <c r="DO66" s="12">
        <f>IF('Données projet'!$A$166&gt;35,DO65+DN66-DW65,IF(A66&lt;'Données projet'!$A$166,$DL$205^A66,IF(A66='Données projet'!$A$166,'Données projet'!$B$166,DO65+DN66-DW65)))</f>
        <v>142.69230769230779</v>
      </c>
      <c r="DP66" s="17">
        <f>DO66*VLOOKUP('Données projet'!$B$14,Paramètres!$A$1:$I$89,3,0)*VLOOKUP('Données projet'!$B$14,Paramètres!$A$1:$I$89,5,0)</f>
        <v>93.492000000000061</v>
      </c>
      <c r="DQ66" s="13">
        <f t="shared" si="43"/>
        <v>25.405536424380745</v>
      </c>
      <c r="DR66" s="20">
        <f t="shared" si="16"/>
        <v>207.07987593912989</v>
      </c>
      <c r="DS66" s="59">
        <f t="shared" si="17"/>
        <v>500.41320927246318</v>
      </c>
      <c r="DT66" s="59">
        <f ca="1">AVERAGE(OFFSET($DS$3,0,0,'Données projet'!$E$14+1,1))-AVERAGE(OFFSET($H$3,0,0,'Données projet'!$E$14+1,1))</f>
        <v>181.4272795535777</v>
      </c>
      <c r="DU66" s="59">
        <f t="shared" si="44"/>
        <v>187.67131775419904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2.0144989296472797</v>
      </c>
      <c r="EB66" s="21">
        <f>EXP(-LN(2)/25)*EB65+(1-EXP(-LN(2)/25))/(LN(2)/25)*Calculateur!DW66*Calculateur!DY66*VLOOKUP('Données projet'!$B$14,Paramètres!$A$1:$I$89,3,0)*0.475*44/12</f>
        <v>5.7747210646152078</v>
      </c>
      <c r="EC66" s="21">
        <f>EXP(-LN(2)/2)*EC65+(1-EXP(-LN(2)/2))/(LN(2)/2)*DW66*DZ66*VLOOKUP('Données projet'!$B$14,Paramètres!$A$1:$I$89,3,0)*0.475*44/12</f>
        <v>0.94514251646345138</v>
      </c>
      <c r="ED66" s="22">
        <f t="shared" si="18"/>
        <v>8.7343625107259388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1.1368683772161603E-13</v>
      </c>
      <c r="EK66" s="17">
        <f>EJ66*VLOOKUP('Données projet'!$B$15,Paramètres!$A$1:$I$89,3,0)*VLOOKUP('Données projet'!$B$15,Paramètres!$A$1:$I$89,5,0)</f>
        <v>9.2222762759774927E-14</v>
      </c>
      <c r="EL66" s="13">
        <f t="shared" si="45"/>
        <v>1.3985662224947967E-12</v>
      </c>
      <c r="EM66" s="20">
        <f t="shared" si="19"/>
        <v>2.5964574826517121E-12</v>
      </c>
      <c r="EN66" s="59">
        <f t="shared" si="20"/>
        <v>293.33333333333593</v>
      </c>
      <c r="EO66" s="59">
        <f ca="1">AVERAGE(OFFSET($EN$3,0,0,'Données projet'!$E$15+1,1))-AVERAGE(OFFSET($H$3,0,0,'Données projet'!$E$15+1,1))</f>
        <v>159.68591355116837</v>
      </c>
      <c r="EP66" s="59">
        <f t="shared" si="46"/>
        <v>284.32631786390112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9.248072161024977</v>
      </c>
      <c r="EW66" s="21">
        <f>EXP(-LN(2)/25)*EW65+(1-EXP(-LN(2)/25))/(LN(2)/25)*Calculateur!ER66*Calculateur!ET66*VLOOKUP('Données projet'!$B$15,Paramètres!$A$1:$I$89,3,0)*0.475*44/12</f>
        <v>10.210808209646689</v>
      </c>
      <c r="EX66" s="21">
        <f>EXP(-LN(2)/2)*EX65+(1-EXP(-LN(2)/2))/(LN(2)/2)*ER66*EU66*VLOOKUP('Données projet'!$B$15,Paramètres!$A$1:$I$89,3,0)*0.475*44/12</f>
        <v>1.0075620594695238E-2</v>
      </c>
      <c r="EY66" s="22">
        <f t="shared" si="21"/>
        <v>19.468955991266359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4.4000000000000004</v>
      </c>
      <c r="FE66" s="12">
        <f>IF('Données projet'!$A$218&gt;35,FE65+FD66-FM65,IF(A66&lt;'Données projet'!$A$218,$FB$205^A66,IF(A66='Données projet'!$A$218,'Données projet'!$B$218,FE65+FD66-FM65)))</f>
        <v>246.19999999999985</v>
      </c>
      <c r="FF66" s="17">
        <f>FE66*VLOOKUP('Données projet'!$B$16,Paramètres!$A$1:$I$89,3,0)*VLOOKUP('Données projet'!$B$16,Paramètres!$A$1:$I$89,5,0)</f>
        <v>195.87671999999989</v>
      </c>
      <c r="FG66" s="13">
        <f t="shared" si="47"/>
        <v>48.836899853879942</v>
      </c>
      <c r="FH66" s="20">
        <f t="shared" si="22"/>
        <v>426.20955457884071</v>
      </c>
      <c r="FI66" s="59">
        <f t="shared" si="23"/>
        <v>719.54288791217402</v>
      </c>
      <c r="FJ66" s="59">
        <f ca="1">AVERAGE(OFFSET($FI$3,0,0,'Données projet'!$E$16+1,1))-AVERAGE(OFFSET($H$3,0,0,'Données projet'!$E$16+1,1))</f>
        <v>299.10536994156814</v>
      </c>
      <c r="FK66" s="59">
        <f t="shared" si="48"/>
        <v>292.57799203101769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8.0063438939685625</v>
      </c>
      <c r="FR66" s="21">
        <f>EXP(-LN(2)/25)*FR65+(1-EXP(-LN(2)/25))/(LN(2)/25)*Calculateur!FM66*Calculateur!FO66*VLOOKUP('Données projet'!$B$16,Paramètres!$A$1:$I$89,3,0)*0.475*44/12</f>
        <v>12.51187380532096</v>
      </c>
      <c r="FS66" s="21">
        <f>EXP(-LN(2)/2)*FS65+(1-EXP(-LN(2)/2))/(LN(2)/2)*FM66*FP66*VLOOKUP('Données projet'!$B$16,Paramètres!$A$1:$I$89,3,0)*0.475*44/12</f>
        <v>0.99420181316435052</v>
      </c>
      <c r="FT66" s="22">
        <f t="shared" si="24"/>
        <v>21.512419512453874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5.6843418860808015E-14</v>
      </c>
      <c r="GA66" s="17">
        <f>FZ66*VLOOKUP('Données projet'!$B$17,Paramètres!$A$1:$I$89,3,0)*VLOOKUP('Données projet'!$B$17,Paramètres!$A$1:$I$89,5,0)</f>
        <v>5.1431925385259088E-14</v>
      </c>
      <c r="GB66" s="13">
        <f t="shared" si="49"/>
        <v>8.3482866290946129E-13</v>
      </c>
      <c r="GC66" s="20">
        <f t="shared" si="25"/>
        <v>1.5435705246133045E-12</v>
      </c>
      <c r="GD66" s="59">
        <f t="shared" si="26"/>
        <v>293.33333333333485</v>
      </c>
      <c r="GE66" s="59">
        <f ca="1">AVERAGE(OFFSET($GD$3,0,0,'Données projet'!$E$17+1,1))-AVERAGE(OFFSET($H$3,0,0,'Données projet'!$E$17+1,1))</f>
        <v>204.78565758021779</v>
      </c>
      <c r="GF66" s="59">
        <f t="shared" si="50"/>
        <v>287.25131613242439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10.928662258370791</v>
      </c>
      <c r="GM66" s="21">
        <f>EXP(-LN(2)/25)*GM65+(1-EXP(-LN(2)/25))/(LN(2)/25)*Calculateur!GH66*Calculateur!GJ66*VLOOKUP('Données projet'!$B$17,Paramètres!$A$1:$I$89,3,0)*0.475*44/12</f>
        <v>8.0240085417894029</v>
      </c>
      <c r="GN66" s="21">
        <f>EXP(-LN(2)/2)*GN65+(1-EXP(-LN(2)/2))/(LN(2)/2)*GH66*GK66*VLOOKUP('Données projet'!$B$17,Paramètres!$A$1:$I$89,3,0)*0.475*44/12</f>
        <v>2.6934744890375693E-2</v>
      </c>
      <c r="GO66" s="21">
        <f t="shared" si="27"/>
        <v>18.979605545050568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8.6666666666666661</v>
      </c>
      <c r="GU66" s="12">
        <f>IF('Données projet'!$A$270&gt;35,GU65+GT66-HC65,IF(A66&lt;'Données projet'!$A$270,$GR$205^A66,IF(A66='Données projet'!$A$270,'Données projet'!$B$270,GU65+GT66-HC65)))</f>
        <v>275.99999999999994</v>
      </c>
      <c r="GV66" s="17">
        <f>GU66*VLOOKUP('Données projet'!$B$18,Paramètres!$A$1:$I$89,3,0)*VLOOKUP('Données projet'!$B$18,Paramètres!$A$1:$I$89,5,0)</f>
        <v>215.27999999999997</v>
      </c>
      <c r="GW66" s="13">
        <f t="shared" si="51"/>
        <v>53.087725740853138</v>
      </c>
      <c r="GX66" s="20">
        <f t="shared" si="28"/>
        <v>467.40712233198587</v>
      </c>
      <c r="GY66" s="59">
        <f t="shared" si="29"/>
        <v>760.74045566531913</v>
      </c>
      <c r="GZ66" s="59">
        <f ca="1">AVERAGE(OFFSET($GY$3,0,0,'Données projet'!$E$18+1,1))-AVERAGE(OFFSET($H$3,0,0,'Données projet'!$E$18+1,1))</f>
        <v>288.82868507674738</v>
      </c>
      <c r="HA66" s="59">
        <f t="shared" si="52"/>
        <v>283.48738729114024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14.184205536134858</v>
      </c>
      <c r="HH66" s="21">
        <f>EXP(-LN(2)/25)*HH65+(1-EXP(-LN(2)/25))/(LN(2)/25)*Calculateur!HC66*Calculateur!HE66*VLOOKUP('Données projet'!$B$18,Paramètres!$A$1:$I$89,3,0)*0.475*44/12</f>
        <v>14.232569433952582</v>
      </c>
      <c r="HI66" s="21">
        <f>EXP(-LN(2)/2)*HI65+(1-EXP(-LN(2)/2))/(LN(2)/2)*HC66*HF66*VLOOKUP('Données projet'!$B$18,Paramètres!$A$1:$I$89,3,0)*0.475*44/12</f>
        <v>3.2643215609819958</v>
      </c>
      <c r="HJ66" s="22">
        <f t="shared" si="30"/>
        <v>31.681096531069436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11.896999999999997</v>
      </c>
      <c r="N67" s="13">
        <f>IF('Données projet'!$A$36&gt;35,N66+M67-V66,IF(A67&lt;'Données projet'!$A$36,$K$205^A67,IF(A67='Données projet'!$A$36,'Données projet'!$B$36,N66+M67-V66)))</f>
        <v>418.68799999999982</v>
      </c>
      <c r="O67" s="13">
        <f>N67*VLOOKUP('Données projet'!$B$9,Paramètres!$A$1:$I$89,3,0)*VLOOKUP('Données projet'!$B$9,Paramètres!$A$1:$I$89,5,0)</f>
        <v>250.37542399999992</v>
      </c>
      <c r="P67" s="13">
        <f t="shared" si="33"/>
        <v>60.666325229387866</v>
      </c>
      <c r="Q67" s="20">
        <f t="shared" ref="Q67:Q98" si="54">(O67+P67)*0.475*44/12</f>
        <v>541.73104657451711</v>
      </c>
      <c r="R67" s="59">
        <f t="shared" ref="R67:R130" si="55">Q67+(I67+J67)*44/12</f>
        <v>835.06437990785048</v>
      </c>
      <c r="S67" s="59">
        <f ca="1">AVERAGE(OFFSET($R$3,0,0,'Données projet'!$E$9+1,1))-AVERAGE(OFFSET($H$3,0,0,'Données projet'!$E$9+1,1))</f>
        <v>349.71285006949597</v>
      </c>
      <c r="T67" s="59">
        <f t="shared" si="34"/>
        <v>258.51550516456842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41.125417654871342</v>
      </c>
      <c r="AA67" s="21">
        <f>EXP(-LN(2)/25)*AA66+(1-EXP(-LN(2)/25))/(LN(2)/25)*Calculateur!V67*Calculateur!X67*VLOOKUP('Données projet'!$B$9,Paramètres!$A$1:$I$89,3,0)*0.475*44/12</f>
        <v>17.30411795613351</v>
      </c>
      <c r="AB67" s="21">
        <f>EXP(-LN(2)/2)*AB66+(1-EXP(-LN(2)/2))/(LN(2)/2)*V67*Y67*VLOOKUP('Données projet'!$B$9,Paramètres!$A$1:$I$89,3,0)*0.475*44/12</f>
        <v>2.442309562437075</v>
      </c>
      <c r="AC67" s="22">
        <f t="shared" si="3"/>
        <v>60.871845173441926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9.7525000000000013</v>
      </c>
      <c r="AI67" s="13">
        <f>IF('Données projet'!$A$62&gt;35,AI66+AH67-AQ66,IF(A67&lt;'Données projet'!$A$62,$AF$205^A67,IF(A67='Données projet'!$A$62,'Données projet'!$B$62,AI66+AH67-AQ66)))</f>
        <v>209.80249999999998</v>
      </c>
      <c r="AJ67" s="13">
        <f>AI67*VLOOKUP('Données projet'!$B$10,Paramètres!$A$1:$I$89,3,0)*VLOOKUP('Données projet'!$B$10,Paramètres!$A$1:$I$89,5,0)</f>
        <v>199.64805899999999</v>
      </c>
      <c r="AK67" s="13">
        <f t="shared" si="35"/>
        <v>49.666813819210098</v>
      </c>
      <c r="AL67" s="20">
        <f t="shared" si="4"/>
        <v>434.22340349345751</v>
      </c>
      <c r="AM67" s="59">
        <f t="shared" si="5"/>
        <v>727.55673682679083</v>
      </c>
      <c r="AN67" s="59">
        <f ca="1">AVERAGE(OFFSET($AM$3,0,0,'Données projet'!$E$10+1,1))-AVERAGE(OFFSET($H$3,0,0,'Données projet'!$E$10+1,1))</f>
        <v>449.28947235329758</v>
      </c>
      <c r="AO67" s="59">
        <f t="shared" si="36"/>
        <v>289.36994109443964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11.537905668133099</v>
      </c>
      <c r="AV67" s="21">
        <f>EXP(-LN(2)/25)*AV66+(1-EXP(-LN(2)/25))/(LN(2)/25)*Calculateur!AQ67*Calculateur!AS67*VLOOKUP('Données projet'!$B$10,Paramètres!$A$1:$I$89,3,0)*0.475*44/12</f>
        <v>27.568085472373532</v>
      </c>
      <c r="AW67" s="21">
        <f>EXP(-LN(2)/2)*AW66+(1-EXP(-LN(2)/2))/(LN(2)/2)*AQ67*AT67*VLOOKUP('Données projet'!$B$10,Paramètres!$A$1:$I$89,3,0)*0.475*44/12</f>
        <v>0.73780856808655071</v>
      </c>
      <c r="AX67" s="21">
        <f t="shared" si="6"/>
        <v>39.843799708593181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241.17896400000026</v>
      </c>
      <c r="BF67" s="13">
        <f t="shared" si="37"/>
        <v>58.693117941200413</v>
      </c>
      <c r="BG67" s="20">
        <f t="shared" si="7"/>
        <v>522.27720938092455</v>
      </c>
      <c r="BH67" s="59">
        <f t="shared" si="8"/>
        <v>815.61054271425792</v>
      </c>
      <c r="BI67" s="59">
        <f ca="1">AVERAGE(OFFSET($BH$3,0,0,'Données projet'!$E$11+1,1))-AVERAGE(OFFSET($H$3,0,0,'Données projet'!$E$11+1,1))</f>
        <v>635.71275911100679</v>
      </c>
      <c r="BJ67" s="59">
        <f t="shared" si="38"/>
        <v>281.7776857269169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30.884491639615558</v>
      </c>
      <c r="BR67" s="21">
        <f>EXP(-LN(2)/2)*BR66+(1-EXP(-LN(2)/2))/(LN(2)/2)*BL67*BO67*VLOOKUP('Données projet'!$B$11,Paramètres!$A$1:$I$89,3,0)*0.475*44/12</f>
        <v>1.073747640932744</v>
      </c>
      <c r="BS67" s="22">
        <f t="shared" si="9"/>
        <v>31.958239280548302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6.8933333333333326</v>
      </c>
      <c r="BY67" s="12">
        <f>IF('Données projet'!$A$114&gt;35,BY66+BX67-CG66,IF(A67&lt;'Données projet'!$A$114,$BV$205^A67,IF(A67='Données projet'!$A$114,'Données projet'!$B$114,BY66+BX67-CG66)))</f>
        <v>156.32333333333327</v>
      </c>
      <c r="BZ67" s="13">
        <f>BY67*VLOOKUP('Données projet'!$B$12,Paramètres!$A$1:$I$89,3,0)*VLOOKUP('Données projet'!$B$12,Paramètres!$A$1:$I$89,5,0)</f>
        <v>178.02101199999993</v>
      </c>
      <c r="CA67" s="13">
        <f t="shared" si="39"/>
        <v>44.881614909300232</v>
      </c>
      <c r="CB67" s="20">
        <f t="shared" si="10"/>
        <v>388.22207520036437</v>
      </c>
      <c r="CC67" s="59">
        <f t="shared" si="11"/>
        <v>681.55540853369769</v>
      </c>
      <c r="CD67" s="59">
        <f ca="1">AVERAGE(OFFSET($CC$3,0,0,'Données projet'!$E$12+1,1))-AVERAGE(OFFSET($H$3,0,0,'Données projet'!$E$12+1,1))</f>
        <v>593.28343396240075</v>
      </c>
      <c r="CE67" s="59">
        <f t="shared" si="40"/>
        <v>289.66477662068695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28.133490851679372</v>
      </c>
      <c r="CM67" s="21">
        <f>EXP(-LN(2)/2)*CM66+(1-EXP(-LN(2)/2))/(LN(2)/2)*CG67*CJ67*VLOOKUP('Données projet'!$B$12,Paramètres!$A$1:$I$89,3,0)*0.475*44/12</f>
        <v>3.9148986688597578</v>
      </c>
      <c r="CN67" s="22">
        <f t="shared" si="12"/>
        <v>32.048389520539132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3.3333333333333344</v>
      </c>
      <c r="CT67" s="12">
        <f>IF('Données projet'!$A$140&gt;35,CT66+CS67-DB66,IF(A67&lt;'Données projet'!$A$140,$CQ$205^A67,IF(A67='Données projet'!$A$140,'Données projet'!$B$140,CT66+CS67-DB66)))</f>
        <v>140.25641025641031</v>
      </c>
      <c r="CU67" s="17">
        <f>CT67*VLOOKUP('Données projet'!$B$13,Paramètres!$A$1:$I$89,3,0)*VLOOKUP('Données projet'!$B$13,Paramètres!$A$1:$I$89,5,0)</f>
        <v>146.59600000000006</v>
      </c>
      <c r="CV67" s="13">
        <f t="shared" si="41"/>
        <v>37.803983977081543</v>
      </c>
      <c r="CW67" s="20">
        <f t="shared" si="13"/>
        <v>321.16330542675047</v>
      </c>
      <c r="CX67" s="59">
        <f t="shared" si="14"/>
        <v>614.49663876008378</v>
      </c>
      <c r="CY67" s="59">
        <f ca="1">AVERAGE(OFFSET($CX$3,0,0,'Données projet'!$E$13+1,1))-AVERAGE(OFFSET($H$3,0,0,'Données projet'!$E$13+1,1))</f>
        <v>260.65406541614402</v>
      </c>
      <c r="CZ67" s="59">
        <f t="shared" si="42"/>
        <v>277.63456890196886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1.9893619941818237</v>
      </c>
      <c r="DG67" s="21">
        <f>EXP(-LN(2)/25)*DG66+(1-EXP(-LN(2)/25))/(LN(2)/25)*Calculateur!DB67*Calculateur!DD67*VLOOKUP('Données projet'!$B$13,Paramètres!$A$1:$I$89,3,0)*0.475*44/12</f>
        <v>23.993428766448787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25.982790760630611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3.333333333333337</v>
      </c>
      <c r="DO67" s="12">
        <f>IF('Données projet'!$A$166&gt;35,DO66+DN67-DW66,IF(A67&lt;'Données projet'!$A$166,$DL$205^A67,IF(A67='Données projet'!$A$166,'Données projet'!$B$166,DO66+DN67-DW66)))</f>
        <v>146.02564102564114</v>
      </c>
      <c r="DP67" s="17">
        <f>DO67*VLOOKUP('Données projet'!$B$14,Paramètres!$A$1:$I$89,3,0)*VLOOKUP('Données projet'!$B$14,Paramètres!$A$1:$I$89,5,0)</f>
        <v>95.676000000000073</v>
      </c>
      <c r="DQ67" s="13">
        <f t="shared" si="43"/>
        <v>25.929229078869284</v>
      </c>
      <c r="DR67" s="20">
        <f t="shared" si="16"/>
        <v>211.79577397903077</v>
      </c>
      <c r="DS67" s="59">
        <f t="shared" si="17"/>
        <v>505.12910731236411</v>
      </c>
      <c r="DT67" s="59">
        <f ca="1">AVERAGE(OFFSET($DS$3,0,0,'Données projet'!$E$14+1,1))-AVERAGE(OFFSET($H$3,0,0,'Données projet'!$E$14+1,1))</f>
        <v>181.4272795535777</v>
      </c>
      <c r="DU67" s="59">
        <f t="shared" si="44"/>
        <v>187.67131775419904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1.9749958343599174</v>
      </c>
      <c r="EB67" s="21">
        <f>EXP(-LN(2)/25)*EB66+(1-EXP(-LN(2)/25))/(LN(2)/25)*Calculateur!DW67*Calculateur!DY67*VLOOKUP('Données projet'!$B$14,Paramètres!$A$1:$I$89,3,0)*0.475*44/12</f>
        <v>5.6168110134239226</v>
      </c>
      <c r="EC67" s="21">
        <f>EXP(-LN(2)/2)*EC66+(1-EXP(-LN(2)/2))/(LN(2)/2)*DW67*DZ67*VLOOKUP('Données projet'!$B$14,Paramètres!$A$1:$I$89,3,0)*0.475*44/12</f>
        <v>0.66831668257902466</v>
      </c>
      <c r="ED67" s="22">
        <f t="shared" si="18"/>
        <v>8.2601235303628648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1.1368683772161603E-13</v>
      </c>
      <c r="EK67" s="17">
        <f>EJ67*VLOOKUP('Données projet'!$B$15,Paramètres!$A$1:$I$89,3,0)*VLOOKUP('Données projet'!$B$15,Paramètres!$A$1:$I$89,5,0)</f>
        <v>9.2222762759774927E-14</v>
      </c>
      <c r="EL67" s="13">
        <f t="shared" si="45"/>
        <v>1.3985662224947967E-12</v>
      </c>
      <c r="EM67" s="20">
        <f t="shared" si="19"/>
        <v>2.5964574826517121E-12</v>
      </c>
      <c r="EN67" s="59">
        <f t="shared" si="20"/>
        <v>293.33333333333593</v>
      </c>
      <c r="EO67" s="59">
        <f ca="1">AVERAGE(OFFSET($EN$3,0,0,'Données projet'!$E$15+1,1))-AVERAGE(OFFSET($H$3,0,0,'Données projet'!$E$15+1,1))</f>
        <v>159.68591355116837</v>
      </c>
      <c r="EP67" s="59">
        <f t="shared" si="46"/>
        <v>284.32631786390112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9.0667231067143153</v>
      </c>
      <c r="EW67" s="21">
        <f>EXP(-LN(2)/25)*EW66+(1-EXP(-LN(2)/25))/(LN(2)/25)*Calculateur!ER67*Calculateur!ET67*VLOOKUP('Données projet'!$B$15,Paramètres!$A$1:$I$89,3,0)*0.475*44/12</f>
        <v>9.9315931221908347</v>
      </c>
      <c r="EX67" s="21">
        <f>EXP(-LN(2)/2)*EX66+(1-EXP(-LN(2)/2))/(LN(2)/2)*ER67*EU67*VLOOKUP('Données projet'!$B$15,Paramètres!$A$1:$I$89,3,0)*0.475*44/12</f>
        <v>7.1245396471718379E-3</v>
      </c>
      <c r="EY67" s="22">
        <f t="shared" si="21"/>
        <v>19.005440768552322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4.4000000000000004</v>
      </c>
      <c r="FE67" s="12">
        <f>IF('Données projet'!$A$218&gt;35,FE66+FD67-FM66,IF(A67&lt;'Données projet'!$A$218,$FB$205^A67,IF(A67='Données projet'!$A$218,'Données projet'!$B$218,FE66+FD67-FM66)))</f>
        <v>250.59999999999985</v>
      </c>
      <c r="FF67" s="17">
        <f>FE67*VLOOKUP('Données projet'!$B$16,Paramètres!$A$1:$I$89,3,0)*VLOOKUP('Données projet'!$B$16,Paramètres!$A$1:$I$89,5,0)</f>
        <v>199.3773599999999</v>
      </c>
      <c r="FG67" s="13">
        <f t="shared" si="47"/>
        <v>49.607305476717762</v>
      </c>
      <c r="FH67" s="20">
        <f t="shared" si="22"/>
        <v>433.64829237194994</v>
      </c>
      <c r="FI67" s="59">
        <f t="shared" si="23"/>
        <v>726.98162570528325</v>
      </c>
      <c r="FJ67" s="59">
        <f ca="1">AVERAGE(OFFSET($FI$3,0,0,'Données projet'!$E$16+1,1))-AVERAGE(OFFSET($H$3,0,0,'Données projet'!$E$16+1,1))</f>
        <v>299.10536994156814</v>
      </c>
      <c r="FK67" s="59">
        <f t="shared" si="48"/>
        <v>292.57799203101769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7.8493443735954198</v>
      </c>
      <c r="FR67" s="21">
        <f>EXP(-LN(2)/25)*FR66+(1-EXP(-LN(2)/25))/(LN(2)/25)*Calculateur!FM67*Calculateur!FO67*VLOOKUP('Données projet'!$B$16,Paramètres!$A$1:$I$89,3,0)*0.475*44/12</f>
        <v>12.169735958143612</v>
      </c>
      <c r="FS67" s="21">
        <f>EXP(-LN(2)/2)*FS66+(1-EXP(-LN(2)/2))/(LN(2)/2)*FM67*FP67*VLOOKUP('Données projet'!$B$16,Paramètres!$A$1:$I$89,3,0)*0.475*44/12</f>
        <v>0.70300684395647328</v>
      </c>
      <c r="FT67" s="22">
        <f t="shared" si="24"/>
        <v>20.722087175695506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5.6843418860808015E-14</v>
      </c>
      <c r="GA67" s="17">
        <f>FZ67*VLOOKUP('Données projet'!$B$17,Paramètres!$A$1:$I$89,3,0)*VLOOKUP('Données projet'!$B$17,Paramètres!$A$1:$I$89,5,0)</f>
        <v>5.1431925385259088E-14</v>
      </c>
      <c r="GB67" s="13">
        <f t="shared" si="49"/>
        <v>8.3482866290946129E-13</v>
      </c>
      <c r="GC67" s="20">
        <f t="shared" si="25"/>
        <v>1.5435705246133045E-12</v>
      </c>
      <c r="GD67" s="59">
        <f t="shared" si="26"/>
        <v>293.33333333333485</v>
      </c>
      <c r="GE67" s="59">
        <f ca="1">AVERAGE(OFFSET($GD$3,0,0,'Données projet'!$E$17+1,1))-AVERAGE(OFFSET($H$3,0,0,'Données projet'!$E$17+1,1))</f>
        <v>204.78565758021779</v>
      </c>
      <c r="GF67" s="59">
        <f t="shared" si="50"/>
        <v>287.25131613242439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10.714357857309922</v>
      </c>
      <c r="GM67" s="21">
        <f>EXP(-LN(2)/25)*GM66+(1-EXP(-LN(2)/25))/(LN(2)/25)*Calculateur!GH67*Calculateur!GJ67*VLOOKUP('Données projet'!$B$17,Paramètres!$A$1:$I$89,3,0)*0.475*44/12</f>
        <v>7.8045916062499012</v>
      </c>
      <c r="GN67" s="21">
        <f>EXP(-LN(2)/2)*GN66+(1-EXP(-LN(2)/2))/(LN(2)/2)*GH67*GK67*VLOOKUP('Données projet'!$B$17,Paramètres!$A$1:$I$89,3,0)*0.475*44/12</f>
        <v>1.9045740761514364E-2</v>
      </c>
      <c r="GO67" s="21">
        <f t="shared" si="27"/>
        <v>18.537995204321337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8.6666666666666661</v>
      </c>
      <c r="GU67" s="12">
        <f>IF('Données projet'!$A$270&gt;35,GU66+GT67-HC66,IF(A67&lt;'Données projet'!$A$270,$GR$205^A67,IF(A67='Données projet'!$A$270,'Données projet'!$B$270,GU66+GT67-HC66)))</f>
        <v>284.66666666666663</v>
      </c>
      <c r="GV67" s="17">
        <f>GU67*VLOOKUP('Données projet'!$B$18,Paramètres!$A$1:$I$89,3,0)*VLOOKUP('Données projet'!$B$18,Paramètres!$A$1:$I$89,5,0)</f>
        <v>222.04</v>
      </c>
      <c r="GW67" s="13">
        <f t="shared" si="51"/>
        <v>54.558031180803546</v>
      </c>
      <c r="GX67" s="20">
        <f t="shared" si="28"/>
        <v>481.74157097323285</v>
      </c>
      <c r="GY67" s="59">
        <f t="shared" si="29"/>
        <v>775.07490430656617</v>
      </c>
      <c r="GZ67" s="59">
        <f ca="1">AVERAGE(OFFSET($GY$3,0,0,'Données projet'!$E$18+1,1))-AVERAGE(OFFSET($H$3,0,0,'Données projet'!$E$18+1,1))</f>
        <v>288.82868507674738</v>
      </c>
      <c r="HA67" s="59">
        <f t="shared" si="52"/>
        <v>283.48738729114024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13.906061917082365</v>
      </c>
      <c r="HH67" s="21">
        <f>EXP(-LN(2)/25)*HH66+(1-EXP(-LN(2)/25))/(LN(2)/25)*Calculateur!HC67*Calculateur!HE67*VLOOKUP('Données projet'!$B$18,Paramètres!$A$1:$I$89,3,0)*0.475*44/12</f>
        <v>13.843379074322851</v>
      </c>
      <c r="HI67" s="21">
        <f>EXP(-LN(2)/2)*HI66+(1-EXP(-LN(2)/2))/(LN(2)/2)*HC67*HF67*VLOOKUP('Données projet'!$B$18,Paramètres!$A$1:$I$89,3,0)*0.475*44/12</f>
        <v>2.3082239117438257</v>
      </c>
      <c r="HJ67" s="22">
        <f t="shared" si="30"/>
        <v>30.057664903149043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11.896999999999997</v>
      </c>
      <c r="N68" s="13">
        <f>IF('Données projet'!$A$36&gt;35,N67+M68-V67,IF(A68&lt;'Données projet'!$A$36,$K$205^A68,IF(A68='Données projet'!$A$36,'Données projet'!$B$36,N67+M68-V67)))</f>
        <v>430.58499999999981</v>
      </c>
      <c r="O68" s="13">
        <f>N68*VLOOKUP('Données projet'!$B$9,Paramètres!$A$1:$I$89,3,0)*VLOOKUP('Données projet'!$B$9,Paramètres!$A$1:$I$89,5,0)</f>
        <v>257.48982999999993</v>
      </c>
      <c r="P68" s="13">
        <f t="shared" si="33"/>
        <v>62.187009415011673</v>
      </c>
      <c r="Q68" s="20">
        <f t="shared" si="54"/>
        <v>556.77049531447858</v>
      </c>
      <c r="R68" s="59">
        <f t="shared" si="55"/>
        <v>850.10382864781195</v>
      </c>
      <c r="S68" s="59">
        <f ca="1">AVERAGE(OFFSET($R$3,0,0,'Données projet'!$E$9+1,1))-AVERAGE(OFFSET($H$3,0,0,'Données projet'!$E$9+1,1))</f>
        <v>349.71285006949597</v>
      </c>
      <c r="T68" s="59">
        <f t="shared" si="34"/>
        <v>258.51550516456842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40.31897329868724</v>
      </c>
      <c r="AA68" s="21">
        <f>EXP(-LN(2)/25)*AA67+(1-EXP(-LN(2)/25))/(LN(2)/25)*Calculateur!V68*Calculateur!X68*VLOOKUP('Données projet'!$B$9,Paramètres!$A$1:$I$89,3,0)*0.475*44/12</f>
        <v>16.830935940639026</v>
      </c>
      <c r="AB68" s="21">
        <f>EXP(-LN(2)/2)*AB67+(1-EXP(-LN(2)/2))/(LN(2)/2)*V68*Y68*VLOOKUP('Données projet'!$B$9,Paramètres!$A$1:$I$89,3,0)*0.475*44/12</f>
        <v>1.7269736533560056</v>
      </c>
      <c r="AC68" s="22">
        <f t="shared" ref="AC68:AC131" si="57">SUM(Z68:AB68)</f>
        <v>58.876882892682268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9.7525000000000013</v>
      </c>
      <c r="AI68" s="13">
        <f>IF('Données projet'!$A$62&gt;35,AI67+AH68-AQ67,IF(A68&lt;'Données projet'!$A$62,$AF$205^A68,IF(A68='Données projet'!$A$62,'Données projet'!$B$62,AI67+AH68-AQ67)))</f>
        <v>219.55499999999998</v>
      </c>
      <c r="AJ68" s="13">
        <f>AI68*VLOOKUP('Données projet'!$B$10,Paramètres!$A$1:$I$89,3,0)*VLOOKUP('Données projet'!$B$10,Paramètres!$A$1:$I$89,5,0)</f>
        <v>208.92853799999997</v>
      </c>
      <c r="AK68" s="13">
        <f t="shared" si="35"/>
        <v>51.701374633508699</v>
      </c>
      <c r="AL68" s="20">
        <f t="shared" ref="AL68:AL131" si="58">(AJ68+AK68)*0.475*44/12</f>
        <v>453.93043117002759</v>
      </c>
      <c r="AM68" s="59">
        <f t="shared" ref="AM68:AM131" si="59">AL68+(AD68+AE68)*44/12</f>
        <v>747.2637645033609</v>
      </c>
      <c r="AN68" s="59">
        <f ca="1">AVERAGE(OFFSET($AM$3,0,0,'Données projet'!$E$10+1,1))-AVERAGE(OFFSET($H$3,0,0,'Données projet'!$E$10+1,1))</f>
        <v>449.28947235329758</v>
      </c>
      <c r="AO68" s="59">
        <f t="shared" si="36"/>
        <v>289.36994109443964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11.311654375408578</v>
      </c>
      <c r="AV68" s="21">
        <f>EXP(-LN(2)/25)*AV67+(1-EXP(-LN(2)/25))/(LN(2)/25)*Calculateur!AQ68*Calculateur!AS68*VLOOKUP('Données projet'!$B$10,Paramètres!$A$1:$I$89,3,0)*0.475*44/12</f>
        <v>26.814234725388872</v>
      </c>
      <c r="AW68" s="21">
        <f>EXP(-LN(2)/2)*AW67+(1-EXP(-LN(2)/2))/(LN(2)/2)*AQ68*AT68*VLOOKUP('Données projet'!$B$10,Paramètres!$A$1:$I$89,3,0)*0.475*44/12</f>
        <v>0.52170944171153655</v>
      </c>
      <c r="AX68" s="21">
        <f t="shared" ref="AX68:AX131" si="60">SUM(AU68:AW68)</f>
        <v>38.647598542508987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250.32423000000026</v>
      </c>
      <c r="BF68" s="13">
        <f t="shared" si="37"/>
        <v>60.655364588948935</v>
      </c>
      <c r="BG68" s="20">
        <f t="shared" ref="BG68:BG131" si="61">(BE68+BF68)*0.475*44/12</f>
        <v>541.62279390908645</v>
      </c>
      <c r="BH68" s="59">
        <f t="shared" ref="BH68:BH131" si="62">BG68+(AY68+AZ68)*44/12</f>
        <v>834.95612724241983</v>
      </c>
      <c r="BI68" s="59">
        <f ca="1">AVERAGE(OFFSET($BH$3,0,0,'Données projet'!$E$11+1,1))-AVERAGE(OFFSET($H$3,0,0,'Données projet'!$E$11+1,1))</f>
        <v>635.71275911100679</v>
      </c>
      <c r="BJ68" s="59">
        <f t="shared" si="38"/>
        <v>281.7776857269169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30.039953591585441</v>
      </c>
      <c r="BR68" s="21">
        <f>EXP(-LN(2)/2)*BR67+(1-EXP(-LN(2)/2))/(LN(2)/2)*BL68*BO68*VLOOKUP('Données projet'!$B$11,Paramètres!$A$1:$I$89,3,0)*0.475*44/12</f>
        <v>0.75925423818660143</v>
      </c>
      <c r="BS68" s="22">
        <f t="shared" ref="BS68:BS131" si="63">SUM(BP68:BR68)</f>
        <v>30.799207829772044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6.8933333333333326</v>
      </c>
      <c r="BY68" s="12">
        <f>IF('Données projet'!$A$114&gt;35,BY67+BX68-CG67,IF(A68&lt;'Données projet'!$A$114,$BV$205^A68,IF(A68='Données projet'!$A$114,'Données projet'!$B$114,BY67+BX68-CG67)))</f>
        <v>163.21666666666661</v>
      </c>
      <c r="BZ68" s="13">
        <f>BY68*VLOOKUP('Données projet'!$B$12,Paramètres!$A$1:$I$89,3,0)*VLOOKUP('Données projet'!$B$12,Paramètres!$A$1:$I$89,5,0)</f>
        <v>185.87113999999994</v>
      </c>
      <c r="CA68" s="13">
        <f t="shared" si="39"/>
        <v>46.625956591742927</v>
      </c>
      <c r="CB68" s="20">
        <f t="shared" ref="CB68:CB131" si="64">(BZ68+CA68)*0.475*44/12</f>
        <v>404.93244323061884</v>
      </c>
      <c r="CC68" s="59">
        <f t="shared" ref="CC68:CC131" si="65">CB68+(BT68+BU68)*44/12</f>
        <v>698.26577656395216</v>
      </c>
      <c r="CD68" s="59">
        <f ca="1">AVERAGE(OFFSET($CC$3,0,0,'Données projet'!$E$12+1,1))-AVERAGE(OFFSET($H$3,0,0,'Données projet'!$E$12+1,1))</f>
        <v>593.28343396240075</v>
      </c>
      <c r="CE68" s="59">
        <f t="shared" si="40"/>
        <v>289.66477662068695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27.364179064864217</v>
      </c>
      <c r="CM68" s="21">
        <f>EXP(-LN(2)/2)*CM67+(1-EXP(-LN(2)/2))/(LN(2)/2)*CG68*CJ68*VLOOKUP('Données projet'!$B$12,Paramètres!$A$1:$I$89,3,0)*0.475*44/12</f>
        <v>2.7682513964089233</v>
      </c>
      <c r="CN68" s="22">
        <f t="shared" ref="CN68:CN131" si="66">SUM(CK68:CM68)</f>
        <v>30.132430461273142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143.58974358974359</v>
      </c>
      <c r="CR68" s="12">
        <f>VLOOKUP(A68,'Données projet'!$A$139:$I$159,9,0)</f>
        <v>3.3333333333333344</v>
      </c>
      <c r="CS68" s="12">
        <f t="array" ref="CS68">INDEX(CR:CR,MIN(IF(ISNUMBER(CR68:CR264),ROW(CR68:CR264),"")))</f>
        <v>3.3333333333333344</v>
      </c>
      <c r="CT68" s="12">
        <f>IF('Données projet'!$A$140&gt;35,CT67+CS68-DB67,IF(A68&lt;'Données projet'!$A$140,$CQ$205^A68,IF(A68='Données projet'!$A$140,'Données projet'!$B$140,CT67+CS68-DB67)))</f>
        <v>143.58974358974365</v>
      </c>
      <c r="CU68" s="17">
        <f>CT68*VLOOKUP('Données projet'!$B$13,Paramètres!$A$1:$I$89,3,0)*VLOOKUP('Données projet'!$B$13,Paramètres!$A$1:$I$89,5,0)</f>
        <v>150.08000000000007</v>
      </c>
      <c r="CV68" s="13">
        <f t="shared" si="41"/>
        <v>38.596765343718673</v>
      </c>
      <c r="CW68" s="20">
        <f t="shared" ref="CW68:CW131" si="67">(CU68+CV68)*0.475*44/12</f>
        <v>328.61203297364347</v>
      </c>
      <c r="CX68" s="59">
        <f t="shared" ref="CX68:CX131" si="68">CW68+(CO68+CP68)*44/12</f>
        <v>621.94536630697678</v>
      </c>
      <c r="CY68" s="59">
        <f ca="1">AVERAGE(OFFSET($CX$3,0,0,'Données projet'!$E$13+1,1))-AVERAGE(OFFSET($H$3,0,0,'Données projet'!$E$13+1,1))</f>
        <v>260.65406541614402</v>
      </c>
      <c r="CZ68" s="59">
        <f t="shared" si="42"/>
        <v>277.63456890196886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12.820512820512819</v>
      </c>
      <c r="DC68" s="16">
        <f>IF(ISNA(VLOOKUP(A68,'Données projet'!$A$139:$I$159,5,0)),0%,VLOOKUP(A68,'Données projet'!$A$139:$I$159,5,0)*VLOOKUP('Données projet'!$B$13,Paramètres!$A$1:$I$89,7,0))</f>
        <v>4.3000000000000003E-2</v>
      </c>
      <c r="DD68" s="16">
        <f>IF(ISNA(VLOOKUP(A68,'Données projet'!$A$139:$I$159,6,0)),0%,VLOOKUP(A68,'Données projet'!$A$139:$I$159,6,0)*VLOOKUP('Données projet'!$B$13,Paramètres!$A$1:$I$89,7,0))</f>
        <v>0.215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2.587323851553808</v>
      </c>
      <c r="DG68" s="21">
        <f>EXP(-LN(2)/25)*DG67+(1-EXP(-LN(2)/25))/(LN(2)/25)*Calculateur!DB68*Calculateur!DD68*VLOOKUP('Données projet'!$B$13,Paramètres!$A$1:$I$89,3,0)*0.475*44/12</f>
        <v>26.50964735051479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29.096971202068598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149.35897435897436</v>
      </c>
      <c r="DM68" s="12">
        <f>VLOOKUP(A68,'Données projet'!$A$165:$I$185,9,0)</f>
        <v>3.333333333333337</v>
      </c>
      <c r="DN68" s="12">
        <f t="array" ref="DN68">INDEX(DM:DM,MIN(IF(ISNUMBER(DM68:DM264),ROW(DM68:DM264),"")))</f>
        <v>3.333333333333337</v>
      </c>
      <c r="DO68" s="12">
        <f>IF('Données projet'!$A$166&gt;35,DO67+DN68-DW67,IF(A68&lt;'Données projet'!$A$166,$DL$205^A68,IF(A68='Données projet'!$A$166,'Données projet'!$B$166,DO67+DN68-DW67)))</f>
        <v>149.35897435897448</v>
      </c>
      <c r="DP68" s="17">
        <f>DO68*VLOOKUP('Données projet'!$B$14,Paramètres!$A$1:$I$89,3,0)*VLOOKUP('Données projet'!$B$14,Paramètres!$A$1:$I$89,5,0)</f>
        <v>97.86000000000007</v>
      </c>
      <c r="DQ68" s="13">
        <f t="shared" si="43"/>
        <v>26.451531966006364</v>
      </c>
      <c r="DR68" s="20">
        <f t="shared" ref="DR68:DR131" si="70">(DP68+DQ68)*0.475*44/12</f>
        <v>216.50925150746119</v>
      </c>
      <c r="DS68" s="59">
        <f t="shared" ref="DS68:DS131" si="71">DR68+(DJ68+DK68)*44/12</f>
        <v>509.84258484079453</v>
      </c>
      <c r="DT68" s="59">
        <f ca="1">AVERAGE(OFFSET($DS$3,0,0,'Données projet'!$E$14+1,1))-AVERAGE(OFFSET($H$3,0,0,'Données projet'!$E$14+1,1))</f>
        <v>181.4272795535777</v>
      </c>
      <c r="DU68" s="59">
        <f t="shared" si="44"/>
        <v>187.67131775419904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12.820512820512819</v>
      </c>
      <c r="DX68" s="16">
        <f>IF(ISNA(VLOOKUP(A68,'Données projet'!$A$165:$I$185,5,0)),0%,VLOOKUP(A68,'Données projet'!$A$165:$I$185,5,0)*VLOOKUP('Données projet'!$B$14,Paramètres!$A$1:$I$89,7,0))</f>
        <v>0.1075</v>
      </c>
      <c r="DY68" s="16">
        <f>IF(ISNA(VLOOKUP(A68,'Données projet'!$A$165:$I$185,6,0)),0%,VLOOKUP(A68,'Données projet'!$A$165:$I$185,6,0)*VLOOKUP('Données projet'!$B$14,Paramètres!$A$1:$I$89,7,0))</f>
        <v>0.1075</v>
      </c>
      <c r="DZ68" s="16">
        <f>IF(ISNA(VLOOKUP(A68,'Données projet'!$A$165:$I$185,7,0)),0%,VLOOKUP(A68,'Données projet'!$A$165:$I$185,7,0))</f>
        <v>0.25</v>
      </c>
      <c r="EA68" s="21">
        <f>EXP(-LN(2)/35)*EA67+(1-EXP(-LN(2)/35))/(LN(2)/35)*DW68*DX68*VLOOKUP('Données projet'!$B$14,Paramètres!$A$1:$I$89,3,0)*0.475*44/12</f>
        <v>2.934507123394885</v>
      </c>
      <c r="EB68" s="21">
        <f>EXP(-LN(2)/25)*EB67+(1-EXP(-LN(2)/25))/(LN(2)/25)*Calculateur!DW68*Calculateur!DY68*VLOOKUP('Données projet'!$B$14,Paramètres!$A$1:$I$89,3,0)*0.475*44/12</f>
        <v>6.4575283233392282</v>
      </c>
      <c r="EC68" s="21">
        <f>EXP(-LN(2)/2)*EC67+(1-EXP(-LN(2)/2))/(LN(2)/2)*DW68*DZ68*VLOOKUP('Données projet'!$B$14,Paramètres!$A$1:$I$89,3,0)*0.475*44/12</f>
        <v>2.4539777789030408</v>
      </c>
      <c r="ED68" s="22">
        <f t="shared" ref="ED68:ED131" si="72">SUM(EA68:EC68)</f>
        <v>11.846013225637154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1.1368683772161603E-13</v>
      </c>
      <c r="EK68" s="17">
        <f>EJ68*VLOOKUP('Données projet'!$B$15,Paramètres!$A$1:$I$89,3,0)*VLOOKUP('Données projet'!$B$15,Paramètres!$A$1:$I$89,5,0)</f>
        <v>9.2222762759774927E-14</v>
      </c>
      <c r="EL68" s="13">
        <f t="shared" si="45"/>
        <v>1.3985662224947967E-12</v>
      </c>
      <c r="EM68" s="20">
        <f t="shared" ref="EM68:EM131" si="73">(EK68+EL68)*0.475*44/12</f>
        <v>2.5964574826517121E-12</v>
      </c>
      <c r="EN68" s="59">
        <f t="shared" ref="EN68:EN131" si="74">EM68+(EE68+EF68)*44/12</f>
        <v>293.33333333333593</v>
      </c>
      <c r="EO68" s="59">
        <f ca="1">AVERAGE(OFFSET($EN$3,0,0,'Données projet'!$E$15+1,1))-AVERAGE(OFFSET($H$3,0,0,'Données projet'!$E$15+1,1))</f>
        <v>159.68591355116837</v>
      </c>
      <c r="EP68" s="59">
        <f t="shared" si="46"/>
        <v>284.32631786390112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8.8889301967466849</v>
      </c>
      <c r="EW68" s="21">
        <f>EXP(-LN(2)/25)*EW67+(1-EXP(-LN(2)/25))/(LN(2)/25)*Calculateur!ER68*Calculateur!ET68*VLOOKUP('Données projet'!$B$15,Paramètres!$A$1:$I$89,3,0)*0.475*44/12</f>
        <v>9.6600131859847433</v>
      </c>
      <c r="EX68" s="21">
        <f>EXP(-LN(2)/2)*EX67+(1-EXP(-LN(2)/2))/(LN(2)/2)*ER68*EU68*VLOOKUP('Données projet'!$B$15,Paramètres!$A$1:$I$89,3,0)*0.475*44/12</f>
        <v>5.0378102973476198E-3</v>
      </c>
      <c r="EY68" s="22">
        <f t="shared" ref="EY68:EY131" si="75">SUM(EV68:EX68)</f>
        <v>18.553981193028779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255</v>
      </c>
      <c r="FC68" s="12">
        <f>VLOOKUP(A68,'Données projet'!$A$217:$I$237,9,0)</f>
        <v>4.4000000000000004</v>
      </c>
      <c r="FD68" s="12">
        <f t="array" ref="FD68">INDEX(FC:FC,MIN(IF(ISNUMBER(FC68:FC264),ROW(FC68:FC264),"")))</f>
        <v>4.4000000000000004</v>
      </c>
      <c r="FE68" s="12">
        <f>IF('Données projet'!$A$218&gt;35,FE67+FD68-FM67,IF(A68&lt;'Données projet'!$A$218,$FB$205^A68,IF(A68='Données projet'!$A$218,'Données projet'!$B$218,FE67+FD68-FM67)))</f>
        <v>254.99999999999986</v>
      </c>
      <c r="FF68" s="17">
        <f>FE68*VLOOKUP('Données projet'!$B$16,Paramètres!$A$1:$I$89,3,0)*VLOOKUP('Données projet'!$B$16,Paramètres!$A$1:$I$89,5,0)</f>
        <v>202.8779999999999</v>
      </c>
      <c r="FG68" s="13">
        <f t="shared" si="47"/>
        <v>50.376138116990084</v>
      </c>
      <c r="FH68" s="20">
        <f t="shared" ref="FH68:FH131" si="76">(FF68+FG68)*0.475*44/12</f>
        <v>441.08429055375751</v>
      </c>
      <c r="FI68" s="59">
        <f t="shared" ref="FI68:FI131" si="77">FH68+(EZ68+FA68)*44/12</f>
        <v>734.41762388709083</v>
      </c>
      <c r="FJ68" s="59">
        <f ca="1">AVERAGE(OFFSET($FI$3,0,0,'Données projet'!$E$16+1,1))-AVERAGE(OFFSET($H$3,0,0,'Données projet'!$E$16+1,1))</f>
        <v>299.10536994156814</v>
      </c>
      <c r="FK68" s="59">
        <f t="shared" si="48"/>
        <v>292.57799203101769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0.13250000000000001</v>
      </c>
      <c r="FO68" s="16">
        <f>IF(ISNA(VLOOKUP(A68,'Données projet'!$A$217:$I$237,6,0)),0%,VLOOKUP(A68,'Données projet'!$A$217:$I$237,6,0)*VLOOKUP('Données projet'!$B$16,Paramètres!$A$1:$I$89,7,0))</f>
        <v>0.13250000000000001</v>
      </c>
      <c r="FP68" s="16">
        <f>IF(ISNA(VLOOKUP(A68,'Données projet'!$A$217:$I$237,7,0)),0%,VLOOKUP(A68,'Données projet'!$A$217:$I$237,7,0))</f>
        <v>0.25</v>
      </c>
      <c r="FQ68" s="21">
        <f>EXP(-LN(2)/35)*FQ67+(1-EXP(-LN(2)/35))/(LN(2)/35)*FM68*FN68*VLOOKUP('Données projet'!$B$16,Paramètres!$A$1:$I$89,3,0)*0.475*44/12</f>
        <v>8.9773125990480178</v>
      </c>
      <c r="FR68" s="21">
        <f>EXP(-LN(2)/25)*FR67+(1-EXP(-LN(2)/25))/(LN(2)/25)*Calculateur!FM68*Calculateur!FO68*VLOOKUP('Données projet'!$B$16,Paramètres!$A$1:$I$89,3,0)*0.475*44/12</f>
        <v>13.113795683631153</v>
      </c>
      <c r="FS68" s="21">
        <f>EXP(-LN(2)/2)*FS67+(1-EXP(-LN(2)/2))/(LN(2)/2)*FM68*FP68*VLOOKUP('Données projet'!$B$16,Paramètres!$A$1:$I$89,3,0)*0.475*44/12</f>
        <v>2.5614434430473039</v>
      </c>
      <c r="FT68" s="22">
        <f t="shared" ref="FT68:FT131" si="78">SUM(FQ68:FS68)</f>
        <v>24.652551725726475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5.6843418860808015E-14</v>
      </c>
      <c r="GA68" s="17">
        <f>FZ68*VLOOKUP('Données projet'!$B$17,Paramètres!$A$1:$I$89,3,0)*VLOOKUP('Données projet'!$B$17,Paramètres!$A$1:$I$89,5,0)</f>
        <v>5.1431925385259088E-14</v>
      </c>
      <c r="GB68" s="13">
        <f t="shared" si="49"/>
        <v>8.3482866290946129E-13</v>
      </c>
      <c r="GC68" s="20">
        <f t="shared" ref="GC68:GC131" si="79">(GA68+GB68)*0.475*44/12</f>
        <v>1.5435705246133045E-12</v>
      </c>
      <c r="GD68" s="59">
        <f t="shared" ref="GD68:GD131" si="80">GC68+(FU68+FV68)*44/12</f>
        <v>293.33333333333485</v>
      </c>
      <c r="GE68" s="59">
        <f ca="1">AVERAGE(OFFSET($GD$3,0,0,'Données projet'!$E$17+1,1))-AVERAGE(OFFSET($H$3,0,0,'Données projet'!$E$17+1,1))</f>
        <v>204.78565758021779</v>
      </c>
      <c r="GF68" s="59">
        <f t="shared" si="50"/>
        <v>287.25131613242439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10.504255834841079</v>
      </c>
      <c r="GM68" s="21">
        <f>EXP(-LN(2)/25)*GM67+(1-EXP(-LN(2)/25))/(LN(2)/25)*Calculateur!GH68*Calculateur!GJ68*VLOOKUP('Données projet'!$B$17,Paramètres!$A$1:$I$89,3,0)*0.475*44/12</f>
        <v>7.5911746383513625</v>
      </c>
      <c r="GN68" s="21">
        <f>EXP(-LN(2)/2)*GN67+(1-EXP(-LN(2)/2))/(LN(2)/2)*GH68*GK68*VLOOKUP('Données projet'!$B$17,Paramètres!$A$1:$I$89,3,0)*0.475*44/12</f>
        <v>1.3467372445187847E-2</v>
      </c>
      <c r="GO68" s="21">
        <f t="shared" ref="GO68:GO131" si="81">SUM(GL68:GN68)</f>
        <v>18.108897845637628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8.6666666666666661</v>
      </c>
      <c r="GU68" s="12">
        <f>IF('Données projet'!$A$270&gt;35,GU67+GT68-HC67,IF(A68&lt;'Données projet'!$A$270,$GR$205^A68,IF(A68='Données projet'!$A$270,'Données projet'!$B$270,GU67+GT68-HC67)))</f>
        <v>293.33333333333331</v>
      </c>
      <c r="GV68" s="17">
        <f>GU68*VLOOKUP('Données projet'!$B$18,Paramètres!$A$1:$I$89,3,0)*VLOOKUP('Données projet'!$B$18,Paramètres!$A$1:$I$89,5,0)</f>
        <v>228.79999999999998</v>
      </c>
      <c r="GW68" s="13">
        <f t="shared" si="51"/>
        <v>56.023134533701196</v>
      </c>
      <c r="GX68" s="20">
        <f t="shared" ref="GX68:GX131" si="82">(GV68+GW68)*0.475*44/12</f>
        <v>496.06695931286293</v>
      </c>
      <c r="GY68" s="59">
        <f t="shared" ref="GY68:GY131" si="83">GX68+(GP68+GQ68)*44/12</f>
        <v>789.40029264619625</v>
      </c>
      <c r="GZ68" s="59">
        <f ca="1">AVERAGE(OFFSET($GY$3,0,0,'Données projet'!$E$18+1,1))-AVERAGE(OFFSET($H$3,0,0,'Données projet'!$E$18+1,1))</f>
        <v>288.82868507674738</v>
      </c>
      <c r="HA68" s="59">
        <f t="shared" si="52"/>
        <v>283.48738729114024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13.633372524748635</v>
      </c>
      <c r="HH68" s="21">
        <f>EXP(-LN(2)/25)*HH67+(1-EXP(-LN(2)/25))/(LN(2)/25)*Calculateur!HC68*Calculateur!HE68*VLOOKUP('Données projet'!$B$18,Paramètres!$A$1:$I$89,3,0)*0.475*44/12</f>
        <v>13.464831145543826</v>
      </c>
      <c r="HI68" s="21">
        <f>EXP(-LN(2)/2)*HI67+(1-EXP(-LN(2)/2))/(LN(2)/2)*HC68*HF68*VLOOKUP('Données projet'!$B$18,Paramètres!$A$1:$I$89,3,0)*0.475*44/12</f>
        <v>1.6321607804909983</v>
      </c>
      <c r="HJ68" s="22">
        <f t="shared" ref="HJ68:HJ131" si="84">SUM(HG68:HI68)</f>
        <v>28.730364450783462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11.896999999999997</v>
      </c>
      <c r="N69" s="13">
        <f>IF('Données projet'!$A$36&gt;35,N68+M69-V68,IF(A69&lt;'Données projet'!$A$36,$K$205^A69,IF(A69='Données projet'!$A$36,'Données projet'!$B$36,N68+M69-V68)))</f>
        <v>442.4819999999998</v>
      </c>
      <c r="O69" s="13">
        <f>N69*VLOOKUP('Données projet'!$B$9,Paramètres!$A$1:$I$89,3,0)*VLOOKUP('Données projet'!$B$9,Paramètres!$A$1:$I$89,5,0)</f>
        <v>264.6042359999999</v>
      </c>
      <c r="P69" s="13">
        <f t="shared" ref="P69:P132" si="87">EXP(-1.0587+0.8836*LN(O69)+0.284)</f>
        <v>63.702810105204811</v>
      </c>
      <c r="Q69" s="20">
        <f t="shared" si="54"/>
        <v>571.80143863323156</v>
      </c>
      <c r="R69" s="59">
        <f t="shared" si="55"/>
        <v>865.13477196656481</v>
      </c>
      <c r="S69" s="59">
        <f ca="1">AVERAGE(OFFSET($R$3,0,0,'Données projet'!$E$9+1,1))-AVERAGE(OFFSET($H$3,0,0,'Données projet'!$E$9+1,1))</f>
        <v>349.71285006949597</v>
      </c>
      <c r="T69" s="59">
        <f t="shared" ref="T69:T132" si="88">$T$3</f>
        <v>258.51550516456842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39.528342824445424</v>
      </c>
      <c r="AA69" s="21">
        <f>EXP(-LN(2)/25)*AA68+(1-EXP(-LN(2)/25))/(LN(2)/25)*Calculateur!V69*Calculateur!X69*VLOOKUP('Données projet'!$B$9,Paramètres!$A$1:$I$89,3,0)*0.475*44/12</f>
        <v>16.370693112241799</v>
      </c>
      <c r="AB69" s="21">
        <f>EXP(-LN(2)/2)*AB68+(1-EXP(-LN(2)/2))/(LN(2)/2)*V69*Y69*VLOOKUP('Données projet'!$B$9,Paramètres!$A$1:$I$89,3,0)*0.475*44/12</f>
        <v>1.2211547812185377</v>
      </c>
      <c r="AC69" s="22">
        <f t="shared" si="57"/>
        <v>57.120190717905764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9.7525000000000013</v>
      </c>
      <c r="AI69" s="13">
        <f>IF('Données projet'!$A$62&gt;35,AI68+AH69-AQ68,IF(A69&lt;'Données projet'!$A$62,$AF$205^A69,IF(A69='Données projet'!$A$62,'Données projet'!$B$62,AI68+AH69-AQ68)))</f>
        <v>229.30749999999998</v>
      </c>
      <c r="AJ69" s="13">
        <f>AI69*VLOOKUP('Données projet'!$B$10,Paramètres!$A$1:$I$89,3,0)*VLOOKUP('Données projet'!$B$10,Paramètres!$A$1:$I$89,5,0)</f>
        <v>218.20901699999999</v>
      </c>
      <c r="AK69" s="13">
        <f t="shared" ref="AK69:AK132" si="89">EXP(-1.0587+0.8836*LN(AJ69)+0.284)</f>
        <v>53.725439422688339</v>
      </c>
      <c r="AL69" s="20">
        <f t="shared" si="58"/>
        <v>473.61917826951543</v>
      </c>
      <c r="AM69" s="59">
        <f t="shared" si="59"/>
        <v>766.95251160284874</v>
      </c>
      <c r="AN69" s="59">
        <f ca="1">AVERAGE(OFFSET($AM$3,0,0,'Données projet'!$E$10+1,1))-AVERAGE(OFFSET($H$3,0,0,'Données projet'!$E$10+1,1))</f>
        <v>449.28947235329758</v>
      </c>
      <c r="AO69" s="59">
        <f t="shared" ref="AO69:AO132" si="90">$AO$3</f>
        <v>289.36994109443964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11.089839732534722</v>
      </c>
      <c r="AV69" s="21">
        <f>EXP(-LN(2)/25)*AV68+(1-EXP(-LN(2)/25))/(LN(2)/25)*Calculateur!AQ69*Calculateur!AS69*VLOOKUP('Données projet'!$B$10,Paramètres!$A$1:$I$89,3,0)*0.475*44/12</f>
        <v>26.080998066723794</v>
      </c>
      <c r="AW69" s="21">
        <f>EXP(-LN(2)/2)*AW68+(1-EXP(-LN(2)/2))/(LN(2)/2)*AQ69*AT69*VLOOKUP('Données projet'!$B$10,Paramètres!$A$1:$I$89,3,0)*0.475*44/12</f>
        <v>0.36890428404327535</v>
      </c>
      <c r="AX69" s="21">
        <f t="shared" si="60"/>
        <v>37.539742083301789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259.46949600000028</v>
      </c>
      <c r="BF69" s="13">
        <f t="shared" ref="BF69:BF132" si="91">EXP(-1.0587+0.8836*LN(BE69)+0.284)</f>
        <v>62.609282502673501</v>
      </c>
      <c r="BG69" s="20">
        <f t="shared" si="61"/>
        <v>560.95387255882349</v>
      </c>
      <c r="BH69" s="59">
        <f t="shared" si="62"/>
        <v>854.28720589215686</v>
      </c>
      <c r="BI69" s="59">
        <f ca="1">AVERAGE(OFFSET($BH$3,0,0,'Données projet'!$E$11+1,1))-AVERAGE(OFFSET($H$3,0,0,'Données projet'!$E$11+1,1))</f>
        <v>635.71275911100679</v>
      </c>
      <c r="BJ69" s="59">
        <f t="shared" ref="BJ69:BJ132" si="92">$BJ$3</f>
        <v>281.7776857269169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8.0806948968281098</v>
      </c>
      <c r="BQ69" s="21">
        <f>EXP(-LN(2)/25)*BQ68+(1-EXP(-LN(2)/25))/(LN(2)/25)*Calculateur!BL69*Calculateur!BN69*VLOOKUP('Données projet'!$B$11,Paramètres!$A$1:$I$89,3,0)*0.475*44/12</f>
        <v>33.817868407767122</v>
      </c>
      <c r="BR69" s="21">
        <f>EXP(-LN(2)/2)*BR68+(1-EXP(-LN(2)/2))/(LN(2)/2)*BL69*BO69*VLOOKUP('Données projet'!$B$11,Paramètres!$A$1:$I$89,3,0)*0.475*44/12</f>
        <v>5.1195523422004099</v>
      </c>
      <c r="BS69" s="22">
        <f t="shared" si="63"/>
        <v>47.018115646795636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6.8933333333333326</v>
      </c>
      <c r="BY69" s="12">
        <f>IF('Données projet'!$A$114&gt;35,BY68+BX69-CG68,IF(A69&lt;'Données projet'!$A$114,$BV$205^A69,IF(A69='Données projet'!$A$114,'Données projet'!$B$114,BY68+BX69-CG68)))</f>
        <v>170.10999999999996</v>
      </c>
      <c r="BZ69" s="13">
        <f>BY69*VLOOKUP('Données projet'!$B$12,Paramètres!$A$1:$I$89,3,0)*VLOOKUP('Données projet'!$B$12,Paramètres!$A$1:$I$89,5,0)</f>
        <v>193.72126799999995</v>
      </c>
      <c r="CA69" s="13">
        <f t="shared" ref="CA69:CA132" si="93">EXP(-1.0587+0.8836*LN(BZ69)+0.284)</f>
        <v>48.361741331727508</v>
      </c>
      <c r="CB69" s="20">
        <f t="shared" si="64"/>
        <v>421.6279079194253</v>
      </c>
      <c r="CC69" s="59">
        <f t="shared" si="65"/>
        <v>714.96124125275855</v>
      </c>
      <c r="CD69" s="59">
        <f ca="1">AVERAGE(OFFSET($CC$3,0,0,'Données projet'!$E$12+1,1))-AVERAGE(OFFSET($H$3,0,0,'Données projet'!$E$12+1,1))</f>
        <v>593.28343396240075</v>
      </c>
      <c r="CE69" s="59">
        <f t="shared" ref="CE69:CE132" si="94">$CE$3</f>
        <v>289.66477662068695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26.61590414931587</v>
      </c>
      <c r="CM69" s="21">
        <f>EXP(-LN(2)/2)*CM68+(1-EXP(-LN(2)/2))/(LN(2)/2)*CG69*CJ69*VLOOKUP('Données projet'!$B$12,Paramètres!$A$1:$I$89,3,0)*0.475*44/12</f>
        <v>1.9574493344298793</v>
      </c>
      <c r="CN69" s="22">
        <f t="shared" si="66"/>
        <v>28.573353483745748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2.9487179487179445</v>
      </c>
      <c r="CT69" s="12">
        <f>IF('Données projet'!$A$140&gt;35,CT68+CS69-DB68,IF(A69&lt;'Données projet'!$A$140,$CQ$205^A69,IF(A69='Données projet'!$A$140,'Données projet'!$B$140,CT68+CS69-DB68)))</f>
        <v>133.71794871794879</v>
      </c>
      <c r="CU69" s="17">
        <f>CT69*VLOOKUP('Données projet'!$B$13,Paramètres!$A$1:$I$89,3,0)*VLOOKUP('Données projet'!$B$13,Paramètres!$A$1:$I$89,5,0)</f>
        <v>139.76200000000009</v>
      </c>
      <c r="CV69" s="13">
        <f t="shared" ref="CV69:CV132" si="95">EXP(-1.0587+0.8836*LN(CU69)+0.284)</f>
        <v>36.242477639246104</v>
      </c>
      <c r="CW69" s="20">
        <f t="shared" si="67"/>
        <v>306.54113188835379</v>
      </c>
      <c r="CX69" s="59">
        <f t="shared" si="68"/>
        <v>599.87446522168716</v>
      </c>
      <c r="CY69" s="59">
        <f ca="1">AVERAGE(OFFSET($CX$3,0,0,'Données projet'!$E$13+1,1))-AVERAGE(OFFSET($H$3,0,0,'Données projet'!$E$13+1,1))</f>
        <v>260.65406541614402</v>
      </c>
      <c r="CZ69" s="59">
        <f t="shared" ref="CZ69:CZ132" si="96">$CZ$3</f>
        <v>277.63456890196886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2.5365880089365618</v>
      </c>
      <c r="DG69" s="21">
        <f>EXP(-LN(2)/25)*DG68+(1-EXP(-LN(2)/25))/(LN(2)/25)*Calculateur!DB69*Calculateur!DD69*VLOOKUP('Données projet'!$B$13,Paramètres!$A$1:$I$89,3,0)*0.475*44/12</f>
        <v>25.784739649633199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28.321327658569761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3.0769230769230718</v>
      </c>
      <c r="DO69" s="12">
        <f>IF('Données projet'!$A$166&gt;35,DO68+DN69-DW68,IF(A69&lt;'Données projet'!$A$166,$DL$205^A69,IF(A69='Données projet'!$A$166,'Données projet'!$B$166,DO68+DN69-DW68)))</f>
        <v>139.61538461538473</v>
      </c>
      <c r="DP69" s="17">
        <f>DO69*VLOOKUP('Données projet'!$B$14,Paramètres!$A$1:$I$89,3,0)*VLOOKUP('Données projet'!$B$14,Paramètres!$A$1:$I$89,5,0)</f>
        <v>91.47600000000007</v>
      </c>
      <c r="DQ69" s="13">
        <f t="shared" ref="DQ69:DQ132" si="97">EXP(-1.0587+0.8836*LN(DP69)+0.284)</f>
        <v>24.92086293606954</v>
      </c>
      <c r="DR69" s="20">
        <f t="shared" si="70"/>
        <v>202.72453628032122</v>
      </c>
      <c r="DS69" s="59">
        <f t="shared" si="71"/>
        <v>496.05786961365453</v>
      </c>
      <c r="DT69" s="59">
        <f ca="1">AVERAGE(OFFSET($DS$3,0,0,'Données projet'!$E$14+1,1))-AVERAGE(OFFSET($H$3,0,0,'Données projet'!$E$14+1,1))</f>
        <v>181.4272795535777</v>
      </c>
      <c r="DU69" s="59">
        <f t="shared" ref="DU69:DU132" si="98">$DU$3</f>
        <v>187.67131775419904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2.8769632285777211</v>
      </c>
      <c r="EB69" s="21">
        <f>EXP(-LN(2)/25)*EB68+(1-EXP(-LN(2)/25))/(LN(2)/25)*Calculateur!DW69*Calculateur!DY69*VLOOKUP('Données projet'!$B$14,Paramètres!$A$1:$I$89,3,0)*0.475*44/12</f>
        <v>6.280946871750861</v>
      </c>
      <c r="EC69" s="21">
        <f>EXP(-LN(2)/2)*EC68+(1-EXP(-LN(2)/2))/(LN(2)/2)*DW69*DZ69*VLOOKUP('Données projet'!$B$14,Paramètres!$A$1:$I$89,3,0)*0.475*44/12</f>
        <v>1.7352243283434425</v>
      </c>
      <c r="ED69" s="22">
        <f t="shared" si="72"/>
        <v>10.893134428672024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1.1368683772161603E-13</v>
      </c>
      <c r="EK69" s="17">
        <f>EJ69*VLOOKUP('Données projet'!$B$15,Paramètres!$A$1:$I$89,3,0)*VLOOKUP('Données projet'!$B$15,Paramètres!$A$1:$I$89,5,0)</f>
        <v>9.2222762759774927E-14</v>
      </c>
      <c r="EL69" s="13">
        <f t="shared" ref="EL69:EL132" si="99">EXP(-1.0587+0.8836*LN(EK69)+0.284)</f>
        <v>1.3985662224947967E-12</v>
      </c>
      <c r="EM69" s="20">
        <f t="shared" si="73"/>
        <v>2.5964574826517121E-12</v>
      </c>
      <c r="EN69" s="59">
        <f t="shared" si="74"/>
        <v>293.33333333333593</v>
      </c>
      <c r="EO69" s="59">
        <f ca="1">AVERAGE(OFFSET($EN$3,0,0,'Données projet'!$E$15+1,1))-AVERAGE(OFFSET($H$3,0,0,'Données projet'!$E$15+1,1))</f>
        <v>159.68591355116837</v>
      </c>
      <c r="EP69" s="59">
        <f t="shared" ref="EP69:EP132" si="100">$EP$3</f>
        <v>284.32631786390112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8.7146236973005529</v>
      </c>
      <c r="EW69" s="21">
        <f>EXP(-LN(2)/25)*EW68+(1-EXP(-LN(2)/25))/(LN(2)/25)*Calculateur!ER69*Calculateur!ET69*VLOOKUP('Données projet'!$B$15,Paramètres!$A$1:$I$89,3,0)*0.475*44/12</f>
        <v>9.3958596174159759</v>
      </c>
      <c r="EX69" s="21">
        <f>EXP(-LN(2)/2)*EX68+(1-EXP(-LN(2)/2))/(LN(2)/2)*ER69*EU69*VLOOKUP('Données projet'!$B$15,Paramètres!$A$1:$I$89,3,0)*0.475*44/12</f>
        <v>3.5622698235859194E-3</v>
      </c>
      <c r="EY69" s="22">
        <f t="shared" si="75"/>
        <v>18.114045584540115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3.8</v>
      </c>
      <c r="FE69" s="12">
        <f>IF('Données projet'!$A$218&gt;35,FE68+FD69-FM68,IF(A69&lt;'Données projet'!$A$218,$FB$205^A69,IF(A69='Données projet'!$A$218,'Données projet'!$B$218,FE68+FD69-FM68)))</f>
        <v>247.79999999999984</v>
      </c>
      <c r="FF69" s="17">
        <f>FE69*VLOOKUP('Données projet'!$B$16,Paramètres!$A$1:$I$89,3,0)*VLOOKUP('Données projet'!$B$16,Paramètres!$A$1:$I$89,5,0)</f>
        <v>197.14967999999988</v>
      </c>
      <c r="FG69" s="13">
        <f t="shared" ref="FG69:FG132" si="101">EXP(-1.0587+0.8836*LN(FF69)+0.284)</f>
        <v>49.11723130862363</v>
      </c>
      <c r="FH69" s="20">
        <f t="shared" si="76"/>
        <v>428.91487052918592</v>
      </c>
      <c r="FI69" s="59">
        <f t="shared" si="77"/>
        <v>722.24820386251918</v>
      </c>
      <c r="FJ69" s="59">
        <f ca="1">AVERAGE(OFFSET($FI$3,0,0,'Données projet'!$E$16+1,1))-AVERAGE(OFFSET($H$3,0,0,'Données projet'!$E$16+1,1))</f>
        <v>299.10536994156814</v>
      </c>
      <c r="FK69" s="59">
        <f t="shared" ref="FK69:FK132" si="102">$FK$3</f>
        <v>292.57799203101769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8.8012729746006997</v>
      </c>
      <c r="FR69" s="21">
        <f>EXP(-LN(2)/25)*FR68+(1-EXP(-LN(2)/25))/(LN(2)/25)*Calculateur!FM69*Calculateur!FO69*VLOOKUP('Données projet'!$B$16,Paramètres!$A$1:$I$89,3,0)*0.475*44/12</f>
        <v>12.755198251037717</v>
      </c>
      <c r="FS69" s="21">
        <f>EXP(-LN(2)/2)*FS68+(1-EXP(-LN(2)/2))/(LN(2)/2)*FM69*FP69*VLOOKUP('Données projet'!$B$16,Paramètres!$A$1:$I$89,3,0)*0.475*44/12</f>
        <v>1.811214028204567</v>
      </c>
      <c r="FT69" s="22">
        <f t="shared" si="78"/>
        <v>23.367685253842986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5.6843418860808015E-14</v>
      </c>
      <c r="GA69" s="17">
        <f>FZ69*VLOOKUP('Données projet'!$B$17,Paramètres!$A$1:$I$89,3,0)*VLOOKUP('Données projet'!$B$17,Paramètres!$A$1:$I$89,5,0)</f>
        <v>5.1431925385259088E-14</v>
      </c>
      <c r="GB69" s="13">
        <f t="shared" ref="GB69:GB132" si="103">EXP(-1.0587+0.8836*LN(GA69)+0.284)</f>
        <v>8.3482866290946129E-13</v>
      </c>
      <c r="GC69" s="20">
        <f t="shared" si="79"/>
        <v>1.5435705246133045E-12</v>
      </c>
      <c r="GD69" s="59">
        <f t="shared" si="80"/>
        <v>293.33333333333485</v>
      </c>
      <c r="GE69" s="59">
        <f ca="1">AVERAGE(OFFSET($GD$3,0,0,'Données projet'!$E$17+1,1))-AVERAGE(OFFSET($H$3,0,0,'Données projet'!$E$17+1,1))</f>
        <v>204.78565758021779</v>
      </c>
      <c r="GF69" s="59">
        <f t="shared" ref="GF69:GF132" si="104">$GF$3</f>
        <v>287.25131613242439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10.298273784883269</v>
      </c>
      <c r="GM69" s="21">
        <f>EXP(-LN(2)/25)*GM68+(1-EXP(-LN(2)/25))/(LN(2)/25)*Calculateur!GH69*Calculateur!GJ69*VLOOKUP('Données projet'!$B$17,Paramètres!$A$1:$I$89,3,0)*0.475*44/12</f>
        <v>7.3835935686631204</v>
      </c>
      <c r="GN69" s="21">
        <f>EXP(-LN(2)/2)*GN68+(1-EXP(-LN(2)/2))/(LN(2)/2)*GH69*GK69*VLOOKUP('Données projet'!$B$17,Paramètres!$A$1:$I$89,3,0)*0.475*44/12</f>
        <v>9.522870380757182E-3</v>
      </c>
      <c r="GO69" s="21">
        <f t="shared" si="81"/>
        <v>17.691390223927147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8.6666666666666661</v>
      </c>
      <c r="GU69" s="12">
        <f>IF('Données projet'!$A$270&gt;35,GU68+GT69-HC68,IF(A69&lt;'Données projet'!$A$270,$GR$205^A69,IF(A69='Données projet'!$A$270,'Données projet'!$B$270,GU68+GT69-HC68)))</f>
        <v>302</v>
      </c>
      <c r="GV69" s="17">
        <f>GU69*VLOOKUP('Données projet'!$B$18,Paramètres!$A$1:$I$89,3,0)*VLOOKUP('Données projet'!$B$18,Paramètres!$A$1:$I$89,5,0)</f>
        <v>235.56</v>
      </c>
      <c r="GW69" s="13">
        <f t="shared" ref="GW69:GW132" si="105">EXP(-1.0587+0.8836*LN(GV69)+0.284)</f>
        <v>57.483207143847721</v>
      </c>
      <c r="GX69" s="20">
        <f t="shared" si="82"/>
        <v>510.38358577553481</v>
      </c>
      <c r="GY69" s="59">
        <f t="shared" si="83"/>
        <v>803.71691910886807</v>
      </c>
      <c r="GZ69" s="59">
        <f ca="1">AVERAGE(OFFSET($GY$3,0,0,'Données projet'!$E$18+1,1))-AVERAGE(OFFSET($H$3,0,0,'Données projet'!$E$18+1,1))</f>
        <v>288.82868507674738</v>
      </c>
      <c r="HA69" s="59">
        <f t="shared" ref="HA69:HA132" si="106">$HA$3</f>
        <v>283.48738729114024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13.366030405074463</v>
      </c>
      <c r="HH69" s="21">
        <f>EXP(-LN(2)/25)*HH68+(1-EXP(-LN(2)/25))/(LN(2)/25)*Calculateur!HC69*Calculateur!HE69*VLOOKUP('Données projet'!$B$18,Paramètres!$A$1:$I$89,3,0)*0.475*44/12</f>
        <v>13.096634629784235</v>
      </c>
      <c r="HI69" s="21">
        <f>EXP(-LN(2)/2)*HI68+(1-EXP(-LN(2)/2))/(LN(2)/2)*HC69*HF69*VLOOKUP('Données projet'!$B$18,Paramètres!$A$1:$I$89,3,0)*0.475*44/12</f>
        <v>1.1541119558719131</v>
      </c>
      <c r="HJ69" s="22">
        <f t="shared" si="84"/>
        <v>27.61677699073061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11.896999999999997</v>
      </c>
      <c r="N70" s="13">
        <f>IF('Données projet'!$A$36&gt;35,N69+M70-V69,IF(A70&lt;'Données projet'!$A$36,$K$205^A70,IF(A70='Données projet'!$A$36,'Données projet'!$B$36,N69+M70-V69)))</f>
        <v>454.37899999999979</v>
      </c>
      <c r="O70" s="13">
        <f>N70*VLOOKUP('Données projet'!$B$9,Paramètres!$A$1:$I$89,3,0)*VLOOKUP('Données projet'!$B$9,Paramètres!$A$1:$I$89,5,0)</f>
        <v>271.71864199999993</v>
      </c>
      <c r="P70" s="13">
        <f t="shared" si="87"/>
        <v>65.213873692530555</v>
      </c>
      <c r="Q70" s="20">
        <f t="shared" si="54"/>
        <v>586.82413149782394</v>
      </c>
      <c r="R70" s="59">
        <f t="shared" si="55"/>
        <v>880.15746483115731</v>
      </c>
      <c r="S70" s="59">
        <f ca="1">AVERAGE(OFFSET($R$3,0,0,'Données projet'!$E$9+1,1))-AVERAGE(OFFSET($H$3,0,0,'Données projet'!$E$9+1,1))</f>
        <v>349.71285006949597</v>
      </c>
      <c r="T70" s="59">
        <f t="shared" si="88"/>
        <v>258.51550516456842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38.753216131566518</v>
      </c>
      <c r="AA70" s="21">
        <f>EXP(-LN(2)/25)*AA69+(1-EXP(-LN(2)/25))/(LN(2)/25)*Calculateur!V70*Calculateur!X70*VLOOKUP('Données projet'!$B$9,Paramètres!$A$1:$I$89,3,0)*0.475*44/12</f>
        <v>15.923035648190211</v>
      </c>
      <c r="AB70" s="21">
        <f>EXP(-LN(2)/2)*AB69+(1-EXP(-LN(2)/2))/(LN(2)/2)*V70*Y70*VLOOKUP('Données projet'!$B$9,Paramètres!$A$1:$I$89,3,0)*0.475*44/12</f>
        <v>0.86348682667800292</v>
      </c>
      <c r="AC70" s="22">
        <f t="shared" si="57"/>
        <v>55.539738606434732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239.06</v>
      </c>
      <c r="AG70" s="12">
        <f>VLOOKUP(A70,'Données projet'!$A$61:$I$81,9,0)</f>
        <v>9.7525000000000013</v>
      </c>
      <c r="AH70" s="12">
        <f t="array" ref="AH70">INDEX(AG:AG,MIN(IF(ISNUMBER(AG70:AG266),ROW(AG70:AG266),"")))</f>
        <v>9.7525000000000013</v>
      </c>
      <c r="AI70" s="13">
        <f>IF('Données projet'!$A$62&gt;35,AI69+AH70-AQ69,IF(A70&lt;'Données projet'!$A$62,$AF$205^A70,IF(A70='Données projet'!$A$62,'Données projet'!$B$62,AI69+AH70-AQ69)))</f>
        <v>239.05999999999997</v>
      </c>
      <c r="AJ70" s="13">
        <f>AI70*VLOOKUP('Données projet'!$B$10,Paramètres!$A$1:$I$89,3,0)*VLOOKUP('Données projet'!$B$10,Paramètres!$A$1:$I$89,5,0)</f>
        <v>227.48949599999997</v>
      </c>
      <c r="AK70" s="13">
        <f t="shared" si="89"/>
        <v>55.739505620294999</v>
      </c>
      <c r="AL70" s="20">
        <f t="shared" si="58"/>
        <v>493.29051115534702</v>
      </c>
      <c r="AM70" s="59">
        <f t="shared" si="59"/>
        <v>786.62384448868033</v>
      </c>
      <c r="AN70" s="59">
        <f ca="1">AVERAGE(OFFSET($AM$3,0,0,'Données projet'!$E$10+1,1))-AVERAGE(OFFSET($H$3,0,0,'Données projet'!$E$10+1,1))</f>
        <v>449.28947235329758</v>
      </c>
      <c r="AO70" s="59">
        <f t="shared" si="90"/>
        <v>289.36994109443964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42.550000000000011</v>
      </c>
      <c r="AR70" s="16">
        <f>IF(ISNA(VLOOKUP(A70,'Données projet'!$A$61:$I$81,5,0)),0%,VLOOKUP(A70,'Données projet'!$A$61:$I$81,5,0)*VLOOKUP('Données projet'!$B$10,Paramètres!$A$1:$I$89,7,0))</f>
        <v>0.15049999999999999</v>
      </c>
      <c r="AS70" s="16">
        <f>IF(ISNA(VLOOKUP(A70,'Données projet'!$A$61:$I$81,6,0)),0%,VLOOKUP(A70,'Données projet'!$A$61:$I$81,6,0)*VLOOKUP('Données projet'!$B$10,Paramètres!$A$1:$I$89,7,0))</f>
        <v>8.6000000000000007E-2</v>
      </c>
      <c r="AT70" s="16">
        <f>IF(ISNA(VLOOKUP(A70,'Données projet'!$A$61:$I$81,7,0)),0%,VLOOKUP(A70,'Données projet'!$A$61:$I$81,7,0))</f>
        <v>0.1</v>
      </c>
      <c r="AU70" s="21">
        <f>EXP(-LN(2)/35)*AU69+(1-EXP(-LN(2)/35))/(LN(2)/35)*AQ70*AR70*VLOOKUP('Données projet'!$B$10,Paramètres!$A$1:$I$89,3,0)*0.475*44/12</f>
        <v>17.608925833950501</v>
      </c>
      <c r="AV70" s="21">
        <f>EXP(-LN(2)/25)*AV69+(1-EXP(-LN(2)/25))/(LN(2)/25)*Calculateur!AQ70*Calculateur!AS70*VLOOKUP('Données projet'!$B$10,Paramètres!$A$1:$I$89,3,0)*0.475*44/12</f>
        <v>29.202112789306554</v>
      </c>
      <c r="AW70" s="21">
        <f>EXP(-LN(2)/2)*AW69+(1-EXP(-LN(2)/2))/(LN(2)/2)*AQ70*AT70*VLOOKUP('Données projet'!$B$10,Paramètres!$A$1:$I$89,3,0)*0.475*44/12</f>
        <v>4.0812499226540329</v>
      </c>
      <c r="AX70" s="21">
        <f t="shared" si="60"/>
        <v>50.892288545911086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219.70692900000031</v>
      </c>
      <c r="BF70" s="13">
        <f t="shared" si="91"/>
        <v>54.051183245794981</v>
      </c>
      <c r="BG70" s="20">
        <f t="shared" si="61"/>
        <v>476.79537882809342</v>
      </c>
      <c r="BH70" s="59">
        <f t="shared" si="62"/>
        <v>770.12871216142673</v>
      </c>
      <c r="BI70" s="59">
        <f ca="1">AVERAGE(OFFSET($BH$3,0,0,'Données projet'!$E$11+1,1))-AVERAGE(OFFSET($H$3,0,0,'Données projet'!$E$11+1,1))</f>
        <v>635.71275911100679</v>
      </c>
      <c r="BJ70" s="59">
        <f t="shared" si="92"/>
        <v>281.7776857269169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7.9222373986385248</v>
      </c>
      <c r="BQ70" s="21">
        <f>EXP(-LN(2)/25)*BQ69+(1-EXP(-LN(2)/25))/(LN(2)/25)*Calculateur!BL70*Calculateur!BN70*VLOOKUP('Données projet'!$B$11,Paramètres!$A$1:$I$89,3,0)*0.475*44/12</f>
        <v>32.893117017752324</v>
      </c>
      <c r="BR70" s="21">
        <f>EXP(-LN(2)/2)*BR69+(1-EXP(-LN(2)/2))/(LN(2)/2)*BL70*BO70*VLOOKUP('Données projet'!$B$11,Paramètres!$A$1:$I$89,3,0)*0.475*44/12</f>
        <v>3.6200701778093825</v>
      </c>
      <c r="BS70" s="22">
        <f t="shared" si="63"/>
        <v>44.435424594200228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6.8933333333333326</v>
      </c>
      <c r="BY70" s="12">
        <f>IF('Données projet'!$A$114&gt;35,BY69+BX70-CG69,IF(A70&lt;'Données projet'!$A$114,$BV$205^A70,IF(A70='Données projet'!$A$114,'Données projet'!$B$114,BY69+BX70-CG69)))</f>
        <v>177.0033333333333</v>
      </c>
      <c r="BZ70" s="13">
        <f>BY70*VLOOKUP('Données projet'!$B$12,Paramètres!$A$1:$I$89,3,0)*VLOOKUP('Données projet'!$B$12,Paramètres!$A$1:$I$89,5,0)</f>
        <v>201.57139599999996</v>
      </c>
      <c r="CA70" s="13">
        <f t="shared" si="93"/>
        <v>50.089355546385931</v>
      </c>
      <c r="CB70" s="20">
        <f t="shared" si="64"/>
        <v>438.30914227662203</v>
      </c>
      <c r="CC70" s="59">
        <f t="shared" si="65"/>
        <v>731.64247560995534</v>
      </c>
      <c r="CD70" s="59">
        <f ca="1">AVERAGE(OFFSET($CC$3,0,0,'Données projet'!$E$12+1,1))-AVERAGE(OFFSET($H$3,0,0,'Données projet'!$E$12+1,1))</f>
        <v>593.28343396240075</v>
      </c>
      <c r="CE70" s="59">
        <f t="shared" si="94"/>
        <v>289.66477662068695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25.888090850683259</v>
      </c>
      <c r="CM70" s="21">
        <f>EXP(-LN(2)/2)*CM69+(1-EXP(-LN(2)/2))/(LN(2)/2)*CG70*CJ70*VLOOKUP('Données projet'!$B$12,Paramètres!$A$1:$I$89,3,0)*0.475*44/12</f>
        <v>1.3841256982044619</v>
      </c>
      <c r="CN70" s="22">
        <f t="shared" si="66"/>
        <v>27.27221654888772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2.9487179487179445</v>
      </c>
      <c r="CT70" s="12">
        <f>IF('Données projet'!$A$140&gt;35,CT69+CS70-DB69,IF(A70&lt;'Données projet'!$A$140,$CQ$205^A70,IF(A70='Données projet'!$A$140,'Données projet'!$B$140,CT69+CS70-DB69)))</f>
        <v>136.66666666666674</v>
      </c>
      <c r="CU70" s="17">
        <f>CT70*VLOOKUP('Données projet'!$B$13,Paramètres!$A$1:$I$89,3,0)*VLOOKUP('Données projet'!$B$13,Paramètres!$A$1:$I$89,5,0)</f>
        <v>142.84400000000008</v>
      </c>
      <c r="CV70" s="13">
        <f t="shared" si="95"/>
        <v>36.947761432461348</v>
      </c>
      <c r="CW70" s="20">
        <f t="shared" si="67"/>
        <v>313.13731782820366</v>
      </c>
      <c r="CX70" s="59">
        <f t="shared" si="68"/>
        <v>606.47065116153703</v>
      </c>
      <c r="CY70" s="59">
        <f ca="1">AVERAGE(OFFSET($CX$3,0,0,'Données projet'!$E$13+1,1))-AVERAGE(OFFSET($H$3,0,0,'Données projet'!$E$13+1,1))</f>
        <v>260.65406541614402</v>
      </c>
      <c r="CZ70" s="59">
        <f t="shared" si="96"/>
        <v>277.63456890196886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2.4868470652472312</v>
      </c>
      <c r="DG70" s="21">
        <f>EXP(-LN(2)/25)*DG69+(1-EXP(-LN(2)/25))/(LN(2)/25)*Calculateur!DB70*Calculateur!DD70*VLOOKUP('Données projet'!$B$13,Paramètres!$A$1:$I$89,3,0)*0.475*44/12</f>
        <v>25.079654587953453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27.566501653200685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3.0769230769230718</v>
      </c>
      <c r="DO70" s="12">
        <f>IF('Données projet'!$A$166&gt;35,DO69+DN70-DW69,IF(A70&lt;'Données projet'!$A$166,$DL$205^A70,IF(A70='Données projet'!$A$166,'Données projet'!$B$166,DO69+DN70-DW69)))</f>
        <v>142.69230769230779</v>
      </c>
      <c r="DP70" s="17">
        <f>DO70*VLOOKUP('Données projet'!$B$14,Paramètres!$A$1:$I$89,3,0)*VLOOKUP('Données projet'!$B$14,Paramètres!$A$1:$I$89,5,0)</f>
        <v>93.492000000000061</v>
      </c>
      <c r="DQ70" s="13">
        <f t="shared" si="97"/>
        <v>25.405536424380745</v>
      </c>
      <c r="DR70" s="20">
        <f t="shared" si="70"/>
        <v>207.07987593912989</v>
      </c>
      <c r="DS70" s="59">
        <f t="shared" si="71"/>
        <v>500.41320927246318</v>
      </c>
      <c r="DT70" s="59">
        <f ca="1">AVERAGE(OFFSET($DS$3,0,0,'Données projet'!$E$14+1,1))-AVERAGE(OFFSET($H$3,0,0,'Données projet'!$E$14+1,1))</f>
        <v>181.4272795535777</v>
      </c>
      <c r="DU70" s="59">
        <f t="shared" si="98"/>
        <v>187.67131775419904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2.8205477344396117</v>
      </c>
      <c r="EB70" s="21">
        <f>EXP(-LN(2)/25)*EB69+(1-EXP(-LN(2)/25))/(LN(2)/25)*Calculateur!DW70*Calculateur!DY70*VLOOKUP('Données projet'!$B$14,Paramètres!$A$1:$I$89,3,0)*0.475*44/12</f>
        <v>6.109194049242193</v>
      </c>
      <c r="EC70" s="21">
        <f>EXP(-LN(2)/2)*EC69+(1-EXP(-LN(2)/2))/(LN(2)/2)*DW70*DZ70*VLOOKUP('Données projet'!$B$14,Paramètres!$A$1:$I$89,3,0)*0.475*44/12</f>
        <v>1.2269888894515206</v>
      </c>
      <c r="ED70" s="22">
        <f t="shared" si="72"/>
        <v>10.156730673133326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1.1368683772161603E-13</v>
      </c>
      <c r="EK70" s="17">
        <f>EJ70*VLOOKUP('Données projet'!$B$15,Paramètres!$A$1:$I$89,3,0)*VLOOKUP('Données projet'!$B$15,Paramètres!$A$1:$I$89,5,0)</f>
        <v>9.2222762759774927E-14</v>
      </c>
      <c r="EL70" s="13">
        <f t="shared" si="99"/>
        <v>1.3985662224947967E-12</v>
      </c>
      <c r="EM70" s="20">
        <f t="shared" si="73"/>
        <v>2.5964574826517121E-12</v>
      </c>
      <c r="EN70" s="59">
        <f t="shared" si="74"/>
        <v>293.33333333333593</v>
      </c>
      <c r="EO70" s="59">
        <f ca="1">AVERAGE(OFFSET($EN$3,0,0,'Données projet'!$E$15+1,1))-AVERAGE(OFFSET($H$3,0,0,'Données projet'!$E$15+1,1))</f>
        <v>159.68591355116837</v>
      </c>
      <c r="EP70" s="59">
        <f t="shared" si="100"/>
        <v>284.32631786390112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8.543735241992092</v>
      </c>
      <c r="EW70" s="21">
        <f>EXP(-LN(2)/25)*EW69+(1-EXP(-LN(2)/25))/(LN(2)/25)*Calculateur!ER70*Calculateur!ET70*VLOOKUP('Données projet'!$B$15,Paramètres!$A$1:$I$89,3,0)*0.475*44/12</f>
        <v>9.1389293420709539</v>
      </c>
      <c r="EX70" s="21">
        <f>EXP(-LN(2)/2)*EX69+(1-EXP(-LN(2)/2))/(LN(2)/2)*ER70*EU70*VLOOKUP('Données projet'!$B$15,Paramètres!$A$1:$I$89,3,0)*0.475*44/12</f>
        <v>2.5189051486738099E-3</v>
      </c>
      <c r="EY70" s="22">
        <f t="shared" si="75"/>
        <v>17.68518348921172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3.8</v>
      </c>
      <c r="FE70" s="12">
        <f>IF('Données projet'!$A$218&gt;35,FE69+FD70-FM69,IF(A70&lt;'Données projet'!$A$218,$FB$205^A70,IF(A70='Données projet'!$A$218,'Données projet'!$B$218,FE69+FD70-FM69)))</f>
        <v>251.59999999999985</v>
      </c>
      <c r="FF70" s="17">
        <f>FE70*VLOOKUP('Données projet'!$B$16,Paramètres!$A$1:$I$89,3,0)*VLOOKUP('Données projet'!$B$16,Paramètres!$A$1:$I$89,5,0)</f>
        <v>200.17295999999988</v>
      </c>
      <c r="FG70" s="13">
        <f t="shared" si="101"/>
        <v>49.782177185855986</v>
      </c>
      <c r="FH70" s="20">
        <f t="shared" si="76"/>
        <v>435.33853059869892</v>
      </c>
      <c r="FI70" s="59">
        <f t="shared" si="77"/>
        <v>728.67186393203224</v>
      </c>
      <c r="FJ70" s="59">
        <f ca="1">AVERAGE(OFFSET($FI$3,0,0,'Données projet'!$E$16+1,1))-AVERAGE(OFFSET($H$3,0,0,'Données projet'!$E$16+1,1))</f>
        <v>299.10536994156814</v>
      </c>
      <c r="FK70" s="59">
        <f t="shared" si="102"/>
        <v>292.57799203101769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8.6286853798152237</v>
      </c>
      <c r="FR70" s="21">
        <f>EXP(-LN(2)/25)*FR69+(1-EXP(-LN(2)/25))/(LN(2)/25)*Calculateur!FM70*Calculateur!FO70*VLOOKUP('Données projet'!$B$16,Paramètres!$A$1:$I$89,3,0)*0.475*44/12</f>
        <v>12.406406684096368</v>
      </c>
      <c r="FS70" s="21">
        <f>EXP(-LN(2)/2)*FS69+(1-EXP(-LN(2)/2))/(LN(2)/2)*FM70*FP70*VLOOKUP('Données projet'!$B$16,Paramètres!$A$1:$I$89,3,0)*0.475*44/12</f>
        <v>1.2807217215236522</v>
      </c>
      <c r="FT70" s="22">
        <f t="shared" si="78"/>
        <v>22.315813785435243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5.6843418860808015E-14</v>
      </c>
      <c r="GA70" s="17">
        <f>FZ70*VLOOKUP('Données projet'!$B$17,Paramètres!$A$1:$I$89,3,0)*VLOOKUP('Données projet'!$B$17,Paramètres!$A$1:$I$89,5,0)</f>
        <v>5.1431925385259088E-14</v>
      </c>
      <c r="GB70" s="13">
        <f t="shared" si="103"/>
        <v>8.3482866290946129E-13</v>
      </c>
      <c r="GC70" s="20">
        <f t="shared" si="79"/>
        <v>1.5435705246133045E-12</v>
      </c>
      <c r="GD70" s="59">
        <f t="shared" si="80"/>
        <v>293.33333333333485</v>
      </c>
      <c r="GE70" s="59">
        <f ca="1">AVERAGE(OFFSET($GD$3,0,0,'Données projet'!$E$17+1,1))-AVERAGE(OFFSET($H$3,0,0,'Données projet'!$E$17+1,1))</f>
        <v>204.78565758021779</v>
      </c>
      <c r="GF70" s="59">
        <f t="shared" si="104"/>
        <v>287.25131613242439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10.096330917288487</v>
      </c>
      <c r="GM70" s="21">
        <f>EXP(-LN(2)/25)*GM69+(1-EXP(-LN(2)/25))/(LN(2)/25)*Calculateur!GH70*Calculateur!GJ70*VLOOKUP('Données projet'!$B$17,Paramètres!$A$1:$I$89,3,0)*0.475*44/12</f>
        <v>7.181688814241717</v>
      </c>
      <c r="GN70" s="21">
        <f>EXP(-LN(2)/2)*GN69+(1-EXP(-LN(2)/2))/(LN(2)/2)*GH70*GK70*VLOOKUP('Données projet'!$B$17,Paramètres!$A$1:$I$89,3,0)*0.475*44/12</f>
        <v>6.7336862225939233E-3</v>
      </c>
      <c r="GO70" s="21">
        <f t="shared" si="81"/>
        <v>17.284753417752796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8.6666666666666661</v>
      </c>
      <c r="GU70" s="12">
        <f>IF('Données projet'!$A$270&gt;35,GU69+GT70-HC69,IF(A70&lt;'Données projet'!$A$270,$GR$205^A70,IF(A70='Données projet'!$A$270,'Données projet'!$B$270,GU69+GT70-HC69)))</f>
        <v>310.66666666666669</v>
      </c>
      <c r="GV70" s="17">
        <f>GU70*VLOOKUP('Données projet'!$B$18,Paramètres!$A$1:$I$89,3,0)*VLOOKUP('Données projet'!$B$18,Paramètres!$A$1:$I$89,5,0)</f>
        <v>242.32000000000002</v>
      </c>
      <c r="GW70" s="13">
        <f t="shared" si="105"/>
        <v>58.938409961900859</v>
      </c>
      <c r="GX70" s="20">
        <f t="shared" si="82"/>
        <v>524.69173068364398</v>
      </c>
      <c r="GY70" s="59">
        <f t="shared" si="83"/>
        <v>818.02506401697724</v>
      </c>
      <c r="GZ70" s="59">
        <f ca="1">AVERAGE(OFFSET($GY$3,0,0,'Données projet'!$E$18+1,1))-AVERAGE(OFFSET($H$3,0,0,'Données projet'!$E$18+1,1))</f>
        <v>288.82868507674738</v>
      </c>
      <c r="HA70" s="59">
        <f t="shared" si="106"/>
        <v>283.48738729114024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13.10393070130451</v>
      </c>
      <c r="HH70" s="21">
        <f>EXP(-LN(2)/25)*HH69+(1-EXP(-LN(2)/25))/(LN(2)/25)*Calculateur!HC70*Calculateur!HE70*VLOOKUP('Données projet'!$B$18,Paramètres!$A$1:$I$89,3,0)*0.475*44/12</f>
        <v>12.738506467110703</v>
      </c>
      <c r="HI70" s="21">
        <f>EXP(-LN(2)/2)*HI69+(1-EXP(-LN(2)/2))/(LN(2)/2)*HC70*HF70*VLOOKUP('Données projet'!$B$18,Paramètres!$A$1:$I$89,3,0)*0.475*44/12</f>
        <v>0.81608039024549928</v>
      </c>
      <c r="HJ70" s="22">
        <f t="shared" si="84"/>
        <v>26.658517558660712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11.896999999999997</v>
      </c>
      <c r="N71" s="13">
        <f>IF('Données projet'!$A$36&gt;35,N70+M71-V70,IF(A71&lt;'Données projet'!$A$36,$K$205^A71,IF(A71='Données projet'!$A$36,'Données projet'!$B$36,N70+M71-V70)))</f>
        <v>466.27599999999978</v>
      </c>
      <c r="O71" s="13">
        <f>N71*VLOOKUP('Données projet'!$B$9,Paramètres!$A$1:$I$89,3,0)*VLOOKUP('Données projet'!$B$9,Paramètres!$A$1:$I$89,5,0)</f>
        <v>278.83304799999985</v>
      </c>
      <c r="P71" s="13">
        <f t="shared" si="87"/>
        <v>66.720338466956676</v>
      </c>
      <c r="Q71" s="20">
        <f t="shared" si="54"/>
        <v>601.83881476328258</v>
      </c>
      <c r="R71" s="59">
        <f t="shared" si="55"/>
        <v>895.17214809661596</v>
      </c>
      <c r="S71" s="59">
        <f ca="1">AVERAGE(OFFSET($R$3,0,0,'Données projet'!$E$9+1,1))-AVERAGE(OFFSET($H$3,0,0,'Données projet'!$E$9+1,1))</f>
        <v>349.71285006949597</v>
      </c>
      <c r="T71" s="59">
        <f t="shared" si="88"/>
        <v>258.51550516456842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37.993289200354369</v>
      </c>
      <c r="AA71" s="21">
        <f>EXP(-LN(2)/25)*AA70+(1-EXP(-LN(2)/25))/(LN(2)/25)*Calculateur!V71*Calculateur!X71*VLOOKUP('Données projet'!$B$9,Paramètres!$A$1:$I$89,3,0)*0.475*44/12</f>
        <v>15.487619401034397</v>
      </c>
      <c r="AB71" s="21">
        <f>EXP(-LN(2)/2)*AB70+(1-EXP(-LN(2)/2))/(LN(2)/2)*V71*Y71*VLOOKUP('Données projet'!$B$9,Paramètres!$A$1:$I$89,3,0)*0.475*44/12</f>
        <v>0.61057739060926897</v>
      </c>
      <c r="AC71" s="22">
        <f t="shared" si="57"/>
        <v>54.091485991998034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9.65625</v>
      </c>
      <c r="AI71" s="13">
        <f>IF('Données projet'!$A$62&gt;35,AI70+AH71-AQ70,IF(A71&lt;'Données projet'!$A$62,$AF$205^A71,IF(A71='Données projet'!$A$62,'Données projet'!$B$62,AI70+AH71-AQ70)))</f>
        <v>206.16624999999996</v>
      </c>
      <c r="AJ71" s="13">
        <f>AI71*VLOOKUP('Données projet'!$B$10,Paramètres!$A$1:$I$89,3,0)*VLOOKUP('Données projet'!$B$10,Paramètres!$A$1:$I$89,5,0)</f>
        <v>196.18780349999997</v>
      </c>
      <c r="AK71" s="13">
        <f t="shared" si="89"/>
        <v>48.905426239785484</v>
      </c>
      <c r="AL71" s="20">
        <f t="shared" si="58"/>
        <v>426.87070846345961</v>
      </c>
      <c r="AM71" s="59">
        <f t="shared" si="59"/>
        <v>720.20404179679292</v>
      </c>
      <c r="AN71" s="59">
        <f ca="1">AVERAGE(OFFSET($AM$3,0,0,'Données projet'!$E$10+1,1))-AVERAGE(OFFSET($H$3,0,0,'Données projet'!$E$10+1,1))</f>
        <v>449.28947235329758</v>
      </c>
      <c r="AO71" s="59">
        <f t="shared" si="90"/>
        <v>289.36994109443964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17.263625538730967</v>
      </c>
      <c r="AV71" s="21">
        <f>EXP(-LN(2)/25)*AV70+(1-EXP(-LN(2)/25))/(LN(2)/25)*Calculateur!AQ71*Calculateur!AS71*VLOOKUP('Données projet'!$B$10,Paramètres!$A$1:$I$89,3,0)*0.475*44/12</f>
        <v>28.403579479410595</v>
      </c>
      <c r="AW71" s="21">
        <f>EXP(-LN(2)/2)*AW70+(1-EXP(-LN(2)/2))/(LN(2)/2)*AQ71*AT71*VLOOKUP('Données projet'!$B$10,Paramètres!$A$1:$I$89,3,0)*0.475*44/12</f>
        <v>2.8858794960257392</v>
      </c>
      <c r="AX71" s="21">
        <f t="shared" si="60"/>
        <v>48.553084514167296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228.51402600000029</v>
      </c>
      <c r="BF71" s="13">
        <f t="shared" si="91"/>
        <v>55.96125810397254</v>
      </c>
      <c r="BG71" s="20">
        <f t="shared" si="61"/>
        <v>495.46111981441936</v>
      </c>
      <c r="BH71" s="59">
        <f t="shared" si="62"/>
        <v>788.79445314775262</v>
      </c>
      <c r="BI71" s="59">
        <f ca="1">AVERAGE(OFFSET($BH$3,0,0,'Données projet'!$E$11+1,1))-AVERAGE(OFFSET($H$3,0,0,'Données projet'!$E$11+1,1))</f>
        <v>635.71275911100679</v>
      </c>
      <c r="BJ71" s="59">
        <f t="shared" si="92"/>
        <v>281.7776857269169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7.7668871553389076</v>
      </c>
      <c r="BQ71" s="21">
        <f>EXP(-LN(2)/25)*BQ70+(1-EXP(-LN(2)/25))/(LN(2)/25)*Calculateur!BL71*Calculateur!BN71*VLOOKUP('Données projet'!$B$11,Paramètres!$A$1:$I$89,3,0)*0.475*44/12</f>
        <v>31.993653003128042</v>
      </c>
      <c r="BR71" s="21">
        <f>EXP(-LN(2)/2)*BR70+(1-EXP(-LN(2)/2))/(LN(2)/2)*BL71*BO71*VLOOKUP('Données projet'!$B$11,Paramètres!$A$1:$I$89,3,0)*0.475*44/12</f>
        <v>2.5597761711002054</v>
      </c>
      <c r="BS71" s="22">
        <f t="shared" si="63"/>
        <v>42.320316329567156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6.8933333333333326</v>
      </c>
      <c r="BY71" s="12">
        <f>IF('Données projet'!$A$114&gt;35,BY70+BX71-CG70,IF(A71&lt;'Données projet'!$A$114,$BV$205^A71,IF(A71='Données projet'!$A$114,'Données projet'!$B$114,BY70+BX71-CG70)))</f>
        <v>183.89666666666665</v>
      </c>
      <c r="BZ71" s="13">
        <f>BY71*VLOOKUP('Données projet'!$B$12,Paramètres!$A$1:$I$89,3,0)*VLOOKUP('Données projet'!$B$12,Paramètres!$A$1:$I$89,5,0)</f>
        <v>209.42152400000001</v>
      </c>
      <c r="CA71" s="13">
        <f t="shared" si="93"/>
        <v>51.809153850888102</v>
      </c>
      <c r="CB71" s="20">
        <f t="shared" si="64"/>
        <v>454.97676392363013</v>
      </c>
      <c r="CC71" s="59">
        <f t="shared" si="65"/>
        <v>748.31009725696345</v>
      </c>
      <c r="CD71" s="59">
        <f ca="1">AVERAGE(OFFSET($CC$3,0,0,'Données projet'!$E$12+1,1))-AVERAGE(OFFSET($H$3,0,0,'Données projet'!$E$12+1,1))</f>
        <v>593.28343396240075</v>
      </c>
      <c r="CE71" s="59">
        <f t="shared" si="94"/>
        <v>289.66477662068695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25.180179644975794</v>
      </c>
      <c r="CM71" s="21">
        <f>EXP(-LN(2)/2)*CM70+(1-EXP(-LN(2)/2))/(LN(2)/2)*CG71*CJ71*VLOOKUP('Données projet'!$B$12,Paramètres!$A$1:$I$89,3,0)*0.475*44/12</f>
        <v>0.97872466721493978</v>
      </c>
      <c r="CN71" s="22">
        <f t="shared" si="66"/>
        <v>26.158904312190735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2.9487179487179445</v>
      </c>
      <c r="CT71" s="12">
        <f>IF('Données projet'!$A$140&gt;35,CT70+CS71-DB70,IF(A71&lt;'Données projet'!$A$140,$CQ$205^A71,IF(A71='Données projet'!$A$140,'Données projet'!$B$140,CT70+CS71-DB70)))</f>
        <v>139.6153846153847</v>
      </c>
      <c r="CU71" s="17">
        <f>CT71*VLOOKUP('Données projet'!$B$13,Paramètres!$A$1:$I$89,3,0)*VLOOKUP('Données projet'!$B$13,Paramètres!$A$1:$I$89,5,0)</f>
        <v>145.9260000000001</v>
      </c>
      <c r="CV71" s="13">
        <f t="shared" si="95"/>
        <v>37.651276021751279</v>
      </c>
      <c r="CW71" s="20">
        <f t="shared" si="67"/>
        <v>319.73042240455032</v>
      </c>
      <c r="CX71" s="59">
        <f t="shared" si="68"/>
        <v>613.06375573788364</v>
      </c>
      <c r="CY71" s="59">
        <f ca="1">AVERAGE(OFFSET($CX$3,0,0,'Données projet'!$E$13+1,1))-AVERAGE(OFFSET($H$3,0,0,'Données projet'!$E$13+1,1))</f>
        <v>260.65406541614402</v>
      </c>
      <c r="CZ71" s="59">
        <f t="shared" si="96"/>
        <v>277.63456890196886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2.4380815111246688</v>
      </c>
      <c r="DG71" s="21">
        <f>EXP(-LN(2)/25)*DG70+(1-EXP(-LN(2)/25))/(LN(2)/25)*Calculateur!DB71*Calculateur!DD71*VLOOKUP('Données projet'!$B$13,Paramètres!$A$1:$I$89,3,0)*0.475*44/12</f>
        <v>24.393850114364152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26.831931625488821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3.0769230769230718</v>
      </c>
      <c r="DO71" s="12">
        <f>IF('Données projet'!$A$166&gt;35,DO70+DN71-DW70,IF(A71&lt;'Données projet'!$A$166,$DL$205^A71,IF(A71='Données projet'!$A$166,'Données projet'!$B$166,DO70+DN71-DW70)))</f>
        <v>145.76923076923086</v>
      </c>
      <c r="DP71" s="17">
        <f>DO71*VLOOKUP('Données projet'!$B$14,Paramètres!$A$1:$I$89,3,0)*VLOOKUP('Données projet'!$B$14,Paramètres!$A$1:$I$89,5,0)</f>
        <v>95.508000000000067</v>
      </c>
      <c r="DQ71" s="13">
        <f t="shared" si="97"/>
        <v>25.888994821204975</v>
      </c>
      <c r="DR71" s="20">
        <f t="shared" si="70"/>
        <v>211.43309931359877</v>
      </c>
      <c r="DS71" s="59">
        <f t="shared" si="71"/>
        <v>504.76643264693212</v>
      </c>
      <c r="DT71" s="59">
        <f ca="1">AVERAGE(OFFSET($DS$3,0,0,'Données projet'!$E$14+1,1))-AVERAGE(OFFSET($H$3,0,0,'Données projet'!$E$14+1,1))</f>
        <v>181.4272795535777</v>
      </c>
      <c r="DU71" s="59">
        <f t="shared" si="98"/>
        <v>187.67131775419904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2.765238513731497</v>
      </c>
      <c r="EB71" s="21">
        <f>EXP(-LN(2)/25)*EB70+(1-EXP(-LN(2)/25))/(LN(2)/25)*Calculateur!DW71*Calculateur!DY71*VLOOKUP('Données projet'!$B$14,Paramètres!$A$1:$I$89,3,0)*0.475*44/12</f>
        <v>5.9421378166971133</v>
      </c>
      <c r="EC71" s="21">
        <f>EXP(-LN(2)/2)*EC70+(1-EXP(-LN(2)/2))/(LN(2)/2)*DW71*DZ71*VLOOKUP('Données projet'!$B$14,Paramètres!$A$1:$I$89,3,0)*0.475*44/12</f>
        <v>0.86761216417172138</v>
      </c>
      <c r="ED71" s="22">
        <f t="shared" si="72"/>
        <v>9.5749884946003316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1.1368683772161603E-13</v>
      </c>
      <c r="EK71" s="17">
        <f>EJ71*VLOOKUP('Données projet'!$B$15,Paramètres!$A$1:$I$89,3,0)*VLOOKUP('Données projet'!$B$15,Paramètres!$A$1:$I$89,5,0)</f>
        <v>9.2222762759774927E-14</v>
      </c>
      <c r="EL71" s="13">
        <f t="shared" si="99"/>
        <v>1.3985662224947967E-12</v>
      </c>
      <c r="EM71" s="20">
        <f t="shared" si="73"/>
        <v>2.5964574826517121E-12</v>
      </c>
      <c r="EN71" s="59">
        <f t="shared" si="74"/>
        <v>293.33333333333593</v>
      </c>
      <c r="EO71" s="59">
        <f ca="1">AVERAGE(OFFSET($EN$3,0,0,'Données projet'!$E$15+1,1))-AVERAGE(OFFSET($H$3,0,0,'Données projet'!$E$15+1,1))</f>
        <v>159.68591355116837</v>
      </c>
      <c r="EP71" s="59">
        <f t="shared" si="100"/>
        <v>284.32631786390112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8.3761978050605652</v>
      </c>
      <c r="EW71" s="21">
        <f>EXP(-LN(2)/25)*EW70+(1-EXP(-LN(2)/25))/(LN(2)/25)*Calculateur!ER71*Calculateur!ET71*VLOOKUP('Données projet'!$B$15,Paramètres!$A$1:$I$89,3,0)*0.475*44/12</f>
        <v>8.8890248386166171</v>
      </c>
      <c r="EX71" s="21">
        <f>EXP(-LN(2)/2)*EX70+(1-EXP(-LN(2)/2))/(LN(2)/2)*ER71*EU71*VLOOKUP('Données projet'!$B$15,Paramètres!$A$1:$I$89,3,0)*0.475*44/12</f>
        <v>1.7811349117929597E-3</v>
      </c>
      <c r="EY71" s="22">
        <f t="shared" si="75"/>
        <v>17.267003778588975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3.8</v>
      </c>
      <c r="FE71" s="12">
        <f>IF('Données projet'!$A$218&gt;35,FE70+FD71-FM70,IF(A71&lt;'Données projet'!$A$218,$FB$205^A71,IF(A71='Données projet'!$A$218,'Données projet'!$B$218,FE70+FD71-FM70)))</f>
        <v>255.39999999999986</v>
      </c>
      <c r="FF71" s="17">
        <f>FE71*VLOOKUP('Données projet'!$B$16,Paramètres!$A$1:$I$89,3,0)*VLOOKUP('Données projet'!$B$16,Paramètres!$A$1:$I$89,5,0)</f>
        <v>203.1962399999999</v>
      </c>
      <c r="FG71" s="13">
        <f t="shared" si="101"/>
        <v>50.445955049216174</v>
      </c>
      <c r="FH71" s="20">
        <f t="shared" si="76"/>
        <v>441.76015637738465</v>
      </c>
      <c r="FI71" s="59">
        <f t="shared" si="77"/>
        <v>735.0934897107179</v>
      </c>
      <c r="FJ71" s="59">
        <f ca="1">AVERAGE(OFFSET($FI$3,0,0,'Données projet'!$E$16+1,1))-AVERAGE(OFFSET($H$3,0,0,'Données projet'!$E$16+1,1))</f>
        <v>299.10536994156814</v>
      </c>
      <c r="FK71" s="59">
        <f t="shared" si="102"/>
        <v>292.57799203101769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8.4594821224954533</v>
      </c>
      <c r="FR71" s="21">
        <f>EXP(-LN(2)/25)*FR70+(1-EXP(-LN(2)/25))/(LN(2)/25)*Calculateur!FM71*Calculateur!FO71*VLOOKUP('Données projet'!$B$16,Paramètres!$A$1:$I$89,3,0)*0.475*44/12</f>
        <v>12.067152840895179</v>
      </c>
      <c r="FS71" s="21">
        <f>EXP(-LN(2)/2)*FS70+(1-EXP(-LN(2)/2))/(LN(2)/2)*FM71*FP71*VLOOKUP('Données projet'!$B$16,Paramètres!$A$1:$I$89,3,0)*0.475*44/12</f>
        <v>0.90560701410228361</v>
      </c>
      <c r="FT71" s="22">
        <f t="shared" si="78"/>
        <v>21.432241977492918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5.6843418860808015E-14</v>
      </c>
      <c r="GA71" s="17">
        <f>FZ71*VLOOKUP('Données projet'!$B$17,Paramètres!$A$1:$I$89,3,0)*VLOOKUP('Données projet'!$B$17,Paramètres!$A$1:$I$89,5,0)</f>
        <v>5.1431925385259088E-14</v>
      </c>
      <c r="GB71" s="13">
        <f t="shared" si="103"/>
        <v>8.3482866290946129E-13</v>
      </c>
      <c r="GC71" s="20">
        <f t="shared" si="79"/>
        <v>1.5435705246133045E-12</v>
      </c>
      <c r="GD71" s="59">
        <f t="shared" si="80"/>
        <v>293.33333333333485</v>
      </c>
      <c r="GE71" s="59">
        <f ca="1">AVERAGE(OFFSET($GD$3,0,0,'Données projet'!$E$17+1,1))-AVERAGE(OFFSET($H$3,0,0,'Données projet'!$E$17+1,1))</f>
        <v>204.78565758021779</v>
      </c>
      <c r="GF71" s="59">
        <f t="shared" si="104"/>
        <v>287.25131613242439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9.8983480261542525</v>
      </c>
      <c r="GM71" s="21">
        <f>EXP(-LN(2)/25)*GM70+(1-EXP(-LN(2)/25))/(LN(2)/25)*Calculateur!GH71*Calculateur!GJ71*VLOOKUP('Données projet'!$B$17,Paramètres!$A$1:$I$89,3,0)*0.475*44/12</f>
        <v>6.9853051559476764</v>
      </c>
      <c r="GN71" s="21">
        <f>EXP(-LN(2)/2)*GN70+(1-EXP(-LN(2)/2))/(LN(2)/2)*GH71*GK71*VLOOKUP('Données projet'!$B$17,Paramètres!$A$1:$I$89,3,0)*0.475*44/12</f>
        <v>4.761435190378591E-3</v>
      </c>
      <c r="GO71" s="21">
        <f t="shared" si="81"/>
        <v>16.888414617292309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8.6666666666666661</v>
      </c>
      <c r="GU71" s="12">
        <f>IF('Données projet'!$A$270&gt;35,GU70+GT71-HC70,IF(A71&lt;'Données projet'!$A$270,$GR$205^A71,IF(A71='Données projet'!$A$270,'Données projet'!$B$270,GU70+GT71-HC70)))</f>
        <v>319.33333333333337</v>
      </c>
      <c r="GV71" s="17">
        <f>GU71*VLOOKUP('Données projet'!$B$18,Paramètres!$A$1:$I$89,3,0)*VLOOKUP('Données projet'!$B$18,Paramètres!$A$1:$I$89,5,0)</f>
        <v>249.08000000000004</v>
      </c>
      <c r="GW71" s="13">
        <f t="shared" si="105"/>
        <v>60.388894447487807</v>
      </c>
      <c r="GX71" s="20">
        <f t="shared" si="82"/>
        <v>538.99165782937473</v>
      </c>
      <c r="GY71" s="59">
        <f t="shared" si="83"/>
        <v>832.3249911627081</v>
      </c>
      <c r="GZ71" s="59">
        <f ca="1">AVERAGE(OFFSET($GY$3,0,0,'Données projet'!$E$18+1,1))-AVERAGE(OFFSET($H$3,0,0,'Données projet'!$E$18+1,1))</f>
        <v>288.82868507674738</v>
      </c>
      <c r="HA71" s="59">
        <f t="shared" si="106"/>
        <v>283.48738729114024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12.846970612860451</v>
      </c>
      <c r="HH71" s="21">
        <f>EXP(-LN(2)/25)*HH70+(1-EXP(-LN(2)/25))/(LN(2)/25)*Calculateur!HC71*Calculateur!HE71*VLOOKUP('Données projet'!$B$18,Paramètres!$A$1:$I$89,3,0)*0.475*44/12</f>
        <v>12.39017133787862</v>
      </c>
      <c r="HI71" s="21">
        <f>EXP(-LN(2)/2)*HI70+(1-EXP(-LN(2)/2))/(LN(2)/2)*HC71*HF71*VLOOKUP('Données projet'!$B$18,Paramètres!$A$1:$I$89,3,0)*0.475*44/12</f>
        <v>0.57705597793595664</v>
      </c>
      <c r="HJ71" s="22">
        <f t="shared" si="84"/>
        <v>25.814197928675028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11.896999999999997</v>
      </c>
      <c r="N72" s="13">
        <f>IF('Données projet'!$A$36&gt;35,N71+M72-V71,IF(A72&lt;'Données projet'!$A$36,$K$205^A72,IF(A72='Données projet'!$A$36,'Données projet'!$B$36,N71+M72-V71)))</f>
        <v>478.17299999999977</v>
      </c>
      <c r="O72" s="13">
        <f>N72*VLOOKUP('Données projet'!$B$9,Paramètres!$A$1:$I$89,3,0)*VLOOKUP('Données projet'!$B$9,Paramètres!$A$1:$I$89,5,0)</f>
        <v>285.94745399999988</v>
      </c>
      <c r="P72" s="13">
        <f t="shared" si="87"/>
        <v>68.222335259457765</v>
      </c>
      <c r="Q72" s="20">
        <f t="shared" si="54"/>
        <v>616.84571629355526</v>
      </c>
      <c r="R72" s="59">
        <f t="shared" si="55"/>
        <v>910.17904962688863</v>
      </c>
      <c r="S72" s="59">
        <f ca="1">AVERAGE(OFFSET($R$3,0,0,'Données projet'!$E$9+1,1))-AVERAGE(OFFSET($H$3,0,0,'Données projet'!$E$9+1,1))</f>
        <v>349.71285006949597</v>
      </c>
      <c r="T72" s="59">
        <f t="shared" si="88"/>
        <v>258.51550516456842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37.248263972753627</v>
      </c>
      <c r="AA72" s="21">
        <f>EXP(-LN(2)/25)*AA71+(1-EXP(-LN(2)/25))/(LN(2)/25)*Calculateur!V72*Calculateur!X72*VLOOKUP('Données projet'!$B$9,Paramètres!$A$1:$I$89,3,0)*0.475*44/12</f>
        <v>15.064109634054605</v>
      </c>
      <c r="AB72" s="21">
        <f>EXP(-LN(2)/2)*AB71+(1-EXP(-LN(2)/2))/(LN(2)/2)*V72*Y72*VLOOKUP('Données projet'!$B$9,Paramètres!$A$1:$I$89,3,0)*0.475*44/12</f>
        <v>0.43174341333900151</v>
      </c>
      <c r="AC72" s="22">
        <f t="shared" si="57"/>
        <v>52.744117020147229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9.65625</v>
      </c>
      <c r="AI72" s="13">
        <f>IF('Données projet'!$A$62&gt;35,AI71+AH72-AQ71,IF(A72&lt;'Données projet'!$A$62,$AF$205^A72,IF(A72='Données projet'!$A$62,'Données projet'!$B$62,AI71+AH72-AQ71)))</f>
        <v>215.82249999999996</v>
      </c>
      <c r="AJ72" s="13">
        <f>AI72*VLOOKUP('Données projet'!$B$10,Paramètres!$A$1:$I$89,3,0)*VLOOKUP('Données projet'!$B$10,Paramètres!$A$1:$I$89,5,0)</f>
        <v>205.37669099999997</v>
      </c>
      <c r="AK72" s="13">
        <f t="shared" si="89"/>
        <v>50.923971103388858</v>
      </c>
      <c r="AL72" s="20">
        <f t="shared" si="58"/>
        <v>446.3903198300689</v>
      </c>
      <c r="AM72" s="59">
        <f t="shared" si="59"/>
        <v>739.72365316340222</v>
      </c>
      <c r="AN72" s="59">
        <f ca="1">AVERAGE(OFFSET($AM$3,0,0,'Données projet'!$E$10+1,1))-AVERAGE(OFFSET($H$3,0,0,'Données projet'!$E$10+1,1))</f>
        <v>449.28947235329758</v>
      </c>
      <c r="AO72" s="59">
        <f t="shared" si="90"/>
        <v>289.36994109443964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16.925096371688301</v>
      </c>
      <c r="AV72" s="21">
        <f>EXP(-LN(2)/25)*AV71+(1-EXP(-LN(2)/25))/(LN(2)/25)*Calculateur!AQ72*Calculateur!AS72*VLOOKUP('Données projet'!$B$10,Paramètres!$A$1:$I$89,3,0)*0.475*44/12</f>
        <v>27.626882104866784</v>
      </c>
      <c r="AW72" s="21">
        <f>EXP(-LN(2)/2)*AW71+(1-EXP(-LN(2)/2))/(LN(2)/2)*AQ72*AT72*VLOOKUP('Données projet'!$B$10,Paramètres!$A$1:$I$89,3,0)*0.475*44/12</f>
        <v>2.0406249613270164</v>
      </c>
      <c r="AX72" s="21">
        <f t="shared" si="60"/>
        <v>46.592603437882104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237.32112300000028</v>
      </c>
      <c r="BF72" s="13">
        <f t="shared" si="91"/>
        <v>57.862781053141006</v>
      </c>
      <c r="BG72" s="20">
        <f t="shared" si="61"/>
        <v>514.11196622588784</v>
      </c>
      <c r="BH72" s="59">
        <f t="shared" si="62"/>
        <v>807.44529955922121</v>
      </c>
      <c r="BI72" s="59">
        <f ca="1">AVERAGE(OFFSET($BH$3,0,0,'Données projet'!$E$11+1,1))-AVERAGE(OFFSET($H$3,0,0,'Données projet'!$E$11+1,1))</f>
        <v>635.71275911100679</v>
      </c>
      <c r="BJ72" s="59">
        <f t="shared" si="92"/>
        <v>281.7776857269169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7.6145832355561032</v>
      </c>
      <c r="BQ72" s="21">
        <f>EXP(-LN(2)/25)*BQ71+(1-EXP(-LN(2)/25))/(LN(2)/25)*Calculateur!BL72*Calculateur!BN72*VLOOKUP('Données projet'!$B$11,Paramètres!$A$1:$I$89,3,0)*0.475*44/12</f>
        <v>31.118784879284416</v>
      </c>
      <c r="BR72" s="21">
        <f>EXP(-LN(2)/2)*BR71+(1-EXP(-LN(2)/2))/(LN(2)/2)*BL72*BO72*VLOOKUP('Données projet'!$B$11,Paramètres!$A$1:$I$89,3,0)*0.475*44/12</f>
        <v>1.8100350889046914</v>
      </c>
      <c r="BS72" s="22">
        <f t="shared" si="63"/>
        <v>40.543403203745207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190.79</v>
      </c>
      <c r="BW72" s="12">
        <f>VLOOKUP(A72,'Données projet'!$A$113:$I$133,9,0)</f>
        <v>6.8933333333333326</v>
      </c>
      <c r="BX72" s="12">
        <f t="array" ref="BX72">INDEX(BW:BW,MIN(IF(ISNUMBER(BW72:BW268),ROW(BW72:BW268),"")))</f>
        <v>6.8933333333333326</v>
      </c>
      <c r="BY72" s="12">
        <f>IF('Données projet'!$A$114&gt;35,BY71+BX72-CG71,IF(A72&lt;'Données projet'!$A$114,$BV$205^A72,IF(A72='Données projet'!$A$114,'Données projet'!$B$114,BY71+BX72-CG71)))</f>
        <v>190.79</v>
      </c>
      <c r="BZ72" s="13">
        <f>BY72*VLOOKUP('Données projet'!$B$12,Paramètres!$A$1:$I$89,3,0)*VLOOKUP('Données projet'!$B$12,Paramètres!$A$1:$I$89,5,0)</f>
        <v>217.27165199999996</v>
      </c>
      <c r="CA72" s="13">
        <f t="shared" si="93"/>
        <v>53.521462768957484</v>
      </c>
      <c r="CB72" s="20">
        <f t="shared" si="64"/>
        <v>471.63134155593411</v>
      </c>
      <c r="CC72" s="59">
        <f t="shared" si="65"/>
        <v>764.96467488926737</v>
      </c>
      <c r="CD72" s="59">
        <f ca="1">AVERAGE(OFFSET($CC$3,0,0,'Données projet'!$E$12+1,1))-AVERAGE(OFFSET($H$3,0,0,'Données projet'!$E$12+1,1))</f>
        <v>593.28343396240075</v>
      </c>
      <c r="CE72" s="59">
        <f t="shared" si="94"/>
        <v>289.66477662068695</v>
      </c>
      <c r="CF72" s="15">
        <f>IF(ISNA(VLOOKUP(A72,'Données projet'!$A$113:$I$133,3,0)),0,VLOOKUP(A72,'Données projet'!$A$113:$I$133,3,0))</f>
        <v>2</v>
      </c>
      <c r="CG72" s="15">
        <f>IF(ISNA(VLOOKUP(A72,'Données projet'!$A$113:$I$133,4,0)),0,VLOOKUP(A72,'Données projet'!$A$113:$I$133,4,0))</f>
        <v>42.22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0.34400000000000003</v>
      </c>
      <c r="CJ72" s="16">
        <f>IF(ISNA(VLOOKUP(A72,'Données projet'!$A$113:$I$133,7,0)),0%,VLOOKUP(A72,'Données projet'!$A$113:$I$133,7,0))</f>
        <v>0.2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42.703636399077894</v>
      </c>
      <c r="CM72" s="21">
        <f>EXP(-LN(2)/2)*CM71+(1-EXP(-LN(2)/2))/(LN(2)/2)*CG72*CJ72*VLOOKUP('Données projet'!$B$12,Paramètres!$A$1:$I$89,3,0)*0.475*44/12</f>
        <v>9.7650433238797198</v>
      </c>
      <c r="CN72" s="22">
        <f t="shared" si="66"/>
        <v>52.468679722957617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2.9487179487179445</v>
      </c>
      <c r="CT72" s="12">
        <f>IF('Données projet'!$A$140&gt;35,CT71+CS72-DB71,IF(A72&lt;'Données projet'!$A$140,$CQ$205^A72,IF(A72='Données projet'!$A$140,'Données projet'!$B$140,CT71+CS72-DB71)))</f>
        <v>142.56410256410265</v>
      </c>
      <c r="CU72" s="17">
        <f>CT72*VLOOKUP('Données projet'!$B$13,Paramètres!$A$1:$I$89,3,0)*VLOOKUP('Données projet'!$B$13,Paramètres!$A$1:$I$89,5,0)</f>
        <v>149.0080000000001</v>
      </c>
      <c r="CV72" s="13">
        <f t="shared" si="95"/>
        <v>38.353063077658518</v>
      </c>
      <c r="CW72" s="20">
        <f t="shared" si="67"/>
        <v>326.32051819358878</v>
      </c>
      <c r="CX72" s="59">
        <f t="shared" si="68"/>
        <v>619.65385152692215</v>
      </c>
      <c r="CY72" s="59">
        <f ca="1">AVERAGE(OFFSET($CX$3,0,0,'Données projet'!$E$13+1,1))-AVERAGE(OFFSET($H$3,0,0,'Données projet'!$E$13+1,1))</f>
        <v>260.65406541614402</v>
      </c>
      <c r="CZ72" s="59">
        <f t="shared" si="96"/>
        <v>277.63456890196886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2.3902722197743986</v>
      </c>
      <c r="DG72" s="21">
        <f>EXP(-LN(2)/25)*DG71+(1-EXP(-LN(2)/25))/(LN(2)/25)*Calculateur!DB72*Calculateur!DD72*VLOOKUP('Données projet'!$B$13,Paramètres!$A$1:$I$89,3,0)*0.475*44/12</f>
        <v>23.72679900017004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26.117071219944439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3.0769230769230718</v>
      </c>
      <c r="DO72" s="12">
        <f>IF('Données projet'!$A$166&gt;35,DO71+DN72-DW71,IF(A72&lt;'Données projet'!$A$166,$DL$205^A72,IF(A72='Données projet'!$A$166,'Données projet'!$B$166,DO71+DN72-DW71)))</f>
        <v>148.84615384615392</v>
      </c>
      <c r="DP72" s="17">
        <f>DO72*VLOOKUP('Données projet'!$B$14,Paramètres!$A$1:$I$89,3,0)*VLOOKUP('Données projet'!$B$14,Paramètres!$A$1:$I$89,5,0)</f>
        <v>97.524000000000058</v>
      </c>
      <c r="DQ72" s="13">
        <f t="shared" si="97"/>
        <v>26.371266729522745</v>
      </c>
      <c r="DR72" s="20">
        <f t="shared" si="70"/>
        <v>215.78425622058555</v>
      </c>
      <c r="DS72" s="59">
        <f t="shared" si="71"/>
        <v>509.11758955391883</v>
      </c>
      <c r="DT72" s="59">
        <f ca="1">AVERAGE(OFFSET($DS$3,0,0,'Données projet'!$E$14+1,1))-AVERAGE(OFFSET($H$3,0,0,'Données projet'!$E$14+1,1))</f>
        <v>181.4272795535777</v>
      </c>
      <c r="DU72" s="59">
        <f t="shared" si="98"/>
        <v>187.67131775419904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2.7110138731061748</v>
      </c>
      <c r="EB72" s="21">
        <f>EXP(-LN(2)/25)*EB71+(1-EXP(-LN(2)/25))/(LN(2)/25)*Calculateur!DW72*Calculateur!DY72*VLOOKUP('Données projet'!$B$14,Paramètres!$A$1:$I$89,3,0)*0.475*44/12</f>
        <v>5.7796497456160836</v>
      </c>
      <c r="EC72" s="21">
        <f>EXP(-LN(2)/2)*EC71+(1-EXP(-LN(2)/2))/(LN(2)/2)*DW72*DZ72*VLOOKUP('Données projet'!$B$14,Paramètres!$A$1:$I$89,3,0)*0.475*44/12</f>
        <v>0.61349444472576042</v>
      </c>
      <c r="ED72" s="22">
        <f t="shared" si="72"/>
        <v>9.1041580634480184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1.1368683772161603E-13</v>
      </c>
      <c r="EK72" s="17">
        <f>EJ72*VLOOKUP('Données projet'!$B$15,Paramètres!$A$1:$I$89,3,0)*VLOOKUP('Données projet'!$B$15,Paramètres!$A$1:$I$89,5,0)</f>
        <v>9.2222762759774927E-14</v>
      </c>
      <c r="EL72" s="13">
        <f t="shared" si="99"/>
        <v>1.3985662224947967E-12</v>
      </c>
      <c r="EM72" s="20">
        <f t="shared" si="73"/>
        <v>2.5964574826517121E-12</v>
      </c>
      <c r="EN72" s="59">
        <f t="shared" si="74"/>
        <v>293.33333333333593</v>
      </c>
      <c r="EO72" s="59">
        <f ca="1">AVERAGE(OFFSET($EN$3,0,0,'Données projet'!$E$15+1,1))-AVERAGE(OFFSET($H$3,0,0,'Données projet'!$E$15+1,1))</f>
        <v>159.68591355116837</v>
      </c>
      <c r="EP72" s="59">
        <f t="shared" si="100"/>
        <v>284.32631786390112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8.2119456750795194</v>
      </c>
      <c r="EW72" s="21">
        <f>EXP(-LN(2)/25)*EW71+(1-EXP(-LN(2)/25))/(LN(2)/25)*Calculateur!ER72*Calculateur!ET72*VLOOKUP('Données projet'!$B$15,Paramètres!$A$1:$I$89,3,0)*0.475*44/12</f>
        <v>8.6459539869511453</v>
      </c>
      <c r="EX72" s="21">
        <f>EXP(-LN(2)/2)*EX71+(1-EXP(-LN(2)/2))/(LN(2)/2)*ER72*EU72*VLOOKUP('Données projet'!$B$15,Paramètres!$A$1:$I$89,3,0)*0.475*44/12</f>
        <v>1.259452574336905E-3</v>
      </c>
      <c r="EY72" s="22">
        <f t="shared" si="75"/>
        <v>16.859159114605003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3.8</v>
      </c>
      <c r="FE72" s="12">
        <f>IF('Données projet'!$A$218&gt;35,FE71+FD72-FM71,IF(A72&lt;'Données projet'!$A$218,$FB$205^A72,IF(A72='Données projet'!$A$218,'Données projet'!$B$218,FE71+FD72-FM71)))</f>
        <v>259.19999999999987</v>
      </c>
      <c r="FF72" s="17">
        <f>FE72*VLOOKUP('Données projet'!$B$16,Paramètres!$A$1:$I$89,3,0)*VLOOKUP('Données projet'!$B$16,Paramètres!$A$1:$I$89,5,0)</f>
        <v>206.21951999999993</v>
      </c>
      <c r="FG72" s="13">
        <f t="shared" si="101"/>
        <v>51.10858428464028</v>
      </c>
      <c r="FH72" s="20">
        <f t="shared" si="76"/>
        <v>448.17978162908167</v>
      </c>
      <c r="FI72" s="59">
        <f t="shared" si="77"/>
        <v>741.51311496241499</v>
      </c>
      <c r="FJ72" s="59">
        <f ca="1">AVERAGE(OFFSET($FI$3,0,0,'Données projet'!$E$16+1,1))-AVERAGE(OFFSET($H$3,0,0,'Données projet'!$E$16+1,1))</f>
        <v>299.10536994156814</v>
      </c>
      <c r="FK72" s="59">
        <f t="shared" si="102"/>
        <v>292.57799203101769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8.293596837847927</v>
      </c>
      <c r="FR72" s="21">
        <f>EXP(-LN(2)/25)*FR71+(1-EXP(-LN(2)/25))/(LN(2)/25)*Calculateur!FM72*Calculateur!FO72*VLOOKUP('Données projet'!$B$16,Paramètres!$A$1:$I$89,3,0)*0.475*44/12</f>
        <v>11.737175911876912</v>
      </c>
      <c r="FS72" s="21">
        <f>EXP(-LN(2)/2)*FS71+(1-EXP(-LN(2)/2))/(LN(2)/2)*FM72*FP72*VLOOKUP('Données projet'!$B$16,Paramètres!$A$1:$I$89,3,0)*0.475*44/12</f>
        <v>0.64036086076182619</v>
      </c>
      <c r="FT72" s="22">
        <f t="shared" si="78"/>
        <v>20.671133610486667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5.6843418860808015E-14</v>
      </c>
      <c r="GA72" s="17">
        <f>FZ72*VLOOKUP('Données projet'!$B$17,Paramètres!$A$1:$I$89,3,0)*VLOOKUP('Données projet'!$B$17,Paramètres!$A$1:$I$89,5,0)</f>
        <v>5.1431925385259088E-14</v>
      </c>
      <c r="GB72" s="13">
        <f t="shared" si="103"/>
        <v>8.3482866290946129E-13</v>
      </c>
      <c r="GC72" s="20">
        <f t="shared" si="79"/>
        <v>1.5435705246133045E-12</v>
      </c>
      <c r="GD72" s="59">
        <f t="shared" si="80"/>
        <v>293.33333333333485</v>
      </c>
      <c r="GE72" s="59">
        <f ca="1">AVERAGE(OFFSET($GD$3,0,0,'Données projet'!$E$17+1,1))-AVERAGE(OFFSET($H$3,0,0,'Données projet'!$E$17+1,1))</f>
        <v>204.78565758021779</v>
      </c>
      <c r="GF72" s="59">
        <f t="shared" si="104"/>
        <v>287.25131613242439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9.7042474587575196</v>
      </c>
      <c r="GM72" s="21">
        <f>EXP(-LN(2)/25)*GM71+(1-EXP(-LN(2)/25))/(LN(2)/25)*Calculateur!GH72*Calculateur!GJ72*VLOOKUP('Données projet'!$B$17,Paramètres!$A$1:$I$89,3,0)*0.475*44/12</f>
        <v>6.7942916191170539</v>
      </c>
      <c r="GN72" s="21">
        <f>EXP(-LN(2)/2)*GN71+(1-EXP(-LN(2)/2))/(LN(2)/2)*GH72*GK72*VLOOKUP('Données projet'!$B$17,Paramètres!$A$1:$I$89,3,0)*0.475*44/12</f>
        <v>3.3668431112969617E-3</v>
      </c>
      <c r="GO72" s="21">
        <f t="shared" si="81"/>
        <v>16.501905920985873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>
        <f>VLOOKUP(A72,'Données projet'!$A$269:$I$289,2,0)</f>
        <v>328</v>
      </c>
      <c r="GS72" s="12">
        <f>VLOOKUP(A72,'Données projet'!$A$269:$I$289,9,0)</f>
        <v>8.6666666666666661</v>
      </c>
      <c r="GT72" s="12">
        <f t="array" ref="GT72">INDEX(GS:GS,MIN(IF(ISNUMBER(GS72:GS268),ROW(GS72:GS268),"")))</f>
        <v>8.6666666666666661</v>
      </c>
      <c r="GU72" s="12">
        <f>IF('Données projet'!$A$270&gt;35,GU71+GT72-HC71,IF(A72&lt;'Données projet'!$A$270,$GR$205^A72,IF(A72='Données projet'!$A$270,'Données projet'!$B$270,GU71+GT72-HC71)))</f>
        <v>328.00000000000006</v>
      </c>
      <c r="GV72" s="17">
        <f>GU72*VLOOKUP('Données projet'!$B$18,Paramètres!$A$1:$I$89,3,0)*VLOOKUP('Données projet'!$B$18,Paramètres!$A$1:$I$89,5,0)</f>
        <v>255.84000000000006</v>
      </c>
      <c r="GW72" s="13">
        <f t="shared" si="105"/>
        <v>61.834803371075836</v>
      </c>
      <c r="GX72" s="20">
        <f t="shared" si="82"/>
        <v>553.28361587129041</v>
      </c>
      <c r="GY72" s="59">
        <f t="shared" si="83"/>
        <v>846.61694920462378</v>
      </c>
      <c r="GZ72" s="59">
        <f ca="1">AVERAGE(OFFSET($GY$3,0,0,'Données projet'!$E$18+1,1))-AVERAGE(OFFSET($H$3,0,0,'Données projet'!$E$18+1,1))</f>
        <v>288.82868507674738</v>
      </c>
      <c r="HA72" s="59">
        <f t="shared" si="106"/>
        <v>283.48738729114024</v>
      </c>
      <c r="HB72" s="15">
        <f>IF(ISNA(VLOOKUP(A72,'Données projet'!$A$269:$I$289,3,0)),0,VLOOKUP(A72,'Données projet'!$A$269:$I$289,3,0))</f>
        <v>9</v>
      </c>
      <c r="HC72" s="15">
        <f>IF(ISNA(VLOOKUP(A72,'Données projet'!$A$269:$I$289,4,0)),0,VLOOKUP(A72,'Données projet'!$A$269:$I$289,4,0))</f>
        <v>328</v>
      </c>
      <c r="HD72" s="16">
        <f>IF(ISNA(VLOOKUP(A72,'Données projet'!$A$269:$I$289,5,0)),0%,VLOOKUP(A72,'Données projet'!$A$269:$I$289,5,0)*VLOOKUP('Données projet'!$B$18,Paramètres!$A$1:$I$89,7,0))</f>
        <v>0.1075</v>
      </c>
      <c r="HE72" s="16">
        <f>IF(ISNA(VLOOKUP(A72,'Données projet'!$A$269:$I$289,6,0)),0%,VLOOKUP(A72,'Données projet'!$A$269:$I$289,6,0)*VLOOKUP('Données projet'!$B$18,Paramètres!$A$1:$I$89,7,0))</f>
        <v>0.1075</v>
      </c>
      <c r="HF72" s="16">
        <f>IF(ISNA(VLOOKUP(A72,'Données projet'!$A$269:$I$289,7,0)),0%,VLOOKUP(A72,'Données projet'!$A$269:$I$289,7,0))</f>
        <v>0.25</v>
      </c>
      <c r="HG72" s="21">
        <f>EXP(-LN(2)/35)*HG71+(1-EXP(-LN(2)/35))/(LN(2)/35)*HC72*HD72*VLOOKUP('Données projet'!$B$18,Paramètres!$A$1:$I$89,3,0)*0.475*44/12</f>
        <v>42.998580109239427</v>
      </c>
      <c r="HH72" s="21">
        <f>EXP(-LN(2)/25)*HH71+(1-EXP(-LN(2)/25))/(LN(2)/25)*Calculateur!HC72*Calculateur!HE72*VLOOKUP('Données projet'!$B$18,Paramètres!$A$1:$I$89,3,0)*0.475*44/12</f>
        <v>42.335181920059554</v>
      </c>
      <c r="HI72" s="21">
        <f>EXP(-LN(2)/2)*HI71+(1-EXP(-LN(2)/2))/(LN(2)/2)*HC72*HF72*VLOOKUP('Données projet'!$B$18,Paramètres!$A$1:$I$89,3,0)*0.475*44/12</f>
        <v>60.756021653283376</v>
      </c>
      <c r="HJ72" s="22">
        <f t="shared" si="84"/>
        <v>146.08978368258235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490.07</v>
      </c>
      <c r="L73" s="12">
        <f>VLOOKUP(A73,'Données projet'!$A$35:$I$55,9,0)</f>
        <v>11.896999999999997</v>
      </c>
      <c r="M73" s="12">
        <f t="array" ref="M73">INDEX(L:L,MIN(IF(ISNUMBER(L73:L269),ROW(L73:L269),"")))</f>
        <v>11.896999999999997</v>
      </c>
      <c r="N73" s="13">
        <f>IF('Données projet'!$A$36&gt;35,N72+M73-V72,IF(A73&lt;'Données projet'!$A$36,$K$205^A73,IF(A73='Données projet'!$A$36,'Données projet'!$B$36,N72+M73-V72)))</f>
        <v>490.06999999999977</v>
      </c>
      <c r="O73" s="13">
        <f>N73*VLOOKUP('Données projet'!$B$9,Paramètres!$A$1:$I$89,3,0)*VLOOKUP('Données projet'!$B$9,Paramètres!$A$1:$I$89,5,0)</f>
        <v>293.06185999999991</v>
      </c>
      <c r="P73" s="13">
        <f t="shared" si="87"/>
        <v>69.719988019761743</v>
      </c>
      <c r="Q73" s="20">
        <f t="shared" si="54"/>
        <v>631.84505196775149</v>
      </c>
      <c r="R73" s="59">
        <f t="shared" si="55"/>
        <v>925.17838530108475</v>
      </c>
      <c r="S73" s="59">
        <f ca="1">AVERAGE(OFFSET($R$3,0,0,'Données projet'!$E$9+1,1))-AVERAGE(OFFSET($H$3,0,0,'Données projet'!$E$9+1,1))</f>
        <v>349.71285006949597</v>
      </c>
      <c r="T73" s="59">
        <f t="shared" si="88"/>
        <v>258.51550516456842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67.88</v>
      </c>
      <c r="W73" s="16">
        <f>IF(ISNA(VLOOKUP(A73,'Données projet'!$A$35:$I$55,5,0)),0%,VLOOKUP(A73,'Données projet'!$A$35:$I$55,5,0)*VLOOKUP('Données projet'!$B$9,Paramètres!$A$1:$I$89,7,0))</f>
        <v>0.27</v>
      </c>
      <c r="X73" s="16">
        <f>IF(ISNA(VLOOKUP(A73,'Données projet'!$A$35:$I$55,6,0)),0%,VLOOKUP(A73,'Données projet'!$A$35:$I$55,6,0)*VLOOKUP('Données projet'!$B$9,Paramètres!$A$1:$I$89,7,0))</f>
        <v>9.0000000000000011E-2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51.056868378126822</v>
      </c>
      <c r="AA73" s="21">
        <f>EXP(-LN(2)/25)*AA72+(1-EXP(-LN(2)/25))/(LN(2)/25)*Calculateur!V73*Calculateur!X73*VLOOKUP('Données projet'!$B$9,Paramètres!$A$1:$I$89,3,0)*0.475*44/12</f>
        <v>19.479438924117112</v>
      </c>
      <c r="AB73" s="21">
        <f>EXP(-LN(2)/2)*AB72+(1-EXP(-LN(2)/2))/(LN(2)/2)*V73*Y73*VLOOKUP('Données projet'!$B$9,Paramètres!$A$1:$I$89,3,0)*0.475*44/12</f>
        <v>9.4972577266937765</v>
      </c>
      <c r="AC73" s="22">
        <f t="shared" si="57"/>
        <v>80.033565028937701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9.65625</v>
      </c>
      <c r="AI73" s="13">
        <f>IF('Données projet'!$A$62&gt;35,AI72+AH73-AQ72,IF(A73&lt;'Données projet'!$A$62,$AF$205^A73,IF(A73='Données projet'!$A$62,'Données projet'!$B$62,AI72+AH73-AQ72)))</f>
        <v>225.47874999999996</v>
      </c>
      <c r="AJ73" s="13">
        <f>AI73*VLOOKUP('Données projet'!$B$10,Paramètres!$A$1:$I$89,3,0)*VLOOKUP('Données projet'!$B$10,Paramètres!$A$1:$I$89,5,0)</f>
        <v>214.56557849999996</v>
      </c>
      <c r="AK73" s="13">
        <f t="shared" si="89"/>
        <v>52.932027166993123</v>
      </c>
      <c r="AL73" s="20">
        <f t="shared" si="58"/>
        <v>465.8916632033463</v>
      </c>
      <c r="AM73" s="59">
        <f t="shared" si="59"/>
        <v>759.22499653667955</v>
      </c>
      <c r="AN73" s="59">
        <f ca="1">AVERAGE(OFFSET($AM$3,0,0,'Données projet'!$E$10+1,1))-AVERAGE(OFFSET($H$3,0,0,'Données projet'!$E$10+1,1))</f>
        <v>449.28947235329758</v>
      </c>
      <c r="AO73" s="59">
        <f t="shared" si="90"/>
        <v>289.36994109443964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16.593205555128939</v>
      </c>
      <c r="AV73" s="21">
        <f>EXP(-LN(2)/25)*AV72+(1-EXP(-LN(2)/25))/(LN(2)/25)*Calculateur!AQ73*Calculateur!AS73*VLOOKUP('Données projet'!$B$10,Paramètres!$A$1:$I$89,3,0)*0.475*44/12</f>
        <v>26.871423560874614</v>
      </c>
      <c r="AW73" s="21">
        <f>EXP(-LN(2)/2)*AW72+(1-EXP(-LN(2)/2))/(LN(2)/2)*AQ73*AT73*VLOOKUP('Données projet'!$B$10,Paramètres!$A$1:$I$89,3,0)*0.475*44/12</f>
        <v>1.4429397480128696</v>
      </c>
      <c r="AX73" s="21">
        <f t="shared" si="60"/>
        <v>44.907568864016419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246.12822000000025</v>
      </c>
      <c r="BF73" s="13">
        <f t="shared" si="91"/>
        <v>59.756105801003123</v>
      </c>
      <c r="BG73" s="20">
        <f t="shared" si="61"/>
        <v>532.74853410341427</v>
      </c>
      <c r="BH73" s="59">
        <f t="shared" si="62"/>
        <v>826.08186743674764</v>
      </c>
      <c r="BI73" s="59">
        <f ca="1">AVERAGE(OFFSET($BH$3,0,0,'Données projet'!$E$11+1,1))-AVERAGE(OFFSET($H$3,0,0,'Données projet'!$E$11+1,1))</f>
        <v>635.71275911100679</v>
      </c>
      <c r="BJ73" s="59">
        <f t="shared" si="92"/>
        <v>281.7776857269169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7.4652659027440214</v>
      </c>
      <c r="BQ73" s="21">
        <f>EXP(-LN(2)/25)*BQ72+(1-EXP(-LN(2)/25))/(LN(2)/25)*Calculateur!BL73*Calculateur!BN73*VLOOKUP('Données projet'!$B$11,Paramètres!$A$1:$I$89,3,0)*0.475*44/12</f>
        <v>30.267840070294611</v>
      </c>
      <c r="BR73" s="21">
        <f>EXP(-LN(2)/2)*BR72+(1-EXP(-LN(2)/2))/(LN(2)/2)*BL73*BO73*VLOOKUP('Données projet'!$B$11,Paramètres!$A$1:$I$89,3,0)*0.475*44/12</f>
        <v>1.2798880855501029</v>
      </c>
      <c r="BS73" s="22">
        <f t="shared" si="63"/>
        <v>39.012994058588738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6.7437500000000021</v>
      </c>
      <c r="BY73" s="12">
        <f>IF('Données projet'!$A$114&gt;35,BY72+BX73-CG72,IF(A73&lt;'Données projet'!$A$114,$BV$205^A73,IF(A73='Données projet'!$A$114,'Données projet'!$B$114,BY72+BX73-CG72)))</f>
        <v>155.31375</v>
      </c>
      <c r="BZ73" s="13">
        <f>BY73*VLOOKUP('Données projet'!$B$12,Paramètres!$A$1:$I$89,3,0)*VLOOKUP('Données projet'!$B$12,Paramètres!$A$1:$I$89,5,0)</f>
        <v>176.87129849999999</v>
      </c>
      <c r="CA73" s="13">
        <f t="shared" si="93"/>
        <v>44.625398966300217</v>
      </c>
      <c r="CB73" s="20">
        <f t="shared" si="64"/>
        <v>385.77341475380621</v>
      </c>
      <c r="CC73" s="59">
        <f t="shared" si="65"/>
        <v>679.10674808713952</v>
      </c>
      <c r="CD73" s="59">
        <f ca="1">AVERAGE(OFFSET($CC$3,0,0,'Données projet'!$E$12+1,1))-AVERAGE(OFFSET($H$3,0,0,'Données projet'!$E$12+1,1))</f>
        <v>593.28343396240075</v>
      </c>
      <c r="CE73" s="59">
        <f t="shared" si="94"/>
        <v>289.66477662068695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41.535903216058472</v>
      </c>
      <c r="CM73" s="21">
        <f>EXP(-LN(2)/2)*CM72+(1-EXP(-LN(2)/2))/(LN(2)/2)*CG73*CJ73*VLOOKUP('Données projet'!$B$12,Paramètres!$A$1:$I$89,3,0)*0.475*44/12</f>
        <v>6.9049283528957739</v>
      </c>
      <c r="CN73" s="22">
        <f t="shared" si="66"/>
        <v>48.440831568954245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145.5128205128205</v>
      </c>
      <c r="CR73" s="12">
        <f>VLOOKUP(A73,'Données projet'!$A$139:$I$159,9,0)</f>
        <v>2.9487179487179445</v>
      </c>
      <c r="CS73" s="12">
        <f t="array" ref="CS73">INDEX(CR:CR,MIN(IF(ISNUMBER(CR73:CR269),ROW(CR73:CR269),"")))</f>
        <v>2.9487179487179445</v>
      </c>
      <c r="CT73" s="12">
        <f>IF('Données projet'!$A$140&gt;35,CT72+CS73-DB72,IF(A73&lt;'Données projet'!$A$140,$CQ$205^A73,IF(A73='Données projet'!$A$140,'Données projet'!$B$140,CT72+CS73-DB72)))</f>
        <v>145.51282051282061</v>
      </c>
      <c r="CU73" s="17">
        <f>CT73*VLOOKUP('Données projet'!$B$13,Paramètres!$A$1:$I$89,3,0)*VLOOKUP('Données projet'!$B$13,Paramètres!$A$1:$I$89,5,0)</f>
        <v>152.09000000000012</v>
      </c>
      <c r="CV73" s="13">
        <f t="shared" si="95"/>
        <v>39.053162448424146</v>
      </c>
      <c r="CW73" s="20">
        <f t="shared" si="67"/>
        <v>332.90767459767227</v>
      </c>
      <c r="CX73" s="59">
        <f t="shared" si="68"/>
        <v>626.24100793100558</v>
      </c>
      <c r="CY73" s="59">
        <f ca="1">AVERAGE(OFFSET($CX$3,0,0,'Données projet'!$E$13+1,1))-AVERAGE(OFFSET($H$3,0,0,'Données projet'!$E$13+1,1))</f>
        <v>260.65406541614402</v>
      </c>
      <c r="CZ73" s="59">
        <f t="shared" si="96"/>
        <v>277.63456890196886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10.897435897435898</v>
      </c>
      <c r="DC73" s="16">
        <f>IF(ISNA(VLOOKUP(A73,'Données projet'!$A$139:$I$159,5,0)),0%,VLOOKUP(A73,'Données projet'!$A$139:$I$159,5,0)*VLOOKUP('Données projet'!$B$13,Paramètres!$A$1:$I$89,7,0))</f>
        <v>4.3000000000000003E-2</v>
      </c>
      <c r="DD73" s="16">
        <f>IF(ISNA(VLOOKUP(A73,'Données projet'!$A$139:$I$159,6,0)),0%,VLOOKUP(A73,'Données projet'!$A$139:$I$159,6,0)*VLOOKUP('Données projet'!$B$13,Paramètres!$A$1:$I$89,7,0))</f>
        <v>0.215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2.884826667250572</v>
      </c>
      <c r="DG73" s="21">
        <f>EXP(-LN(2)/25)*DG72+(1-EXP(-LN(2)/25))/(LN(2)/25)*Calculateur!DB73*Calculateur!DD73*VLOOKUP('Données projet'!$B$13,Paramètres!$A$1:$I$89,3,0)*0.475*44/12</f>
        <v>25.774460565899766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28.659287233150337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151.92307692307691</v>
      </c>
      <c r="DM73" s="12">
        <f>VLOOKUP(A73,'Données projet'!$A$165:$I$185,9,0)</f>
        <v>3.0769230769230718</v>
      </c>
      <c r="DN73" s="12">
        <f t="array" ref="DN73">INDEX(DM:DM,MIN(IF(ISNUMBER(DM73:DM269),ROW(DM73:DM269),"")))</f>
        <v>3.0769230769230718</v>
      </c>
      <c r="DO73" s="12">
        <f>IF('Données projet'!$A$166&gt;35,DO72+DN73-DW72,IF(A73&lt;'Données projet'!$A$166,$DL$205^A73,IF(A73='Données projet'!$A$166,'Données projet'!$B$166,DO72+DN73-DW72)))</f>
        <v>151.92307692307699</v>
      </c>
      <c r="DP73" s="17">
        <f>DO73*VLOOKUP('Données projet'!$B$14,Paramètres!$A$1:$I$89,3,0)*VLOOKUP('Données projet'!$B$14,Paramètres!$A$1:$I$89,5,0)</f>
        <v>99.540000000000049</v>
      </c>
      <c r="DQ73" s="13">
        <f t="shared" si="97"/>
        <v>26.852379502175079</v>
      </c>
      <c r="DR73" s="20">
        <f t="shared" si="70"/>
        <v>220.13339429962164</v>
      </c>
      <c r="DS73" s="59">
        <f t="shared" si="71"/>
        <v>513.46672763295498</v>
      </c>
      <c r="DT73" s="59">
        <f ca="1">AVERAGE(OFFSET($DS$3,0,0,'Données projet'!$E$14+1,1))-AVERAGE(OFFSET($H$3,0,0,'Données projet'!$E$14+1,1))</f>
        <v>181.4272795535777</v>
      </c>
      <c r="DU73" s="59">
        <f t="shared" si="98"/>
        <v>187.67131775419904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12.179487179487179</v>
      </c>
      <c r="DX73" s="16">
        <f>IF(ISNA(VLOOKUP(A73,'Données projet'!$A$165:$I$185,5,0)),0%,VLOOKUP(A73,'Données projet'!$A$165:$I$185,5,0)*VLOOKUP('Données projet'!$B$14,Paramètres!$A$1:$I$89,7,0))</f>
        <v>0.1075</v>
      </c>
      <c r="DY73" s="16">
        <f>IF(ISNA(VLOOKUP(A73,'Données projet'!$A$165:$I$185,6,0)),0%,VLOOKUP(A73,'Données projet'!$A$165:$I$185,6,0)*VLOOKUP('Données projet'!$B$14,Paramètres!$A$1:$I$89,7,0))</f>
        <v>0.1075</v>
      </c>
      <c r="DZ73" s="16">
        <f>IF(ISNA(VLOOKUP(A73,'Données projet'!$A$165:$I$185,7,0)),0%,VLOOKUP(A73,'Données projet'!$A$165:$I$185,7,0))</f>
        <v>0.25</v>
      </c>
      <c r="EA73" s="21">
        <f>EXP(-LN(2)/35)*EA72+(1-EXP(-LN(2)/35))/(LN(2)/35)*DW73*DX73*VLOOKUP('Données projet'!$B$14,Paramètres!$A$1:$I$89,3,0)*0.475*44/12</f>
        <v>3.6061803096920912</v>
      </c>
      <c r="EB73" s="21">
        <f>EXP(-LN(2)/25)*EB72+(1-EXP(-LN(2)/25))/(LN(2)/25)*Calculateur!DW73*Calculateur!DY73*VLOOKUP('Données projet'!$B$14,Paramètres!$A$1:$I$89,3,0)*0.475*44/12</f>
        <v>6.5661987567136455</v>
      </c>
      <c r="EC73" s="21">
        <f>EXP(-LN(2)/2)*EC72+(1-EXP(-LN(2)/2))/(LN(2)/2)*DW73*DZ73*VLOOKUP('Données projet'!$B$14,Paramètres!$A$1:$I$89,3,0)*0.475*44/12</f>
        <v>2.3161422767236099</v>
      </c>
      <c r="ED73" s="22">
        <f t="shared" si="72"/>
        <v>12.488521343129348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1.1368683772161603E-13</v>
      </c>
      <c r="EK73" s="17">
        <f>EJ73*VLOOKUP('Données projet'!$B$15,Paramètres!$A$1:$I$89,3,0)*VLOOKUP('Données projet'!$B$15,Paramètres!$A$1:$I$89,5,0)</f>
        <v>9.2222762759774927E-14</v>
      </c>
      <c r="EL73" s="13">
        <f t="shared" si="99"/>
        <v>1.3985662224947967E-12</v>
      </c>
      <c r="EM73" s="20">
        <f t="shared" si="73"/>
        <v>2.5964574826517121E-12</v>
      </c>
      <c r="EN73" s="59">
        <f t="shared" si="74"/>
        <v>293.33333333333593</v>
      </c>
      <c r="EO73" s="59">
        <f ca="1">AVERAGE(OFFSET($EN$3,0,0,'Données projet'!$E$15+1,1))-AVERAGE(OFFSET($H$3,0,0,'Données projet'!$E$15+1,1))</f>
        <v>159.68591355116837</v>
      </c>
      <c r="EP73" s="59">
        <f t="shared" si="100"/>
        <v>284.32631786390112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8.0509144291834946</v>
      </c>
      <c r="EW73" s="21">
        <f>EXP(-LN(2)/25)*EW72+(1-EXP(-LN(2)/25))/(LN(2)/25)*Calculateur!ER73*Calculateur!ET73*VLOOKUP('Données projet'!$B$15,Paramètres!$A$1:$I$89,3,0)*0.475*44/12</f>
        <v>8.4095299205070067</v>
      </c>
      <c r="EX73" s="21">
        <f>EXP(-LN(2)/2)*EX72+(1-EXP(-LN(2)/2))/(LN(2)/2)*ER73*EU73*VLOOKUP('Données projet'!$B$15,Paramètres!$A$1:$I$89,3,0)*0.475*44/12</f>
        <v>8.9056745589647984E-4</v>
      </c>
      <c r="EY73" s="22">
        <f t="shared" si="75"/>
        <v>16.461334917146399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263</v>
      </c>
      <c r="FC73" s="12">
        <f>VLOOKUP(A73,'Données projet'!$A$217:$I$237,9,0)</f>
        <v>3.8</v>
      </c>
      <c r="FD73" s="12">
        <f t="array" ref="FD73">INDEX(FC:FC,MIN(IF(ISNUMBER(FC73:FC269),ROW(FC73:FC269),"")))</f>
        <v>3.8</v>
      </c>
      <c r="FE73" s="12">
        <f>IF('Données projet'!$A$218&gt;35,FE72+FD73-FM72,IF(A73&lt;'Données projet'!$A$218,$FB$205^A73,IF(A73='Données projet'!$A$218,'Données projet'!$B$218,FE72+FD73-FM72)))</f>
        <v>262.99999999999989</v>
      </c>
      <c r="FF73" s="17">
        <f>FE73*VLOOKUP('Données projet'!$B$16,Paramètres!$A$1:$I$89,3,0)*VLOOKUP('Données projet'!$B$16,Paramètres!$A$1:$I$89,5,0)</f>
        <v>209.2427999999999</v>
      </c>
      <c r="FG73" s="13">
        <f t="shared" si="101"/>
        <v>51.770083677016814</v>
      </c>
      <c r="FH73" s="20">
        <f t="shared" si="76"/>
        <v>454.59743907080406</v>
      </c>
      <c r="FI73" s="59">
        <f t="shared" si="77"/>
        <v>747.93077240413731</v>
      </c>
      <c r="FJ73" s="59">
        <f ca="1">AVERAGE(OFFSET($FI$3,0,0,'Données projet'!$E$16+1,1))-AVERAGE(OFFSET($H$3,0,0,'Données projet'!$E$16+1,1))</f>
        <v>299.10536994156814</v>
      </c>
      <c r="FK73" s="59">
        <f t="shared" si="102"/>
        <v>292.57799203101769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0.13250000000000001</v>
      </c>
      <c r="FO73" s="16">
        <f>IF(ISNA(VLOOKUP(A73,'Données projet'!$A$217:$I$237,6,0)),0%,VLOOKUP(A73,'Données projet'!$A$217:$I$237,6,0)*VLOOKUP('Données projet'!$B$16,Paramètres!$A$1:$I$89,7,0))</f>
        <v>0.13250000000000001</v>
      </c>
      <c r="FP73" s="16">
        <f>IF(ISNA(VLOOKUP(A73,'Données projet'!$A$217:$I$237,7,0)),0%,VLOOKUP(A73,'Données projet'!$A$217:$I$237,7,0))</f>
        <v>0.25</v>
      </c>
      <c r="FQ73" s="21">
        <f>EXP(-LN(2)/35)*FQ72+(1-EXP(-LN(2)/35))/(LN(2)/35)*FM73*FN73*VLOOKUP('Données projet'!$B$16,Paramètres!$A$1:$I$89,3,0)*0.475*44/12</f>
        <v>9.2963181724445558</v>
      </c>
      <c r="FR73" s="21">
        <f>EXP(-LN(2)/25)*FR72+(1-EXP(-LN(2)/25))/(LN(2)/25)*Calculateur!FM73*Calculateur!FO73*VLOOKUP('Données projet'!$B$16,Paramètres!$A$1:$I$89,3,0)*0.475*44/12</f>
        <v>12.576987487736819</v>
      </c>
      <c r="FS73" s="21">
        <f>EXP(-LN(2)/2)*FS72+(1-EXP(-LN(2)/2))/(LN(2)/2)*FM73*FP73*VLOOKUP('Données projet'!$B$16,Paramètres!$A$1:$I$89,3,0)*0.475*44/12</f>
        <v>2.3294785402012592</v>
      </c>
      <c r="FT73" s="22">
        <f t="shared" si="78"/>
        <v>24.202784200382631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5.6843418860808015E-14</v>
      </c>
      <c r="GA73" s="17">
        <f>FZ73*VLOOKUP('Données projet'!$B$17,Paramètres!$A$1:$I$89,3,0)*VLOOKUP('Données projet'!$B$17,Paramètres!$A$1:$I$89,5,0)</f>
        <v>5.1431925385259088E-14</v>
      </c>
      <c r="GB73" s="13">
        <f t="shared" si="103"/>
        <v>8.3482866290946129E-13</v>
      </c>
      <c r="GC73" s="20">
        <f t="shared" si="79"/>
        <v>1.5435705246133045E-12</v>
      </c>
      <c r="GD73" s="59">
        <f t="shared" si="80"/>
        <v>293.33333333333485</v>
      </c>
      <c r="GE73" s="59">
        <f ca="1">AVERAGE(OFFSET($GD$3,0,0,'Données projet'!$E$17+1,1))-AVERAGE(OFFSET($H$3,0,0,'Données projet'!$E$17+1,1))</f>
        <v>204.78565758021779</v>
      </c>
      <c r="GF73" s="59">
        <f t="shared" si="104"/>
        <v>287.25131613242439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9.5139530850977803</v>
      </c>
      <c r="GM73" s="21">
        <f>EXP(-LN(2)/25)*GM72+(1-EXP(-LN(2)/25))/(LN(2)/25)*Calculateur!GH73*Calculateur!GJ73*VLOOKUP('Données projet'!$B$17,Paramètres!$A$1:$I$89,3,0)*0.475*44/12</f>
        <v>6.6085013574960305</v>
      </c>
      <c r="GN73" s="21">
        <f>EXP(-LN(2)/2)*GN72+(1-EXP(-LN(2)/2))/(LN(2)/2)*GH73*GK73*VLOOKUP('Données projet'!$B$17,Paramètres!$A$1:$I$89,3,0)*0.475*44/12</f>
        <v>2.3807175951892955E-3</v>
      </c>
      <c r="GO73" s="21">
        <f t="shared" si="81"/>
        <v>16.124835160189001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5.6843418860808015E-14</v>
      </c>
      <c r="GV73" s="17">
        <f>GU73*VLOOKUP('Données projet'!$B$18,Paramètres!$A$1:$I$89,3,0)*VLOOKUP('Données projet'!$B$18,Paramètres!$A$1:$I$89,5,0)</f>
        <v>4.4337866711430253E-14</v>
      </c>
      <c r="GW73" s="13">
        <f t="shared" si="105"/>
        <v>7.3222115536967035E-13</v>
      </c>
      <c r="GX73" s="20">
        <f t="shared" si="82"/>
        <v>1.3525069634579169E-12</v>
      </c>
      <c r="GY73" s="59">
        <f t="shared" si="83"/>
        <v>293.33333333333468</v>
      </c>
      <c r="GZ73" s="59">
        <f ca="1">AVERAGE(OFFSET($GY$3,0,0,'Données projet'!$E$18+1,1))-AVERAGE(OFFSET($H$3,0,0,'Données projet'!$E$18+1,1))</f>
        <v>288.82868507674738</v>
      </c>
      <c r="HA73" s="59">
        <f t="shared" si="106"/>
        <v>283.48738729114024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42.155404179841454</v>
      </c>
      <c r="HH73" s="21">
        <f>EXP(-LN(2)/25)*HH72+(1-EXP(-LN(2)/25))/(LN(2)/25)*Calculateur!HC73*Calculateur!HE73*VLOOKUP('Données projet'!$B$18,Paramètres!$A$1:$I$89,3,0)*0.475*44/12</f>
        <v>41.177524144145067</v>
      </c>
      <c r="HI73" s="21">
        <f>EXP(-LN(2)/2)*HI72+(1-EXP(-LN(2)/2))/(LN(2)/2)*HC73*HF73*VLOOKUP('Données projet'!$B$18,Paramètres!$A$1:$I$89,3,0)*0.475*44/12</f>
        <v>42.960994908953396</v>
      </c>
      <c r="HJ73" s="22">
        <f t="shared" si="84"/>
        <v>126.29392323293992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9.7839999999999971</v>
      </c>
      <c r="N74" s="13">
        <f>IF('Données projet'!$A$36&gt;35,N73+M74-V73,IF(A74&lt;'Données projet'!$A$36,$K$205^A74,IF(A74='Données projet'!$A$36,'Données projet'!$B$36,N73+M74-V73)))</f>
        <v>431.97399999999976</v>
      </c>
      <c r="O74" s="13">
        <f>N74*VLOOKUP('Données projet'!$B$9,Paramètres!$A$1:$I$89,3,0)*VLOOKUP('Données projet'!$B$9,Paramètres!$A$1:$I$89,5,0)</f>
        <v>258.32045199999988</v>
      </c>
      <c r="P74" s="13">
        <f t="shared" si="87"/>
        <v>62.364231271731597</v>
      </c>
      <c r="Q74" s="20">
        <f t="shared" si="54"/>
        <v>558.52582336493231</v>
      </c>
      <c r="R74" s="59">
        <f t="shared" si="55"/>
        <v>851.85915669826568</v>
      </c>
      <c r="S74" s="59">
        <f ca="1">AVERAGE(OFFSET($R$3,0,0,'Données projet'!$E$9+1,1))-AVERAGE(OFFSET($H$3,0,0,'Données projet'!$E$9+1,1))</f>
        <v>349.71285006949597</v>
      </c>
      <c r="T74" s="59">
        <f t="shared" si="88"/>
        <v>258.51550516456842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50.055674330846486</v>
      </c>
      <c r="AA74" s="21">
        <f>EXP(-LN(2)/25)*AA73+(1-EXP(-LN(2)/25))/(LN(2)/25)*Calculateur!V74*Calculateur!X74*VLOOKUP('Données projet'!$B$9,Paramètres!$A$1:$I$89,3,0)*0.475*44/12</f>
        <v>18.946772642357956</v>
      </c>
      <c r="AB74" s="21">
        <f>EXP(-LN(2)/2)*AB73+(1-EXP(-LN(2)/2))/(LN(2)/2)*V74*Y74*VLOOKUP('Données projet'!$B$9,Paramètres!$A$1:$I$89,3,0)*0.475*44/12</f>
        <v>6.7155753412215047</v>
      </c>
      <c r="AC74" s="22">
        <f t="shared" si="57"/>
        <v>75.718022314425951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9.65625</v>
      </c>
      <c r="AI74" s="13">
        <f>IF('Données projet'!$A$62&gt;35,AI73+AH74-AQ73,IF(A74&lt;'Données projet'!$A$62,$AF$205^A74,IF(A74='Données projet'!$A$62,'Données projet'!$B$62,AI73+AH74-AQ73)))</f>
        <v>235.13499999999996</v>
      </c>
      <c r="AJ74" s="13">
        <f>AI74*VLOOKUP('Données projet'!$B$10,Paramètres!$A$1:$I$89,3,0)*VLOOKUP('Données projet'!$B$10,Paramètres!$A$1:$I$89,5,0)</f>
        <v>223.75446599999998</v>
      </c>
      <c r="AK74" s="13">
        <f t="shared" si="89"/>
        <v>54.930094969115991</v>
      </c>
      <c r="AL74" s="20">
        <f t="shared" si="58"/>
        <v>485.37561035454365</v>
      </c>
      <c r="AM74" s="59">
        <f t="shared" si="59"/>
        <v>778.70894368787697</v>
      </c>
      <c r="AN74" s="59">
        <f ca="1">AVERAGE(OFFSET($AM$3,0,0,'Données projet'!$E$10+1,1))-AVERAGE(OFFSET($H$3,0,0,'Données projet'!$E$10+1,1))</f>
        <v>449.28947235329758</v>
      </c>
      <c r="AO74" s="59">
        <f t="shared" si="90"/>
        <v>289.36994109443964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16.2678229150489</v>
      </c>
      <c r="AV74" s="21">
        <f>EXP(-LN(2)/25)*AV73+(1-EXP(-LN(2)/25))/(LN(2)/25)*Calculateur!AQ74*Calculateur!AS74*VLOOKUP('Données projet'!$B$10,Paramètres!$A$1:$I$89,3,0)*0.475*44/12</f>
        <v>26.136623070495748</v>
      </c>
      <c r="AW74" s="21">
        <f>EXP(-LN(2)/2)*AW73+(1-EXP(-LN(2)/2))/(LN(2)/2)*AQ74*AT74*VLOOKUP('Données projet'!$B$10,Paramètres!$A$1:$I$89,3,0)*0.475*44/12</f>
        <v>1.0203124806635082</v>
      </c>
      <c r="AX74" s="21">
        <f t="shared" si="60"/>
        <v>43.424758466208154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254.93531700000028</v>
      </c>
      <c r="BF74" s="13">
        <f t="shared" si="91"/>
        <v>61.641559307209917</v>
      </c>
      <c r="BG74" s="20">
        <f t="shared" si="61"/>
        <v>551.37139290172445</v>
      </c>
      <c r="BH74" s="59">
        <f t="shared" si="62"/>
        <v>844.70472623505771</v>
      </c>
      <c r="BI74" s="59">
        <f ca="1">AVERAGE(OFFSET($BH$3,0,0,'Données projet'!$E$11+1,1))-AVERAGE(OFFSET($H$3,0,0,'Données projet'!$E$11+1,1))</f>
        <v>635.71275911100679</v>
      </c>
      <c r="BJ74" s="59">
        <f t="shared" si="92"/>
        <v>281.7776857269169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7.3188765917538046</v>
      </c>
      <c r="BQ74" s="21">
        <f>EXP(-LN(2)/25)*BQ73+(1-EXP(-LN(2)/25))/(LN(2)/25)*Calculateur!BL74*Calculateur!BN74*VLOOKUP('Données projet'!$B$11,Paramètres!$A$1:$I$89,3,0)*0.475*44/12</f>
        <v>29.440164391855873</v>
      </c>
      <c r="BR74" s="21">
        <f>EXP(-LN(2)/2)*BR73+(1-EXP(-LN(2)/2))/(LN(2)/2)*BL74*BO74*VLOOKUP('Données projet'!$B$11,Paramètres!$A$1:$I$89,3,0)*0.475*44/12</f>
        <v>0.90501754445234595</v>
      </c>
      <c r="BS74" s="22">
        <f t="shared" si="63"/>
        <v>37.664058528062029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6.7437500000000021</v>
      </c>
      <c r="BY74" s="12">
        <f>IF('Données projet'!$A$114&gt;35,BY73+BX74-CG73,IF(A74&lt;'Données projet'!$A$114,$BV$205^A74,IF(A74='Données projet'!$A$114,'Données projet'!$B$114,BY73+BX74-CG73)))</f>
        <v>162.0575</v>
      </c>
      <c r="BZ74" s="13">
        <f>BY74*VLOOKUP('Données projet'!$B$12,Paramètres!$A$1:$I$89,3,0)*VLOOKUP('Données projet'!$B$12,Paramètres!$A$1:$I$89,5,0)</f>
        <v>184.55108100000001</v>
      </c>
      <c r="CA74" s="13">
        <f t="shared" si="93"/>
        <v>46.333241717897458</v>
      </c>
      <c r="CB74" s="20">
        <f t="shared" si="64"/>
        <v>402.12352873367144</v>
      </c>
      <c r="CC74" s="59">
        <f t="shared" si="65"/>
        <v>695.45686206700475</v>
      </c>
      <c r="CD74" s="59">
        <f ca="1">AVERAGE(OFFSET($CC$3,0,0,'Données projet'!$E$12+1,1))-AVERAGE(OFFSET($H$3,0,0,'Données projet'!$E$12+1,1))</f>
        <v>593.28343396240075</v>
      </c>
      <c r="CE74" s="59">
        <f t="shared" si="94"/>
        <v>289.66477662068695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40.400101758337136</v>
      </c>
      <c r="CM74" s="21">
        <f>EXP(-LN(2)/2)*CM73+(1-EXP(-LN(2)/2))/(LN(2)/2)*CG74*CJ74*VLOOKUP('Données projet'!$B$12,Paramètres!$A$1:$I$89,3,0)*0.475*44/12</f>
        <v>4.8825216619398599</v>
      </c>
      <c r="CN74" s="22">
        <f t="shared" si="66"/>
        <v>45.282623420276998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2.5641025641025692</v>
      </c>
      <c r="CT74" s="12">
        <f>IF('Données projet'!$A$140&gt;35,CT73+CS74-DB73,IF(A74&lt;'Données projet'!$A$140,$CQ$205^A74,IF(A74='Données projet'!$A$140,'Données projet'!$B$140,CT73+CS74-DB73)))</f>
        <v>137.1794871794873</v>
      </c>
      <c r="CU74" s="17">
        <f>CT74*VLOOKUP('Données projet'!$B$13,Paramètres!$A$1:$I$89,3,0)*VLOOKUP('Données projet'!$B$13,Paramètres!$A$1:$I$89,5,0)</f>
        <v>143.38000000000014</v>
      </c>
      <c r="CV74" s="13">
        <f t="shared" si="95"/>
        <v>37.070237688614164</v>
      </c>
      <c r="CW74" s="20">
        <f t="shared" si="67"/>
        <v>314.28416397433654</v>
      </c>
      <c r="CX74" s="59">
        <f t="shared" si="68"/>
        <v>607.61749730766985</v>
      </c>
      <c r="CY74" s="59">
        <f ca="1">AVERAGE(OFFSET($CX$3,0,0,'Données projet'!$E$13+1,1))-AVERAGE(OFFSET($H$3,0,0,'Données projet'!$E$13+1,1))</f>
        <v>260.65406541614402</v>
      </c>
      <c r="CZ74" s="59">
        <f t="shared" si="96"/>
        <v>277.63456890196886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2.8282569758763123</v>
      </c>
      <c r="DG74" s="21">
        <f>EXP(-LN(2)/25)*DG73+(1-EXP(-LN(2)/25))/(LN(2)/25)*Calculateur!DB74*Calculateur!DD74*VLOOKUP('Données projet'!$B$13,Paramètres!$A$1:$I$89,3,0)*0.475*44/12</f>
        <v>25.069656586305264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27.897913562181575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2.9487179487179502</v>
      </c>
      <c r="DO74" s="12">
        <f>IF('Données projet'!$A$166&gt;35,DO73+DN74-DW73,IF(A74&lt;'Données projet'!$A$166,$DL$205^A74,IF(A74='Données projet'!$A$166,'Données projet'!$B$166,DO73+DN74-DW73)))</f>
        <v>142.69230769230776</v>
      </c>
      <c r="DP74" s="17">
        <f>DO74*VLOOKUP('Données projet'!$B$14,Paramètres!$A$1:$I$89,3,0)*VLOOKUP('Données projet'!$B$14,Paramètres!$A$1:$I$89,5,0)</f>
        <v>93.492000000000047</v>
      </c>
      <c r="DQ74" s="13">
        <f t="shared" si="97"/>
        <v>25.405536424380745</v>
      </c>
      <c r="DR74" s="20">
        <f t="shared" si="70"/>
        <v>207.07987593912989</v>
      </c>
      <c r="DS74" s="59">
        <f t="shared" si="71"/>
        <v>500.41320927246318</v>
      </c>
      <c r="DT74" s="59">
        <f ca="1">AVERAGE(OFFSET($DS$3,0,0,'Données projet'!$E$14+1,1))-AVERAGE(OFFSET($H$3,0,0,'Données projet'!$E$14+1,1))</f>
        <v>181.4272795535777</v>
      </c>
      <c r="DU74" s="59">
        <f t="shared" si="98"/>
        <v>187.67131775419904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3.5354653133718306</v>
      </c>
      <c r="EB74" s="21">
        <f>EXP(-LN(2)/25)*EB73+(1-EXP(-LN(2)/25))/(LN(2)/25)*Calculateur!DW74*Calculateur!DY74*VLOOKUP('Données projet'!$B$14,Paramètres!$A$1:$I$89,3,0)*0.475*44/12</f>
        <v>6.3866457064099258</v>
      </c>
      <c r="EC74" s="21">
        <f>EXP(-LN(2)/2)*EC73+(1-EXP(-LN(2)/2))/(LN(2)/2)*DW74*DZ74*VLOOKUP('Données projet'!$B$14,Paramètres!$A$1:$I$89,3,0)*0.475*44/12</f>
        <v>1.6377599100641138</v>
      </c>
      <c r="ED74" s="22">
        <f t="shared" si="72"/>
        <v>11.55987092984587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1.1368683772161603E-13</v>
      </c>
      <c r="EK74" s="17">
        <f>EJ74*VLOOKUP('Données projet'!$B$15,Paramètres!$A$1:$I$89,3,0)*VLOOKUP('Données projet'!$B$15,Paramètres!$A$1:$I$89,5,0)</f>
        <v>9.2222762759774927E-14</v>
      </c>
      <c r="EL74" s="13">
        <f t="shared" si="99"/>
        <v>1.3985662224947967E-12</v>
      </c>
      <c r="EM74" s="20">
        <f t="shared" si="73"/>
        <v>2.5964574826517121E-12</v>
      </c>
      <c r="EN74" s="59">
        <f t="shared" si="74"/>
        <v>293.33333333333593</v>
      </c>
      <c r="EO74" s="59">
        <f ca="1">AVERAGE(OFFSET($EN$3,0,0,'Données projet'!$E$15+1,1))-AVERAGE(OFFSET($H$3,0,0,'Données projet'!$E$15+1,1))</f>
        <v>159.68591355116837</v>
      </c>
      <c r="EP74" s="59">
        <f t="shared" si="100"/>
        <v>284.32631786390112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7.8930409078001293</v>
      </c>
      <c r="EW74" s="21">
        <f>EXP(-LN(2)/25)*EW73+(1-EXP(-LN(2)/25))/(LN(2)/25)*Calculateur!ER74*Calculateur!ET74*VLOOKUP('Données projet'!$B$15,Paramètres!$A$1:$I$89,3,0)*0.475*44/12</f>
        <v>8.1795708825927846</v>
      </c>
      <c r="EX74" s="21">
        <f>EXP(-LN(2)/2)*EX73+(1-EXP(-LN(2)/2))/(LN(2)/2)*ER74*EU74*VLOOKUP('Données projet'!$B$15,Paramètres!$A$1:$I$89,3,0)*0.475*44/12</f>
        <v>6.2972628716845248E-4</v>
      </c>
      <c r="EY74" s="22">
        <f t="shared" si="75"/>
        <v>16.073241516680081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3.4</v>
      </c>
      <c r="FE74" s="12">
        <f>IF('Données projet'!$A$218&gt;35,FE73+FD74-FM73,IF(A74&lt;'Données projet'!$A$218,$FB$205^A74,IF(A74='Données projet'!$A$218,'Données projet'!$B$218,FE73+FD74-FM73)))</f>
        <v>256.39999999999986</v>
      </c>
      <c r="FF74" s="17">
        <f>FE74*VLOOKUP('Données projet'!$B$16,Paramètres!$A$1:$I$89,3,0)*VLOOKUP('Données projet'!$B$16,Paramètres!$A$1:$I$89,5,0)</f>
        <v>203.99183999999988</v>
      </c>
      <c r="FG74" s="13">
        <f t="shared" si="101"/>
        <v>50.620441749347997</v>
      </c>
      <c r="FH74" s="20">
        <f t="shared" si="76"/>
        <v>443.44972404678083</v>
      </c>
      <c r="FI74" s="59">
        <f t="shared" si="77"/>
        <v>736.78305738011409</v>
      </c>
      <c r="FJ74" s="59">
        <f ca="1">AVERAGE(OFFSET($FI$3,0,0,'Données projet'!$E$16+1,1))-AVERAGE(OFFSET($H$3,0,0,'Données projet'!$E$16+1,1))</f>
        <v>299.10536994156814</v>
      </c>
      <c r="FK74" s="59">
        <f t="shared" si="102"/>
        <v>292.57799203101769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9.1140230432771183</v>
      </c>
      <c r="FR74" s="21">
        <f>EXP(-LN(2)/25)*FR73+(1-EXP(-LN(2)/25))/(LN(2)/25)*Calculateur!FM74*Calculateur!FO74*VLOOKUP('Données projet'!$B$16,Paramètres!$A$1:$I$89,3,0)*0.475*44/12</f>
        <v>12.233069103489628</v>
      </c>
      <c r="FS74" s="21">
        <f>EXP(-LN(2)/2)*FS73+(1-EXP(-LN(2)/2))/(LN(2)/2)*FM74*FP74*VLOOKUP('Données projet'!$B$16,Paramètres!$A$1:$I$89,3,0)*0.475*44/12</f>
        <v>1.64719007240485</v>
      </c>
      <c r="FT74" s="22">
        <f t="shared" si="78"/>
        <v>22.994282219171598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5.6843418860808015E-14</v>
      </c>
      <c r="GA74" s="17">
        <f>FZ74*VLOOKUP('Données projet'!$B$17,Paramètres!$A$1:$I$89,3,0)*VLOOKUP('Données projet'!$B$17,Paramètres!$A$1:$I$89,5,0)</f>
        <v>5.1431925385259088E-14</v>
      </c>
      <c r="GB74" s="13">
        <f t="shared" si="103"/>
        <v>8.3482866290946129E-13</v>
      </c>
      <c r="GC74" s="20">
        <f t="shared" si="79"/>
        <v>1.5435705246133045E-12</v>
      </c>
      <c r="GD74" s="59">
        <f t="shared" si="80"/>
        <v>293.33333333333485</v>
      </c>
      <c r="GE74" s="59">
        <f ca="1">AVERAGE(OFFSET($GD$3,0,0,'Données projet'!$E$17+1,1))-AVERAGE(OFFSET($H$3,0,0,'Données projet'!$E$17+1,1))</f>
        <v>204.78565758021779</v>
      </c>
      <c r="GF74" s="59">
        <f t="shared" si="104"/>
        <v>287.25131613242439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9.3273902680374015</v>
      </c>
      <c r="GM74" s="21">
        <f>EXP(-LN(2)/25)*GM73+(1-EXP(-LN(2)/25))/(LN(2)/25)*Calculateur!GH74*Calculateur!GJ74*VLOOKUP('Données projet'!$B$17,Paramètres!$A$1:$I$89,3,0)*0.475*44/12</f>
        <v>6.4277915403493191</v>
      </c>
      <c r="GN74" s="21">
        <f>EXP(-LN(2)/2)*GN73+(1-EXP(-LN(2)/2))/(LN(2)/2)*GH74*GK74*VLOOKUP('Données projet'!$B$17,Paramètres!$A$1:$I$89,3,0)*0.475*44/12</f>
        <v>1.6834215556484808E-3</v>
      </c>
      <c r="GO74" s="21">
        <f t="shared" si="81"/>
        <v>15.756865229942369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5.6843418860808015E-14</v>
      </c>
      <c r="GV74" s="17">
        <f>GU74*VLOOKUP('Données projet'!$B$18,Paramètres!$A$1:$I$89,3,0)*VLOOKUP('Données projet'!$B$18,Paramètres!$A$1:$I$89,5,0)</f>
        <v>4.4337866711430253E-14</v>
      </c>
      <c r="GW74" s="13">
        <f t="shared" si="105"/>
        <v>7.3222115536967035E-13</v>
      </c>
      <c r="GX74" s="20">
        <f t="shared" si="82"/>
        <v>1.3525069634579169E-12</v>
      </c>
      <c r="GY74" s="59">
        <f t="shared" si="83"/>
        <v>293.33333333333468</v>
      </c>
      <c r="GZ74" s="59">
        <f ca="1">AVERAGE(OFFSET($GY$3,0,0,'Données projet'!$E$18+1,1))-AVERAGE(OFFSET($H$3,0,0,'Données projet'!$E$18+1,1))</f>
        <v>288.82868507674738</v>
      </c>
      <c r="HA74" s="59">
        <f t="shared" si="106"/>
        <v>283.48738729114024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41.328762416132442</v>
      </c>
      <c r="HH74" s="21">
        <f>EXP(-LN(2)/25)*HH73+(1-EXP(-LN(2)/25))/(LN(2)/25)*Calculateur!HC74*Calculateur!HE74*VLOOKUP('Données projet'!$B$18,Paramètres!$A$1:$I$89,3,0)*0.475*44/12</f>
        <v>40.051522580991538</v>
      </c>
      <c r="HI74" s="21">
        <f>EXP(-LN(2)/2)*HI73+(1-EXP(-LN(2)/2))/(LN(2)/2)*HC74*HF74*VLOOKUP('Données projet'!$B$18,Paramètres!$A$1:$I$89,3,0)*0.475*44/12</f>
        <v>30.378010826641692</v>
      </c>
      <c r="HJ74" s="22">
        <f t="shared" si="84"/>
        <v>111.75829582376568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9.7839999999999971</v>
      </c>
      <c r="N75" s="13">
        <f>IF('Données projet'!$A$36&gt;35,N74+M75-V74,IF(A75&lt;'Données projet'!$A$36,$K$205^A75,IF(A75='Données projet'!$A$36,'Données projet'!$B$36,N74+M75-V74)))</f>
        <v>441.75799999999975</v>
      </c>
      <c r="O75" s="13">
        <f>N75*VLOOKUP('Données projet'!$B$9,Paramètres!$A$1:$I$89,3,0)*VLOOKUP('Données projet'!$B$9,Paramètres!$A$1:$I$89,5,0)</f>
        <v>264.1712839999999</v>
      </c>
      <c r="P75" s="13">
        <f t="shared" si="87"/>
        <v>63.610701832955151</v>
      </c>
      <c r="Q75" s="20">
        <f t="shared" si="54"/>
        <v>570.88695865906334</v>
      </c>
      <c r="R75" s="59">
        <f t="shared" si="55"/>
        <v>864.2202919923966</v>
      </c>
      <c r="S75" s="59">
        <f ca="1">AVERAGE(OFFSET($R$3,0,0,'Données projet'!$E$9+1,1))-AVERAGE(OFFSET($H$3,0,0,'Données projet'!$E$9+1,1))</f>
        <v>349.71285006949597</v>
      </c>
      <c r="T75" s="59">
        <f t="shared" si="88"/>
        <v>258.51550516456842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49.074113088165248</v>
      </c>
      <c r="AA75" s="21">
        <f>EXP(-LN(2)/25)*AA74+(1-EXP(-LN(2)/25))/(LN(2)/25)*Calculateur!V75*Calculateur!X75*VLOOKUP('Données projet'!$B$9,Paramètres!$A$1:$I$89,3,0)*0.475*44/12</f>
        <v>18.428672148085209</v>
      </c>
      <c r="AB75" s="21">
        <f>EXP(-LN(2)/2)*AB74+(1-EXP(-LN(2)/2))/(LN(2)/2)*V75*Y75*VLOOKUP('Données projet'!$B$9,Paramètres!$A$1:$I$89,3,0)*0.475*44/12</f>
        <v>4.7486288633468892</v>
      </c>
      <c r="AC75" s="22">
        <f t="shared" si="57"/>
        <v>72.251414099597355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9.65625</v>
      </c>
      <c r="AI75" s="13">
        <f>IF('Données projet'!$A$62&gt;35,AI74+AH75-AQ74,IF(A75&lt;'Données projet'!$A$62,$AF$205^A75,IF(A75='Données projet'!$A$62,'Données projet'!$B$62,AI74+AH75-AQ74)))</f>
        <v>244.79124999999996</v>
      </c>
      <c r="AJ75" s="13">
        <f>AI75*VLOOKUP('Données projet'!$B$10,Paramètres!$A$1:$I$89,3,0)*VLOOKUP('Données projet'!$B$10,Paramètres!$A$1:$I$89,5,0)</f>
        <v>232.94335349999997</v>
      </c>
      <c r="AK75" s="13">
        <f t="shared" si="89"/>
        <v>56.918631610926248</v>
      </c>
      <c r="AL75" s="20">
        <f t="shared" si="58"/>
        <v>504.84295740152987</v>
      </c>
      <c r="AM75" s="59">
        <f t="shared" si="59"/>
        <v>798.17629073486319</v>
      </c>
      <c r="AN75" s="59">
        <f ca="1">AVERAGE(OFFSET($AM$3,0,0,'Données projet'!$E$10+1,1))-AVERAGE(OFFSET($H$3,0,0,'Données projet'!$E$10+1,1))</f>
        <v>449.28947235329758</v>
      </c>
      <c r="AO75" s="59">
        <f t="shared" si="90"/>
        <v>289.36994109443964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15.948820830077015</v>
      </c>
      <c r="AV75" s="21">
        <f>EXP(-LN(2)/25)*AV74+(1-EXP(-LN(2)/25))/(LN(2)/25)*Calculateur!AQ75*Calculateur!AS75*VLOOKUP('Données projet'!$B$10,Paramètres!$A$1:$I$89,3,0)*0.475*44/12</f>
        <v>25.421915738167769</v>
      </c>
      <c r="AW75" s="21">
        <f>EXP(-LN(2)/2)*AW74+(1-EXP(-LN(2)/2))/(LN(2)/2)*AQ75*AT75*VLOOKUP('Données projet'!$B$10,Paramètres!$A$1:$I$89,3,0)*0.475*44/12</f>
        <v>0.72146987400643481</v>
      </c>
      <c r="AX75" s="21">
        <f t="shared" si="60"/>
        <v>42.092206442251218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263.74241400000022</v>
      </c>
      <c r="BF75" s="13">
        <f t="shared" si="91"/>
        <v>63.519444659628142</v>
      </c>
      <c r="BG75" s="20">
        <f t="shared" si="61"/>
        <v>569.98107049885277</v>
      </c>
      <c r="BH75" s="59">
        <f t="shared" si="62"/>
        <v>863.31440383218614</v>
      </c>
      <c r="BI75" s="59">
        <f ca="1">AVERAGE(OFFSET($BH$3,0,0,'Données projet'!$E$11+1,1))-AVERAGE(OFFSET($H$3,0,0,'Données projet'!$E$11+1,1))</f>
        <v>635.71275911100679</v>
      </c>
      <c r="BJ75" s="59">
        <f t="shared" si="92"/>
        <v>281.7776857269169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7.175357885863443</v>
      </c>
      <c r="BQ75" s="21">
        <f>EXP(-LN(2)/25)*BQ74+(1-EXP(-LN(2)/25))/(LN(2)/25)*Calculateur!BL75*Calculateur!BN75*VLOOKUP('Données projet'!$B$11,Paramètres!$A$1:$I$89,3,0)*0.475*44/12</f>
        <v>28.635121548369614</v>
      </c>
      <c r="BR75" s="21">
        <f>EXP(-LN(2)/2)*BR74+(1-EXP(-LN(2)/2))/(LN(2)/2)*BL75*BO75*VLOOKUP('Données projet'!$B$11,Paramètres!$A$1:$I$89,3,0)*0.475*44/12</f>
        <v>0.63994404277505157</v>
      </c>
      <c r="BS75" s="22">
        <f t="shared" si="63"/>
        <v>36.450423477008108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6.7437500000000021</v>
      </c>
      <c r="BY75" s="12">
        <f>IF('Données projet'!$A$114&gt;35,BY74+BX75-CG74,IF(A75&lt;'Données projet'!$A$114,$BV$205^A75,IF(A75='Données projet'!$A$114,'Données projet'!$B$114,BY74+BX75-CG74)))</f>
        <v>168.80125000000001</v>
      </c>
      <c r="BZ75" s="13">
        <f>BY75*VLOOKUP('Données projet'!$B$12,Paramètres!$A$1:$I$89,3,0)*VLOOKUP('Données projet'!$B$12,Paramètres!$A$1:$I$89,5,0)</f>
        <v>192.2308635</v>
      </c>
      <c r="CA75" s="13">
        <f t="shared" si="93"/>
        <v>48.032829524396625</v>
      </c>
      <c r="CB75" s="20">
        <f t="shared" si="64"/>
        <v>418.45926535082413</v>
      </c>
      <c r="CC75" s="59">
        <f t="shared" si="65"/>
        <v>711.79259868415738</v>
      </c>
      <c r="CD75" s="59">
        <f ca="1">AVERAGE(OFFSET($CC$3,0,0,'Données projet'!$E$12+1,1))-AVERAGE(OFFSET($H$3,0,0,'Données projet'!$E$12+1,1))</f>
        <v>593.28343396240075</v>
      </c>
      <c r="CE75" s="59">
        <f t="shared" si="94"/>
        <v>289.66477662068695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39.295358851206394</v>
      </c>
      <c r="CM75" s="21">
        <f>EXP(-LN(2)/2)*CM74+(1-EXP(-LN(2)/2))/(LN(2)/2)*CG75*CJ75*VLOOKUP('Données projet'!$B$12,Paramètres!$A$1:$I$89,3,0)*0.475*44/12</f>
        <v>3.4524641764478869</v>
      </c>
      <c r="CN75" s="22">
        <f t="shared" si="66"/>
        <v>42.747823027654285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2.5641025641025692</v>
      </c>
      <c r="CT75" s="12">
        <f>IF('Données projet'!$A$140&gt;35,CT74+CS75-DB74,IF(A75&lt;'Données projet'!$A$140,$CQ$205^A75,IF(A75='Données projet'!$A$140,'Données projet'!$B$140,CT74+CS75-DB74)))</f>
        <v>139.74358974358987</v>
      </c>
      <c r="CU75" s="17">
        <f>CT75*VLOOKUP('Données projet'!$B$13,Paramètres!$A$1:$I$89,3,0)*VLOOKUP('Données projet'!$B$13,Paramètres!$A$1:$I$89,5,0)</f>
        <v>146.06000000000014</v>
      </c>
      <c r="CV75" s="13">
        <f t="shared" si="95"/>
        <v>37.681824130204191</v>
      </c>
      <c r="CW75" s="20">
        <f t="shared" si="67"/>
        <v>320.01701036010587</v>
      </c>
      <c r="CX75" s="59">
        <f t="shared" si="68"/>
        <v>613.35034369343919</v>
      </c>
      <c r="CY75" s="59">
        <f ca="1">AVERAGE(OFFSET($CX$3,0,0,'Données projet'!$E$13+1,1))-AVERAGE(OFFSET($H$3,0,0,'Données projet'!$E$13+1,1))</f>
        <v>260.65406541614402</v>
      </c>
      <c r="CZ75" s="59">
        <f t="shared" si="96"/>
        <v>277.63456890196886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2.7727965816457969</v>
      </c>
      <c r="DG75" s="21">
        <f>EXP(-LN(2)/25)*DG74+(1-EXP(-LN(2)/25))/(LN(2)/25)*Calculateur!DB75*Calculateur!DD75*VLOOKUP('Données projet'!$B$13,Paramètres!$A$1:$I$89,3,0)*0.475*44/12</f>
        <v>24.384125508596803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27.156922090242599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2.9487179487179502</v>
      </c>
      <c r="DO75" s="12">
        <f>IF('Données projet'!$A$166&gt;35,DO74+DN75-DW74,IF(A75&lt;'Données projet'!$A$166,$DL$205^A75,IF(A75='Données projet'!$A$166,'Données projet'!$B$166,DO74+DN75-DW74)))</f>
        <v>145.64102564102572</v>
      </c>
      <c r="DP75" s="17">
        <f>DO75*VLOOKUP('Données projet'!$B$14,Paramètres!$A$1:$I$89,3,0)*VLOOKUP('Données projet'!$B$14,Paramètres!$A$1:$I$89,5,0)</f>
        <v>95.424000000000049</v>
      </c>
      <c r="DQ75" s="13">
        <f t="shared" si="97"/>
        <v>25.868874603839831</v>
      </c>
      <c r="DR75" s="20">
        <f t="shared" si="70"/>
        <v>211.25175660168779</v>
      </c>
      <c r="DS75" s="59">
        <f t="shared" si="71"/>
        <v>504.58508993502107</v>
      </c>
      <c r="DT75" s="59">
        <f ca="1">AVERAGE(OFFSET($DS$3,0,0,'Données projet'!$E$14+1,1))-AVERAGE(OFFSET($H$3,0,0,'Données projet'!$E$14+1,1))</f>
        <v>181.4272795535777</v>
      </c>
      <c r="DU75" s="59">
        <f t="shared" si="98"/>
        <v>187.67131775419904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3.4661369949975214</v>
      </c>
      <c r="EB75" s="21">
        <f>EXP(-LN(2)/25)*EB74+(1-EXP(-LN(2)/25))/(LN(2)/25)*Calculateur!DW75*Calculateur!DY75*VLOOKUP('Données projet'!$B$14,Paramètres!$A$1:$I$89,3,0)*0.475*44/12</f>
        <v>6.2120025437090458</v>
      </c>
      <c r="EC75" s="21">
        <f>EXP(-LN(2)/2)*EC74+(1-EXP(-LN(2)/2))/(LN(2)/2)*DW75*DZ75*VLOOKUP('Données projet'!$B$14,Paramètres!$A$1:$I$89,3,0)*0.475*44/12</f>
        <v>1.1580711383618052</v>
      </c>
      <c r="ED75" s="22">
        <f t="shared" si="72"/>
        <v>10.836210677068372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1.1368683772161603E-13</v>
      </c>
      <c r="EK75" s="17">
        <f>EJ75*VLOOKUP('Données projet'!$B$15,Paramètres!$A$1:$I$89,3,0)*VLOOKUP('Données projet'!$B$15,Paramètres!$A$1:$I$89,5,0)</f>
        <v>9.2222762759774927E-14</v>
      </c>
      <c r="EL75" s="13">
        <f t="shared" si="99"/>
        <v>1.3985662224947967E-12</v>
      </c>
      <c r="EM75" s="20">
        <f t="shared" si="73"/>
        <v>2.5964574826517121E-12</v>
      </c>
      <c r="EN75" s="59">
        <f t="shared" si="74"/>
        <v>293.33333333333593</v>
      </c>
      <c r="EO75" s="59">
        <f ca="1">AVERAGE(OFFSET($EN$3,0,0,'Données projet'!$E$15+1,1))-AVERAGE(OFFSET($H$3,0,0,'Données projet'!$E$15+1,1))</f>
        <v>159.68591355116837</v>
      </c>
      <c r="EP75" s="59">
        <f t="shared" si="100"/>
        <v>284.32631786390112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7.7382631898777516</v>
      </c>
      <c r="EW75" s="21">
        <f>EXP(-LN(2)/25)*EW74+(1-EXP(-LN(2)/25))/(LN(2)/25)*Calculateur!ER75*Calculateur!ET75*VLOOKUP('Données projet'!$B$15,Paramètres!$A$1:$I$89,3,0)*0.475*44/12</f>
        <v>7.9559000866633465</v>
      </c>
      <c r="EX75" s="21">
        <f>EXP(-LN(2)/2)*EX74+(1-EXP(-LN(2)/2))/(LN(2)/2)*ER75*EU75*VLOOKUP('Données projet'!$B$15,Paramètres!$A$1:$I$89,3,0)*0.475*44/12</f>
        <v>4.4528372794823992E-4</v>
      </c>
      <c r="EY75" s="22">
        <f t="shared" si="75"/>
        <v>15.694608560269046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3.4</v>
      </c>
      <c r="FE75" s="12">
        <f>IF('Données projet'!$A$218&gt;35,FE74+FD75-FM74,IF(A75&lt;'Données projet'!$A$218,$FB$205^A75,IF(A75='Données projet'!$A$218,'Données projet'!$B$218,FE74+FD75-FM74)))</f>
        <v>259.79999999999984</v>
      </c>
      <c r="FF75" s="17">
        <f>FE75*VLOOKUP('Données projet'!$B$16,Paramètres!$A$1:$I$89,3,0)*VLOOKUP('Données projet'!$B$16,Paramètres!$A$1:$I$89,5,0)</f>
        <v>206.69687999999991</v>
      </c>
      <c r="FG75" s="13">
        <f t="shared" si="101"/>
        <v>51.213106197404436</v>
      </c>
      <c r="FH75" s="20">
        <f t="shared" si="76"/>
        <v>449.1932259604792</v>
      </c>
      <c r="FI75" s="59">
        <f t="shared" si="77"/>
        <v>742.52655929381251</v>
      </c>
      <c r="FJ75" s="59">
        <f ca="1">AVERAGE(OFFSET($FI$3,0,0,'Données projet'!$E$16+1,1))-AVERAGE(OFFSET($H$3,0,0,'Données projet'!$E$16+1,1))</f>
        <v>299.10536994156814</v>
      </c>
      <c r="FK75" s="59">
        <f t="shared" si="102"/>
        <v>292.57799203101769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8.9353026104036051</v>
      </c>
      <c r="FR75" s="21">
        <f>EXP(-LN(2)/25)*FR74+(1-EXP(-LN(2)/25))/(LN(2)/25)*Calculateur!FM75*Calculateur!FO75*VLOOKUP('Données projet'!$B$16,Paramètres!$A$1:$I$89,3,0)*0.475*44/12</f>
        <v>11.898555185545559</v>
      </c>
      <c r="FS75" s="21">
        <f>EXP(-LN(2)/2)*FS74+(1-EXP(-LN(2)/2))/(LN(2)/2)*FM75*FP75*VLOOKUP('Données projet'!$B$16,Paramètres!$A$1:$I$89,3,0)*0.475*44/12</f>
        <v>1.1647392701006298</v>
      </c>
      <c r="FT75" s="22">
        <f t="shared" si="78"/>
        <v>21.998597066049793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5.6843418860808015E-14</v>
      </c>
      <c r="GA75" s="17">
        <f>FZ75*VLOOKUP('Données projet'!$B$17,Paramètres!$A$1:$I$89,3,0)*VLOOKUP('Données projet'!$B$17,Paramètres!$A$1:$I$89,5,0)</f>
        <v>5.1431925385259088E-14</v>
      </c>
      <c r="GB75" s="13">
        <f t="shared" si="103"/>
        <v>8.3482866290946129E-13</v>
      </c>
      <c r="GC75" s="20">
        <f t="shared" si="79"/>
        <v>1.5435705246133045E-12</v>
      </c>
      <c r="GD75" s="59">
        <f t="shared" si="80"/>
        <v>293.33333333333485</v>
      </c>
      <c r="GE75" s="59">
        <f ca="1">AVERAGE(OFFSET($GD$3,0,0,'Données projet'!$E$17+1,1))-AVERAGE(OFFSET($H$3,0,0,'Données projet'!$E$17+1,1))</f>
        <v>204.78565758021779</v>
      </c>
      <c r="GF75" s="59">
        <f t="shared" si="104"/>
        <v>287.25131613242439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9.1444858340274955</v>
      </c>
      <c r="GM75" s="21">
        <f>EXP(-LN(2)/25)*GM74+(1-EXP(-LN(2)/25))/(LN(2)/25)*Calculateur!GH75*Calculateur!GJ75*VLOOKUP('Données projet'!$B$17,Paramètres!$A$1:$I$89,3,0)*0.475*44/12</f>
        <v>6.2520232426556008</v>
      </c>
      <c r="GN75" s="21">
        <f>EXP(-LN(2)/2)*GN74+(1-EXP(-LN(2)/2))/(LN(2)/2)*GH75*GK75*VLOOKUP('Données projet'!$B$17,Paramètres!$A$1:$I$89,3,0)*0.475*44/12</f>
        <v>1.1903587975946477E-3</v>
      </c>
      <c r="GO75" s="21">
        <f t="shared" si="81"/>
        <v>15.397699435480691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5.6843418860808015E-14</v>
      </c>
      <c r="GV75" s="17">
        <f>GU75*VLOOKUP('Données projet'!$B$18,Paramètres!$A$1:$I$89,3,0)*VLOOKUP('Données projet'!$B$18,Paramètres!$A$1:$I$89,5,0)</f>
        <v>4.4337866711430253E-14</v>
      </c>
      <c r="GW75" s="13">
        <f t="shared" si="105"/>
        <v>7.3222115536967035E-13</v>
      </c>
      <c r="GX75" s="20">
        <f t="shared" si="82"/>
        <v>1.3525069634579169E-12</v>
      </c>
      <c r="GY75" s="59">
        <f t="shared" si="83"/>
        <v>293.33333333333468</v>
      </c>
      <c r="GZ75" s="59">
        <f ca="1">AVERAGE(OFFSET($GY$3,0,0,'Données projet'!$E$18+1,1))-AVERAGE(OFFSET($H$3,0,0,'Données projet'!$E$18+1,1))</f>
        <v>288.82868507674738</v>
      </c>
      <c r="HA75" s="59">
        <f t="shared" si="106"/>
        <v>283.48738729114024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40.51833059320807</v>
      </c>
      <c r="HH75" s="21">
        <f>EXP(-LN(2)/25)*HH74+(1-EXP(-LN(2)/25))/(LN(2)/25)*Calculateur!HC75*Calculateur!HE75*VLOOKUP('Données projet'!$B$18,Paramètres!$A$1:$I$89,3,0)*0.475*44/12</f>
        <v>38.956311589796293</v>
      </c>
      <c r="HI75" s="21">
        <f>EXP(-LN(2)/2)*HI74+(1-EXP(-LN(2)/2))/(LN(2)/2)*HC75*HF75*VLOOKUP('Données projet'!$B$18,Paramètres!$A$1:$I$89,3,0)*0.475*44/12</f>
        <v>21.480497454476701</v>
      </c>
      <c r="HJ75" s="22">
        <f t="shared" si="84"/>
        <v>100.95513963748107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9.7839999999999971</v>
      </c>
      <c r="N76" s="13">
        <f>IF('Données projet'!$A$36&gt;35,N75+M76-V75,IF(A76&lt;'Données projet'!$A$36,$K$205^A76,IF(A76='Données projet'!$A$36,'Données projet'!$B$36,N75+M76-V75)))</f>
        <v>451.54199999999975</v>
      </c>
      <c r="O76" s="13">
        <f>N76*VLOOKUP('Données projet'!$B$9,Paramètres!$A$1:$I$89,3,0)*VLOOKUP('Données projet'!$B$9,Paramètres!$A$1:$I$89,5,0)</f>
        <v>270.02211599999987</v>
      </c>
      <c r="P76" s="13">
        <f t="shared" si="87"/>
        <v>64.853962838834434</v>
      </c>
      <c r="Q76" s="20">
        <f t="shared" si="54"/>
        <v>583.24250397763637</v>
      </c>
      <c r="R76" s="59">
        <f t="shared" si="55"/>
        <v>876.57583731096975</v>
      </c>
      <c r="S76" s="59">
        <f ca="1">AVERAGE(OFFSET($R$3,0,0,'Données projet'!$E$9+1,1))-AVERAGE(OFFSET($H$3,0,0,'Données projet'!$E$9+1,1))</f>
        <v>349.71285006949597</v>
      </c>
      <c r="T76" s="59">
        <f t="shared" si="88"/>
        <v>258.51550516456842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48.111799662759744</v>
      </c>
      <c r="AA76" s="21">
        <f>EXP(-LN(2)/25)*AA75+(1-EXP(-LN(2)/25))/(LN(2)/25)*Calculateur!V76*Calculateur!X76*VLOOKUP('Données projet'!$B$9,Paramètres!$A$1:$I$89,3,0)*0.475*44/12</f>
        <v>17.92473913907407</v>
      </c>
      <c r="AB76" s="21">
        <f>EXP(-LN(2)/2)*AB75+(1-EXP(-LN(2)/2))/(LN(2)/2)*V76*Y76*VLOOKUP('Données projet'!$B$9,Paramètres!$A$1:$I$89,3,0)*0.475*44/12</f>
        <v>3.3577876706107528</v>
      </c>
      <c r="AC76" s="22">
        <f t="shared" si="57"/>
        <v>69.394326472444561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9.65625</v>
      </c>
      <c r="AI76" s="13">
        <f>IF('Données projet'!$A$62&gt;35,AI75+AH76-AQ75,IF(A76&lt;'Données projet'!$A$62,$AF$205^A76,IF(A76='Données projet'!$A$62,'Données projet'!$B$62,AI75+AH76-AQ75)))</f>
        <v>254.44749999999996</v>
      </c>
      <c r="AJ76" s="13">
        <f>AI76*VLOOKUP('Données projet'!$B$10,Paramètres!$A$1:$I$89,3,0)*VLOOKUP('Données projet'!$B$10,Paramètres!$A$1:$I$89,5,0)</f>
        <v>242.13224099999996</v>
      </c>
      <c r="AK76" s="13">
        <f t="shared" si="89"/>
        <v>58.898056089565813</v>
      </c>
      <c r="AL76" s="20">
        <f t="shared" si="58"/>
        <v>524.29443409766043</v>
      </c>
      <c r="AM76" s="59">
        <f t="shared" si="59"/>
        <v>817.6277674309938</v>
      </c>
      <c r="AN76" s="59">
        <f ca="1">AVERAGE(OFFSET($AM$3,0,0,'Données projet'!$E$10+1,1))-AVERAGE(OFFSET($H$3,0,0,'Données projet'!$E$10+1,1))</f>
        <v>449.28947235329758</v>
      </c>
      <c r="AO76" s="59">
        <f t="shared" si="90"/>
        <v>289.36994109443964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15.636074181419369</v>
      </c>
      <c r="AV76" s="21">
        <f>EXP(-LN(2)/25)*AV75+(1-EXP(-LN(2)/25))/(LN(2)/25)*Calculateur!AQ76*Calculateur!AS76*VLOOKUP('Données projet'!$B$10,Paramètres!$A$1:$I$89,3,0)*0.475*44/12</f>
        <v>24.726752115427125</v>
      </c>
      <c r="AW76" s="21">
        <f>EXP(-LN(2)/2)*AW75+(1-EXP(-LN(2)/2))/(LN(2)/2)*AQ76*AT76*VLOOKUP('Données projet'!$B$10,Paramètres!$A$1:$I$89,3,0)*0.475*44/12</f>
        <v>0.51015624033175411</v>
      </c>
      <c r="AX76" s="21">
        <f t="shared" si="60"/>
        <v>40.872982537178245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272.54951100000028</v>
      </c>
      <c r="BF76" s="13">
        <f t="shared" si="91"/>
        <v>65.390043555628168</v>
      </c>
      <c r="BG76" s="20">
        <f t="shared" si="61"/>
        <v>588.57805751771946</v>
      </c>
      <c r="BH76" s="59">
        <f t="shared" si="62"/>
        <v>881.91139085105283</v>
      </c>
      <c r="BI76" s="59">
        <f ca="1">AVERAGE(OFFSET($BH$3,0,0,'Données projet'!$E$11+1,1))-AVERAGE(OFFSET($H$3,0,0,'Données projet'!$E$11+1,1))</f>
        <v>635.71275911100679</v>
      </c>
      <c r="BJ76" s="59">
        <f t="shared" si="92"/>
        <v>281.7776857269169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7.0346534942578245</v>
      </c>
      <c r="BQ76" s="21">
        <f>EXP(-LN(2)/25)*BQ75+(1-EXP(-LN(2)/25))/(LN(2)/25)*Calculateur!BL76*Calculateur!BN76*VLOOKUP('Données projet'!$B$11,Paramètres!$A$1:$I$89,3,0)*0.475*44/12</f>
        <v>27.852092643773851</v>
      </c>
      <c r="BR76" s="21">
        <f>EXP(-LN(2)/2)*BR75+(1-EXP(-LN(2)/2))/(LN(2)/2)*BL76*BO76*VLOOKUP('Données projet'!$B$11,Paramètres!$A$1:$I$89,3,0)*0.475*44/12</f>
        <v>0.45250877222617303</v>
      </c>
      <c r="BS76" s="22">
        <f t="shared" si="63"/>
        <v>35.33925491025785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6.7437500000000021</v>
      </c>
      <c r="BY76" s="12">
        <f>IF('Données projet'!$A$114&gt;35,BY75+BX76-CG75,IF(A76&lt;'Données projet'!$A$114,$BV$205^A76,IF(A76='Données projet'!$A$114,'Données projet'!$B$114,BY75+BX76-CG75)))</f>
        <v>175.54500000000002</v>
      </c>
      <c r="BZ76" s="13">
        <f>BY76*VLOOKUP('Données projet'!$B$12,Paramètres!$A$1:$I$89,3,0)*VLOOKUP('Données projet'!$B$12,Paramètres!$A$1:$I$89,5,0)</f>
        <v>199.91064600000001</v>
      </c>
      <c r="CA76" s="13">
        <f t="shared" si="93"/>
        <v>49.724529909965376</v>
      </c>
      <c r="CB76" s="20">
        <f t="shared" si="64"/>
        <v>434.78126470985643</v>
      </c>
      <c r="CC76" s="59">
        <f t="shared" si="65"/>
        <v>728.11459804318974</v>
      </c>
      <c r="CD76" s="59">
        <f ca="1">AVERAGE(OFFSET($CC$3,0,0,'Données projet'!$E$12+1,1))-AVERAGE(OFFSET($H$3,0,0,'Données projet'!$E$12+1,1))</f>
        <v>593.28343396240075</v>
      </c>
      <c r="CE76" s="59">
        <f t="shared" si="94"/>
        <v>289.66477662068695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38.220825196967041</v>
      </c>
      <c r="CM76" s="21">
        <f>EXP(-LN(2)/2)*CM75+(1-EXP(-LN(2)/2))/(LN(2)/2)*CG76*CJ76*VLOOKUP('Données projet'!$B$12,Paramètres!$A$1:$I$89,3,0)*0.475*44/12</f>
        <v>2.44126083096993</v>
      </c>
      <c r="CN76" s="22">
        <f t="shared" si="66"/>
        <v>40.662086027936972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2.5641025641025692</v>
      </c>
      <c r="CT76" s="12">
        <f>IF('Données projet'!$A$140&gt;35,CT75+CS76-DB75,IF(A76&lt;'Données projet'!$A$140,$CQ$205^A76,IF(A76='Données projet'!$A$140,'Données projet'!$B$140,CT75+CS76-DB75)))</f>
        <v>142.30769230769243</v>
      </c>
      <c r="CU76" s="17">
        <f>CT76*VLOOKUP('Données projet'!$B$13,Paramètres!$A$1:$I$89,3,0)*VLOOKUP('Données projet'!$B$13,Paramètres!$A$1:$I$89,5,0)</f>
        <v>148.74000000000015</v>
      </c>
      <c r="CV76" s="13">
        <f t="shared" si="95"/>
        <v>38.292105674310946</v>
      </c>
      <c r="CW76" s="20">
        <f t="shared" si="67"/>
        <v>325.74758404942509</v>
      </c>
      <c r="CX76" s="59">
        <f t="shared" si="68"/>
        <v>619.08091738275834</v>
      </c>
      <c r="CY76" s="59">
        <f ca="1">AVERAGE(OFFSET($CX$3,0,0,'Données projet'!$E$13+1,1))-AVERAGE(OFFSET($H$3,0,0,'Données projet'!$E$13+1,1))</f>
        <v>260.65406541614402</v>
      </c>
      <c r="CZ76" s="59">
        <f t="shared" si="96"/>
        <v>277.63456890196886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2.7184237319186417</v>
      </c>
      <c r="DG76" s="21">
        <f>EXP(-LN(2)/25)*DG75+(1-EXP(-LN(2)/25))/(LN(2)/25)*Calculateur!DB76*Calculateur!DD76*VLOOKUP('Données projet'!$B$13,Paramètres!$A$1:$I$89,3,0)*0.475*44/12</f>
        <v>23.717340314258795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26.435764046177436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2.9487179487179502</v>
      </c>
      <c r="DO76" s="12">
        <f>IF('Données projet'!$A$166&gt;35,DO75+DN76-DW75,IF(A76&lt;'Données projet'!$A$166,$DL$205^A76,IF(A76='Données projet'!$A$166,'Données projet'!$B$166,DO75+DN76-DW75)))</f>
        <v>148.58974358974368</v>
      </c>
      <c r="DP76" s="17">
        <f>DO76*VLOOKUP('Données projet'!$B$14,Paramètres!$A$1:$I$89,3,0)*VLOOKUP('Données projet'!$B$14,Paramètres!$A$1:$I$89,5,0)</f>
        <v>97.356000000000066</v>
      </c>
      <c r="DQ76" s="13">
        <f t="shared" si="97"/>
        <v>26.331122045685671</v>
      </c>
      <c r="DR76" s="20">
        <f t="shared" si="70"/>
        <v>215.42173756290265</v>
      </c>
      <c r="DS76" s="59">
        <f t="shared" si="71"/>
        <v>508.75507089623596</v>
      </c>
      <c r="DT76" s="59">
        <f ca="1">AVERAGE(OFFSET($DS$3,0,0,'Données projet'!$E$14+1,1))-AVERAGE(OFFSET($H$3,0,0,'Données projet'!$E$14+1,1))</f>
        <v>181.4272795535777</v>
      </c>
      <c r="DU76" s="59">
        <f t="shared" si="98"/>
        <v>187.67131775419904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3.3981681626604336</v>
      </c>
      <c r="EB76" s="21">
        <f>EXP(-LN(2)/25)*EB75+(1-EXP(-LN(2)/25))/(LN(2)/25)*Calculateur!DW76*Calculateur!DY76*VLOOKUP('Données projet'!$B$14,Paramètres!$A$1:$I$89,3,0)*0.475*44/12</f>
        <v>6.0421350074763058</v>
      </c>
      <c r="EC76" s="21">
        <f>EXP(-LN(2)/2)*EC75+(1-EXP(-LN(2)/2))/(LN(2)/2)*DW76*DZ76*VLOOKUP('Données projet'!$B$14,Paramètres!$A$1:$I$89,3,0)*0.475*44/12</f>
        <v>0.81887995503205702</v>
      </c>
      <c r="ED76" s="22">
        <f t="shared" si="72"/>
        <v>10.259183125168798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1.1368683772161603E-13</v>
      </c>
      <c r="EK76" s="17">
        <f>EJ76*VLOOKUP('Données projet'!$B$15,Paramètres!$A$1:$I$89,3,0)*VLOOKUP('Données projet'!$B$15,Paramètres!$A$1:$I$89,5,0)</f>
        <v>9.2222762759774927E-14</v>
      </c>
      <c r="EL76" s="13">
        <f t="shared" si="99"/>
        <v>1.3985662224947967E-12</v>
      </c>
      <c r="EM76" s="20">
        <f t="shared" si="73"/>
        <v>2.5964574826517121E-12</v>
      </c>
      <c r="EN76" s="59">
        <f t="shared" si="74"/>
        <v>293.33333333333593</v>
      </c>
      <c r="EO76" s="59">
        <f ca="1">AVERAGE(OFFSET($EN$3,0,0,'Données projet'!$E$15+1,1))-AVERAGE(OFFSET($H$3,0,0,'Données projet'!$E$15+1,1))</f>
        <v>159.68591355116837</v>
      </c>
      <c r="EP76" s="59">
        <f t="shared" si="100"/>
        <v>284.32631786390112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7.586520568598746</v>
      </c>
      <c r="EW76" s="21">
        <f>EXP(-LN(2)/25)*EW75+(1-EXP(-LN(2)/25))/(LN(2)/25)*Calculateur!ER76*Calculateur!ET76*VLOOKUP('Données projet'!$B$15,Paramètres!$A$1:$I$89,3,0)*0.475*44/12</f>
        <v>7.7383455804109351</v>
      </c>
      <c r="EX76" s="21">
        <f>EXP(-LN(2)/2)*EX75+(1-EXP(-LN(2)/2))/(LN(2)/2)*ER76*EU76*VLOOKUP('Données projet'!$B$15,Paramètres!$A$1:$I$89,3,0)*0.475*44/12</f>
        <v>3.1486314358422624E-4</v>
      </c>
      <c r="EY76" s="22">
        <f t="shared" si="75"/>
        <v>15.325181012153266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3.4</v>
      </c>
      <c r="FE76" s="12">
        <f>IF('Données projet'!$A$218&gt;35,FE75+FD76-FM75,IF(A76&lt;'Données projet'!$A$218,$FB$205^A76,IF(A76='Données projet'!$A$218,'Données projet'!$B$218,FE75+FD76-FM75)))</f>
        <v>263.19999999999982</v>
      </c>
      <c r="FF76" s="17">
        <f>FE76*VLOOKUP('Données projet'!$B$16,Paramètres!$A$1:$I$89,3,0)*VLOOKUP('Données projet'!$B$16,Paramètres!$A$1:$I$89,5,0)</f>
        <v>209.40191999999988</v>
      </c>
      <c r="FG76" s="13">
        <f t="shared" si="101"/>
        <v>51.804868484579039</v>
      </c>
      <c r="FH76" s="20">
        <f t="shared" si="76"/>
        <v>454.93515661064157</v>
      </c>
      <c r="FI76" s="59">
        <f t="shared" si="77"/>
        <v>748.26848994397483</v>
      </c>
      <c r="FJ76" s="59">
        <f ca="1">AVERAGE(OFFSET($FI$3,0,0,'Données projet'!$E$16+1,1))-AVERAGE(OFFSET($H$3,0,0,'Données projet'!$E$16+1,1))</f>
        <v>299.10536994156814</v>
      </c>
      <c r="FK76" s="59">
        <f t="shared" si="102"/>
        <v>292.57799203101769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8.7600867762100396</v>
      </c>
      <c r="FR76" s="21">
        <f>EXP(-LN(2)/25)*FR75+(1-EXP(-LN(2)/25))/(LN(2)/25)*Calculateur!FM76*Calculateur!FO76*VLOOKUP('Données projet'!$B$16,Paramètres!$A$1:$I$89,3,0)*0.475*44/12</f>
        <v>11.573188568278994</v>
      </c>
      <c r="FS76" s="21">
        <f>EXP(-LN(2)/2)*FS75+(1-EXP(-LN(2)/2))/(LN(2)/2)*FM76*FP76*VLOOKUP('Données projet'!$B$16,Paramètres!$A$1:$I$89,3,0)*0.475*44/12</f>
        <v>0.82359503620242513</v>
      </c>
      <c r="FT76" s="22">
        <f t="shared" si="78"/>
        <v>21.156870380691458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5.6843418860808015E-14</v>
      </c>
      <c r="GA76" s="17">
        <f>FZ76*VLOOKUP('Données projet'!$B$17,Paramètres!$A$1:$I$89,3,0)*VLOOKUP('Données projet'!$B$17,Paramètres!$A$1:$I$89,5,0)</f>
        <v>5.1431925385259088E-14</v>
      </c>
      <c r="GB76" s="13">
        <f t="shared" si="103"/>
        <v>8.3482866290946129E-13</v>
      </c>
      <c r="GC76" s="20">
        <f t="shared" si="79"/>
        <v>1.5435705246133045E-12</v>
      </c>
      <c r="GD76" s="59">
        <f t="shared" si="80"/>
        <v>293.33333333333485</v>
      </c>
      <c r="GE76" s="59">
        <f ca="1">AVERAGE(OFFSET($GD$3,0,0,'Données projet'!$E$17+1,1))-AVERAGE(OFFSET($H$3,0,0,'Données projet'!$E$17+1,1))</f>
        <v>204.78565758021779</v>
      </c>
      <c r="GF76" s="59">
        <f t="shared" si="104"/>
        <v>287.25131613242439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8.9651680444078341</v>
      </c>
      <c r="GM76" s="21">
        <f>EXP(-LN(2)/25)*GM75+(1-EXP(-LN(2)/25))/(LN(2)/25)*Calculateur!GH76*Calculateur!GJ76*VLOOKUP('Données projet'!$B$17,Paramètres!$A$1:$I$89,3,0)*0.475*44/12</f>
        <v>6.0810613383055703</v>
      </c>
      <c r="GN76" s="21">
        <f>EXP(-LN(2)/2)*GN75+(1-EXP(-LN(2)/2))/(LN(2)/2)*GH76*GK76*VLOOKUP('Données projet'!$B$17,Paramètres!$A$1:$I$89,3,0)*0.475*44/12</f>
        <v>8.4171077782424042E-4</v>
      </c>
      <c r="GO76" s="21">
        <f t="shared" si="81"/>
        <v>15.047071093491228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5.6843418860808015E-14</v>
      </c>
      <c r="GV76" s="17">
        <f>GU76*VLOOKUP('Données projet'!$B$18,Paramètres!$A$1:$I$89,3,0)*VLOOKUP('Données projet'!$B$18,Paramètres!$A$1:$I$89,5,0)</f>
        <v>4.4337866711430253E-14</v>
      </c>
      <c r="GW76" s="13">
        <f t="shared" si="105"/>
        <v>7.3222115536967035E-13</v>
      </c>
      <c r="GX76" s="20">
        <f t="shared" si="82"/>
        <v>1.3525069634579169E-12</v>
      </c>
      <c r="GY76" s="59">
        <f t="shared" si="83"/>
        <v>293.33333333333468</v>
      </c>
      <c r="GZ76" s="59">
        <f ca="1">AVERAGE(OFFSET($GY$3,0,0,'Données projet'!$E$18+1,1))-AVERAGE(OFFSET($H$3,0,0,'Données projet'!$E$18+1,1))</f>
        <v>288.82868507674738</v>
      </c>
      <c r="HA76" s="59">
        <f t="shared" si="106"/>
        <v>283.48738729114024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39.723790844016641</v>
      </c>
      <c r="HH76" s="21">
        <f>EXP(-LN(2)/25)*HH75+(1-EXP(-LN(2)/25))/(LN(2)/25)*Calculateur!HC76*Calculateur!HE76*VLOOKUP('Données projet'!$B$18,Paramètres!$A$1:$I$89,3,0)*0.475*44/12</f>
        <v>37.891049200749926</v>
      </c>
      <c r="HI76" s="21">
        <f>EXP(-LN(2)/2)*HI75+(1-EXP(-LN(2)/2))/(LN(2)/2)*HC76*HF76*VLOOKUP('Données projet'!$B$18,Paramètres!$A$1:$I$89,3,0)*0.475*44/12</f>
        <v>15.189005413320849</v>
      </c>
      <c r="HJ76" s="22">
        <f t="shared" si="84"/>
        <v>92.803845458087409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9.7839999999999971</v>
      </c>
      <c r="N77" s="13">
        <f>IF('Données projet'!$A$36&gt;35,N76+M77-V76,IF(A77&lt;'Données projet'!$A$36,$K$205^A77,IF(A77='Données projet'!$A$36,'Données projet'!$B$36,N76+M77-V76)))</f>
        <v>461.32599999999974</v>
      </c>
      <c r="O77" s="13">
        <f>N77*VLOOKUP('Données projet'!$B$9,Paramètres!$A$1:$I$89,3,0)*VLOOKUP('Données projet'!$B$9,Paramètres!$A$1:$I$89,5,0)</f>
        <v>275.87294799999984</v>
      </c>
      <c r="P77" s="13">
        <f t="shared" si="87"/>
        <v>66.094091843346078</v>
      </c>
      <c r="Q77" s="20">
        <f t="shared" si="54"/>
        <v>595.59259439382743</v>
      </c>
      <c r="R77" s="59">
        <f t="shared" si="55"/>
        <v>888.9259277271608</v>
      </c>
      <c r="S77" s="59">
        <f ca="1">AVERAGE(OFFSET($R$3,0,0,'Données projet'!$E$9+1,1))-AVERAGE(OFFSET($H$3,0,0,'Données projet'!$E$9+1,1))</f>
        <v>349.71285006949597</v>
      </c>
      <c r="T77" s="59">
        <f t="shared" si="88"/>
        <v>258.51550516456842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47.168356616673215</v>
      </c>
      <c r="AA77" s="21">
        <f>EXP(-LN(2)/25)*AA76+(1-EXP(-LN(2)/25))/(LN(2)/25)*Calculateur!V77*Calculateur!X77*VLOOKUP('Données projet'!$B$9,Paramètres!$A$1:$I$89,3,0)*0.475*44/12</f>
        <v>17.434586204695027</v>
      </c>
      <c r="AB77" s="21">
        <f>EXP(-LN(2)/2)*AB76+(1-EXP(-LN(2)/2))/(LN(2)/2)*V77*Y77*VLOOKUP('Données projet'!$B$9,Paramètres!$A$1:$I$89,3,0)*0.475*44/12</f>
        <v>2.374314431673445</v>
      </c>
      <c r="AC77" s="22">
        <f t="shared" si="57"/>
        <v>66.977257253041685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9.65625</v>
      </c>
      <c r="AI77" s="13">
        <f>IF('Données projet'!$A$62&gt;35,AI76+AH77-AQ76,IF(A77&lt;'Données projet'!$A$62,$AF$205^A77,IF(A77='Données projet'!$A$62,'Données projet'!$B$62,AI76+AH77-AQ76)))</f>
        <v>264.10374999999999</v>
      </c>
      <c r="AJ77" s="13">
        <f>AI77*VLOOKUP('Données projet'!$B$10,Paramètres!$A$1:$I$89,3,0)*VLOOKUP('Données projet'!$B$10,Paramètres!$A$1:$I$89,5,0)</f>
        <v>251.32112849999999</v>
      </c>
      <c r="AK77" s="13">
        <f t="shared" si="89"/>
        <v>60.868753799109797</v>
      </c>
      <c r="AL77" s="20">
        <f t="shared" si="58"/>
        <v>543.73071167094952</v>
      </c>
      <c r="AM77" s="59">
        <f t="shared" si="59"/>
        <v>837.06404500428289</v>
      </c>
      <c r="AN77" s="59">
        <f ca="1">AVERAGE(OFFSET($AM$3,0,0,'Données projet'!$E$10+1,1))-AVERAGE(OFFSET($H$3,0,0,'Données projet'!$E$10+1,1))</f>
        <v>449.28947235329758</v>
      </c>
      <c r="AO77" s="59">
        <f t="shared" si="90"/>
        <v>289.36994109443964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15.329460303785279</v>
      </c>
      <c r="AV77" s="21">
        <f>EXP(-LN(2)/25)*AV76+(1-EXP(-LN(2)/25))/(LN(2)/25)*Calculateur!AQ77*Calculateur!AS77*VLOOKUP('Données projet'!$B$10,Paramètres!$A$1:$I$89,3,0)*0.475*44/12</f>
        <v>24.050597778507392</v>
      </c>
      <c r="AW77" s="21">
        <f>EXP(-LN(2)/2)*AW76+(1-EXP(-LN(2)/2))/(LN(2)/2)*AQ77*AT77*VLOOKUP('Données projet'!$B$10,Paramètres!$A$1:$I$89,3,0)*0.475*44/12</f>
        <v>0.3607349370032174</v>
      </c>
      <c r="AX77" s="21">
        <f t="shared" si="60"/>
        <v>39.740793019295886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281.35660800000022</v>
      </c>
      <c r="BF77" s="13">
        <f t="shared" si="91"/>
        <v>67.253618453644265</v>
      </c>
      <c r="BG77" s="20">
        <f t="shared" si="61"/>
        <v>607.16281107343082</v>
      </c>
      <c r="BH77" s="59">
        <f t="shared" si="62"/>
        <v>900.49614440676419</v>
      </c>
      <c r="BI77" s="59">
        <f ca="1">AVERAGE(OFFSET($BH$3,0,0,'Données projet'!$E$11+1,1))-AVERAGE(OFFSET($H$3,0,0,'Données projet'!$E$11+1,1))</f>
        <v>635.71275911100679</v>
      </c>
      <c r="BJ77" s="59">
        <f t="shared" si="92"/>
        <v>281.7776857269169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14.625152268757301</v>
      </c>
      <c r="BQ77" s="21">
        <f>EXP(-LN(2)/25)*BQ76+(1-EXP(-LN(2)/25))/(LN(2)/25)*Calculateur!BL77*Calculateur!BN77*VLOOKUP('Données projet'!$B$11,Paramètres!$A$1:$I$89,3,0)*0.475*44/12</f>
        <v>31.489340968528012</v>
      </c>
      <c r="BR77" s="21">
        <f>EXP(-LN(2)/2)*BR76+(1-EXP(-LN(2)/2))/(LN(2)/2)*BL77*BO77*VLOOKUP('Données projet'!$B$11,Paramètres!$A$1:$I$89,3,0)*0.475*44/12</f>
        <v>4.7028840054751821</v>
      </c>
      <c r="BS77" s="22">
        <f t="shared" si="63"/>
        <v>50.8173772427605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6.7437500000000021</v>
      </c>
      <c r="BY77" s="12">
        <f>IF('Données projet'!$A$114&gt;35,BY76+BX77-CG76,IF(A77&lt;'Données projet'!$A$114,$BV$205^A77,IF(A77='Données projet'!$A$114,'Données projet'!$B$114,BY76+BX77-CG76)))</f>
        <v>182.28875000000002</v>
      </c>
      <c r="BZ77" s="13">
        <f>BY77*VLOOKUP('Données projet'!$B$12,Paramètres!$A$1:$I$89,3,0)*VLOOKUP('Données projet'!$B$12,Paramètres!$A$1:$I$89,5,0)</f>
        <v>207.59042850000003</v>
      </c>
      <c r="CA77" s="13">
        <f t="shared" si="93"/>
        <v>51.408680561939029</v>
      </c>
      <c r="CB77" s="20">
        <f t="shared" si="64"/>
        <v>451.09011494954387</v>
      </c>
      <c r="CC77" s="59">
        <f t="shared" si="65"/>
        <v>744.42344828287719</v>
      </c>
      <c r="CD77" s="59">
        <f ca="1">AVERAGE(OFFSET($CC$3,0,0,'Données projet'!$E$12+1,1))-AVERAGE(OFFSET($H$3,0,0,'Données projet'!$E$12+1,1))</f>
        <v>593.28343396240075</v>
      </c>
      <c r="CE77" s="59">
        <f t="shared" si="94"/>
        <v>289.66477662068695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37.175674722010136</v>
      </c>
      <c r="CM77" s="21">
        <f>EXP(-LN(2)/2)*CM76+(1-EXP(-LN(2)/2))/(LN(2)/2)*CG77*CJ77*VLOOKUP('Données projet'!$B$12,Paramètres!$A$1:$I$89,3,0)*0.475*44/12</f>
        <v>1.7262320882239435</v>
      </c>
      <c r="CN77" s="22">
        <f t="shared" si="66"/>
        <v>38.901906810234081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2.5641025641025692</v>
      </c>
      <c r="CT77" s="12">
        <f>IF('Données projet'!$A$140&gt;35,CT76+CS77-DB76,IF(A77&lt;'Données projet'!$A$140,$CQ$205^A77,IF(A77='Données projet'!$A$140,'Données projet'!$B$140,CT76+CS77-DB76)))</f>
        <v>144.871794871795</v>
      </c>
      <c r="CU77" s="17">
        <f>CT77*VLOOKUP('Données projet'!$B$13,Paramètres!$A$1:$I$89,3,0)*VLOOKUP('Données projet'!$B$13,Paramètres!$A$1:$I$89,5,0)</f>
        <v>151.42000000000016</v>
      </c>
      <c r="CV77" s="13">
        <f t="shared" si="95"/>
        <v>38.901108544713765</v>
      </c>
      <c r="CW77" s="20">
        <f t="shared" si="67"/>
        <v>331.47593071537676</v>
      </c>
      <c r="CX77" s="59">
        <f t="shared" si="68"/>
        <v>624.80926404871002</v>
      </c>
      <c r="CY77" s="59">
        <f ca="1">AVERAGE(OFFSET($CX$3,0,0,'Données projet'!$E$13+1,1))-AVERAGE(OFFSET($H$3,0,0,'Données projet'!$E$13+1,1))</f>
        <v>260.65406541614402</v>
      </c>
      <c r="CZ77" s="59">
        <f t="shared" si="96"/>
        <v>277.63456890196886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2.6651171006104724</v>
      </c>
      <c r="DG77" s="21">
        <f>EXP(-LN(2)/25)*DG76+(1-EXP(-LN(2)/25))/(LN(2)/25)*Calculateur!DB77*Calculateur!DD77*VLOOKUP('Données projet'!$B$13,Paramètres!$A$1:$I$89,3,0)*0.475*44/12</f>
        <v>23.068788396124667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25.73390549673514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2.9487179487179502</v>
      </c>
      <c r="DO77" s="12">
        <f>IF('Données projet'!$A$166&gt;35,DO76+DN77-DW76,IF(A77&lt;'Données projet'!$A$166,$DL$205^A77,IF(A77='Données projet'!$A$166,'Données projet'!$B$166,DO76+DN77-DW76)))</f>
        <v>151.53846153846163</v>
      </c>
      <c r="DP77" s="17">
        <f>DO77*VLOOKUP('Données projet'!$B$14,Paramètres!$A$1:$I$89,3,0)*VLOOKUP('Données projet'!$B$14,Paramètres!$A$1:$I$89,5,0)</f>
        <v>99.288000000000068</v>
      </c>
      <c r="DQ77" s="13">
        <f t="shared" si="97"/>
        <v>26.792302890100807</v>
      </c>
      <c r="DR77" s="20">
        <f t="shared" si="70"/>
        <v>219.5898608669257</v>
      </c>
      <c r="DS77" s="59">
        <f t="shared" si="71"/>
        <v>512.92319420025899</v>
      </c>
      <c r="DT77" s="59">
        <f ca="1">AVERAGE(OFFSET($DS$3,0,0,'Données projet'!$E$14+1,1))-AVERAGE(OFFSET($H$3,0,0,'Données projet'!$E$14+1,1))</f>
        <v>181.4272795535777</v>
      </c>
      <c r="DU77" s="59">
        <f t="shared" si="98"/>
        <v>187.67131775419904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3.3315321576685819</v>
      </c>
      <c r="EB77" s="21">
        <f>EXP(-LN(2)/25)*EB76+(1-EXP(-LN(2)/25))/(LN(2)/25)*Calculateur!DW77*Calculateur!DY77*VLOOKUP('Données projet'!$B$14,Paramètres!$A$1:$I$89,3,0)*0.475*44/12</f>
        <v>5.8769125079547955</v>
      </c>
      <c r="EC77" s="21">
        <f>EXP(-LN(2)/2)*EC76+(1-EXP(-LN(2)/2))/(LN(2)/2)*DW77*DZ77*VLOOKUP('Données projet'!$B$14,Paramètres!$A$1:$I$89,3,0)*0.475*44/12</f>
        <v>0.57903556918090271</v>
      </c>
      <c r="ED77" s="22">
        <f t="shared" si="72"/>
        <v>9.7874802348042795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1.1368683772161603E-13</v>
      </c>
      <c r="EK77" s="17">
        <f>EJ77*VLOOKUP('Données projet'!$B$15,Paramètres!$A$1:$I$89,3,0)*VLOOKUP('Données projet'!$B$15,Paramètres!$A$1:$I$89,5,0)</f>
        <v>9.2222762759774927E-14</v>
      </c>
      <c r="EL77" s="13">
        <f t="shared" si="99"/>
        <v>1.3985662224947967E-12</v>
      </c>
      <c r="EM77" s="20">
        <f t="shared" si="73"/>
        <v>2.5964574826517121E-12</v>
      </c>
      <c r="EN77" s="59">
        <f t="shared" si="74"/>
        <v>293.33333333333593</v>
      </c>
      <c r="EO77" s="59">
        <f ca="1">AVERAGE(OFFSET($EN$3,0,0,'Données projet'!$E$15+1,1))-AVERAGE(OFFSET($H$3,0,0,'Données projet'!$E$15+1,1))</f>
        <v>159.68591355116837</v>
      </c>
      <c r="EP77" s="59">
        <f t="shared" si="100"/>
        <v>284.32631786390112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7.4377535275691615</v>
      </c>
      <c r="EW77" s="21">
        <f>EXP(-LN(2)/25)*EW76+(1-EXP(-LN(2)/25))/(LN(2)/25)*Calculateur!ER77*Calculateur!ET77*VLOOKUP('Données projet'!$B$15,Paramètres!$A$1:$I$89,3,0)*0.475*44/12</f>
        <v>7.5267401135726901</v>
      </c>
      <c r="EX77" s="21">
        <f>EXP(-LN(2)/2)*EX76+(1-EXP(-LN(2)/2))/(LN(2)/2)*ER77*EU77*VLOOKUP('Données projet'!$B$15,Paramètres!$A$1:$I$89,3,0)*0.475*44/12</f>
        <v>2.2264186397411996E-4</v>
      </c>
      <c r="EY77" s="22">
        <f t="shared" si="75"/>
        <v>14.964716283005826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3.4</v>
      </c>
      <c r="FE77" s="12">
        <f>IF('Données projet'!$A$218&gt;35,FE76+FD77-FM76,IF(A77&lt;'Données projet'!$A$218,$FB$205^A77,IF(A77='Données projet'!$A$218,'Données projet'!$B$218,FE76+FD77-FM76)))</f>
        <v>266.5999999999998</v>
      </c>
      <c r="FF77" s="17">
        <f>FE77*VLOOKUP('Données projet'!$B$16,Paramètres!$A$1:$I$89,3,0)*VLOOKUP('Données projet'!$B$16,Paramètres!$A$1:$I$89,5,0)</f>
        <v>212.10695999999984</v>
      </c>
      <c r="FG77" s="13">
        <f t="shared" si="101"/>
        <v>52.395741612408194</v>
      </c>
      <c r="FH77" s="20">
        <f t="shared" si="76"/>
        <v>460.67553864161067</v>
      </c>
      <c r="FI77" s="59">
        <f t="shared" si="77"/>
        <v>754.00887197494399</v>
      </c>
      <c r="FJ77" s="59">
        <f ca="1">AVERAGE(OFFSET($FI$3,0,0,'Données projet'!$E$16+1,1))-AVERAGE(OFFSET($H$3,0,0,'Données projet'!$E$16+1,1))</f>
        <v>299.10536994156814</v>
      </c>
      <c r="FK77" s="59">
        <f t="shared" si="102"/>
        <v>292.57799203101769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8.5883068176539048</v>
      </c>
      <c r="FR77" s="21">
        <f>EXP(-LN(2)/25)*FR76+(1-EXP(-LN(2)/25))/(LN(2)/25)*Calculateur!FM77*Calculateur!FO77*VLOOKUP('Données projet'!$B$16,Paramètres!$A$1:$I$89,3,0)*0.475*44/12</f>
        <v>11.256719118271869</v>
      </c>
      <c r="FS77" s="21">
        <f>EXP(-LN(2)/2)*FS76+(1-EXP(-LN(2)/2))/(LN(2)/2)*FM77*FP77*VLOOKUP('Données projet'!$B$16,Paramètres!$A$1:$I$89,3,0)*0.475*44/12</f>
        <v>0.58236963505031492</v>
      </c>
      <c r="FT77" s="22">
        <f t="shared" si="78"/>
        <v>20.427395570976092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5.6843418860808015E-14</v>
      </c>
      <c r="GA77" s="17">
        <f>FZ77*VLOOKUP('Données projet'!$B$17,Paramètres!$A$1:$I$89,3,0)*VLOOKUP('Données projet'!$B$17,Paramètres!$A$1:$I$89,5,0)</f>
        <v>5.1431925385259088E-14</v>
      </c>
      <c r="GB77" s="13">
        <f t="shared" si="103"/>
        <v>8.3482866290946129E-13</v>
      </c>
      <c r="GC77" s="20">
        <f t="shared" si="79"/>
        <v>1.5435705246133045E-12</v>
      </c>
      <c r="GD77" s="59">
        <f t="shared" si="80"/>
        <v>293.33333333333485</v>
      </c>
      <c r="GE77" s="59">
        <f ca="1">AVERAGE(OFFSET($GD$3,0,0,'Données projet'!$E$17+1,1))-AVERAGE(OFFSET($H$3,0,0,'Données projet'!$E$17+1,1))</f>
        <v>204.78565758021779</v>
      </c>
      <c r="GF77" s="59">
        <f t="shared" si="104"/>
        <v>287.25131613242439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8.7893665672695622</v>
      </c>
      <c r="GM77" s="21">
        <f>EXP(-LN(2)/25)*GM76+(1-EXP(-LN(2)/25))/(LN(2)/25)*Calculateur!GH77*Calculateur!GJ77*VLOOKUP('Données projet'!$B$17,Paramètres!$A$1:$I$89,3,0)*0.475*44/12</f>
        <v>5.9147743962204871</v>
      </c>
      <c r="GN77" s="21">
        <f>EXP(-LN(2)/2)*GN76+(1-EXP(-LN(2)/2))/(LN(2)/2)*GH77*GK77*VLOOKUP('Données projet'!$B$17,Paramètres!$A$1:$I$89,3,0)*0.475*44/12</f>
        <v>5.9517939879732387E-4</v>
      </c>
      <c r="GO77" s="21">
        <f t="shared" si="81"/>
        <v>14.704736142888846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5.6843418860808015E-14</v>
      </c>
      <c r="GV77" s="17">
        <f>GU77*VLOOKUP('Données projet'!$B$18,Paramètres!$A$1:$I$89,3,0)*VLOOKUP('Données projet'!$B$18,Paramètres!$A$1:$I$89,5,0)</f>
        <v>4.4337866711430253E-14</v>
      </c>
      <c r="GW77" s="13">
        <f t="shared" si="105"/>
        <v>7.3222115536967035E-13</v>
      </c>
      <c r="GX77" s="20">
        <f t="shared" si="82"/>
        <v>1.3525069634579169E-12</v>
      </c>
      <c r="GY77" s="59">
        <f t="shared" si="83"/>
        <v>293.33333333333468</v>
      </c>
      <c r="GZ77" s="59">
        <f ca="1">AVERAGE(OFFSET($GY$3,0,0,'Données projet'!$E$18+1,1))-AVERAGE(OFFSET($H$3,0,0,'Données projet'!$E$18+1,1))</f>
        <v>288.82868507674738</v>
      </c>
      <c r="HA77" s="59">
        <f t="shared" si="106"/>
        <v>283.48738729114024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38.944831534685463</v>
      </c>
      <c r="HH77" s="21">
        <f>EXP(-LN(2)/25)*HH76+(1-EXP(-LN(2)/25))/(LN(2)/25)*Calculateur!HC77*Calculateur!HE77*VLOOKUP('Données projet'!$B$18,Paramètres!$A$1:$I$89,3,0)*0.475*44/12</f>
        <v>36.854916467751742</v>
      </c>
      <c r="HI77" s="21">
        <f>EXP(-LN(2)/2)*HI76+(1-EXP(-LN(2)/2))/(LN(2)/2)*HC77*HF77*VLOOKUP('Données projet'!$B$18,Paramètres!$A$1:$I$89,3,0)*0.475*44/12</f>
        <v>10.740248727238352</v>
      </c>
      <c r="HJ77" s="22">
        <f t="shared" si="84"/>
        <v>86.539996729675565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9.7839999999999971</v>
      </c>
      <c r="N78" s="13">
        <f>IF('Données projet'!$A$36&gt;35,N77+M78-V77,IF(A78&lt;'Données projet'!$A$36,$K$205^A78,IF(A78='Données projet'!$A$36,'Données projet'!$B$36,N77+M78-V77)))</f>
        <v>471.10999999999973</v>
      </c>
      <c r="O78" s="13">
        <f>N78*VLOOKUP('Données projet'!$B$9,Paramètres!$A$1:$I$89,3,0)*VLOOKUP('Données projet'!$B$9,Paramètres!$A$1:$I$89,5,0)</f>
        <v>281.72377999999986</v>
      </c>
      <c r="P78" s="13">
        <f t="shared" si="87"/>
        <v>67.331162922926637</v>
      </c>
      <c r="Q78" s="20">
        <f t="shared" si="54"/>
        <v>607.93735892409688</v>
      </c>
      <c r="R78" s="59">
        <f t="shared" si="55"/>
        <v>901.27069225743026</v>
      </c>
      <c r="S78" s="59">
        <f ca="1">AVERAGE(OFFSET($R$3,0,0,'Données projet'!$E$9+1,1))-AVERAGE(OFFSET($H$3,0,0,'Données projet'!$E$9+1,1))</f>
        <v>349.71285006949597</v>
      </c>
      <c r="T78" s="59">
        <f t="shared" si="88"/>
        <v>258.51550516456842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46.243413913277003</v>
      </c>
      <c r="AA78" s="21">
        <f>EXP(-LN(2)/25)*AA77+(1-EXP(-LN(2)/25))/(LN(2)/25)*Calculateur!V78*Calculateur!X78*VLOOKUP('Données projet'!$B$9,Paramètres!$A$1:$I$89,3,0)*0.475*44/12</f>
        <v>16.957836528082598</v>
      </c>
      <c r="AB78" s="21">
        <f>EXP(-LN(2)/2)*AB77+(1-EXP(-LN(2)/2))/(LN(2)/2)*V78*Y78*VLOOKUP('Données projet'!$B$9,Paramètres!$A$1:$I$89,3,0)*0.475*44/12</f>
        <v>1.6788938353053768</v>
      </c>
      <c r="AC78" s="22">
        <f t="shared" si="57"/>
        <v>64.880144276664979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273.76</v>
      </c>
      <c r="AG78" s="12">
        <f>VLOOKUP(A78,'Données projet'!$A$61:$I$81,9,0)</f>
        <v>9.65625</v>
      </c>
      <c r="AH78" s="12">
        <f t="array" ref="AH78">INDEX(AG:AG,MIN(IF(ISNUMBER(AG78:AG274),ROW(AG78:AG274),"")))</f>
        <v>9.65625</v>
      </c>
      <c r="AI78" s="13">
        <f>IF('Données projet'!$A$62&gt;35,AI77+AH78-AQ77,IF(A78&lt;'Données projet'!$A$62,$AF$205^A78,IF(A78='Données projet'!$A$62,'Données projet'!$B$62,AI77+AH78-AQ77)))</f>
        <v>273.76</v>
      </c>
      <c r="AJ78" s="13">
        <f>AI78*VLOOKUP('Données projet'!$B$10,Paramètres!$A$1:$I$89,3,0)*VLOOKUP('Données projet'!$B$10,Paramètres!$A$1:$I$89,5,0)</f>
        <v>260.51001600000001</v>
      </c>
      <c r="AK78" s="13">
        <f t="shared" si="89"/>
        <v>62.831080354761788</v>
      </c>
      <c r="AL78" s="20">
        <f t="shared" si="58"/>
        <v>563.15240948454345</v>
      </c>
      <c r="AM78" s="59">
        <f t="shared" si="59"/>
        <v>856.48574281787683</v>
      </c>
      <c r="AN78" s="59">
        <f ca="1">AVERAGE(OFFSET($AM$3,0,0,'Données projet'!$E$10+1,1))-AVERAGE(OFFSET($H$3,0,0,'Données projet'!$E$10+1,1))</f>
        <v>449.28947235329758</v>
      </c>
      <c r="AO78" s="59">
        <f t="shared" si="90"/>
        <v>289.36994109443964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43.519999999999982</v>
      </c>
      <c r="AR78" s="16">
        <f>IF(ISNA(VLOOKUP(A78,'Données projet'!$A$61:$I$81,5,0)),0%,VLOOKUP(A78,'Données projet'!$A$61:$I$81,5,0)*VLOOKUP('Données projet'!$B$10,Paramètres!$A$1:$I$89,7,0))</f>
        <v>0.15049999999999999</v>
      </c>
      <c r="AS78" s="16">
        <f>IF(ISNA(VLOOKUP(A78,'Données projet'!$A$61:$I$81,6,0)),0%,VLOOKUP(A78,'Données projet'!$A$61:$I$81,6,0)*VLOOKUP('Données projet'!$B$10,Paramètres!$A$1:$I$89,7,0))</f>
        <v>8.6000000000000007E-2</v>
      </c>
      <c r="AT78" s="16">
        <f>IF(ISNA(VLOOKUP(A78,'Données projet'!$A$61:$I$81,7,0)),0%,VLOOKUP(A78,'Données projet'!$A$61:$I$81,7,0))</f>
        <v>0.1</v>
      </c>
      <c r="AU78" s="21">
        <f>EXP(-LN(2)/35)*AU77+(1-EXP(-LN(2)/35))/(LN(2)/35)*AQ78*AR78*VLOOKUP('Données projet'!$B$10,Paramètres!$A$1:$I$89,3,0)*0.475*44/12</f>
        <v>21.918981231749719</v>
      </c>
      <c r="AV78" s="21">
        <f>EXP(-LN(2)/25)*AV77+(1-EXP(-LN(2)/25))/(LN(2)/25)*Calculateur!AQ78*Calculateur!AS78*VLOOKUP('Données projet'!$B$10,Paramètres!$A$1:$I$89,3,0)*0.475*44/12</f>
        <v>27.314643350435777</v>
      </c>
      <c r="AW78" s="21">
        <f>EXP(-LN(2)/2)*AW77+(1-EXP(-LN(2)/2))/(LN(2)/2)*AQ78*AT78*VLOOKUP('Données projet'!$B$10,Paramètres!$A$1:$I$89,3,0)*0.475*44/12</f>
        <v>4.1625657625221733</v>
      </c>
      <c r="AX78" s="21">
        <f t="shared" si="60"/>
        <v>53.396190344707669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243.54230160000029</v>
      </c>
      <c r="BF78" s="13">
        <f t="shared" si="91"/>
        <v>59.201022808040776</v>
      </c>
      <c r="BG78" s="20">
        <f t="shared" si="61"/>
        <v>527.27795667733812</v>
      </c>
      <c r="BH78" s="59">
        <f t="shared" si="62"/>
        <v>820.61129001067138</v>
      </c>
      <c r="BI78" s="59">
        <f ca="1">AVERAGE(OFFSET($BH$3,0,0,'Données projet'!$E$11+1,1))-AVERAGE(OFFSET($H$3,0,0,'Données projet'!$E$11+1,1))</f>
        <v>635.71275911100679</v>
      </c>
      <c r="BJ78" s="59">
        <f t="shared" si="92"/>
        <v>281.7776857269169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14.338361953229031</v>
      </c>
      <c r="BQ78" s="21">
        <f>EXP(-LN(2)/25)*BQ77+(1-EXP(-LN(2)/25))/(LN(2)/25)*Calculateur!BL78*Calculateur!BN78*VLOOKUP('Données projet'!$B$11,Paramètres!$A$1:$I$89,3,0)*0.475*44/12</f>
        <v>30.628263283791142</v>
      </c>
      <c r="BR78" s="21">
        <f>EXP(-LN(2)/2)*BR77+(1-EXP(-LN(2)/2))/(LN(2)/2)*BL78*BO78*VLOOKUP('Données projet'!$B$11,Paramètres!$A$1:$I$89,3,0)*0.475*44/12</f>
        <v>3.3254411714052541</v>
      </c>
      <c r="BS78" s="22">
        <f t="shared" si="63"/>
        <v>48.292066408425427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6.7437500000000021</v>
      </c>
      <c r="BY78" s="12">
        <f>IF('Données projet'!$A$114&gt;35,BY77+BX78-CG77,IF(A78&lt;'Données projet'!$A$114,$BV$205^A78,IF(A78='Données projet'!$A$114,'Données projet'!$B$114,BY77+BX78-CG77)))</f>
        <v>189.03250000000003</v>
      </c>
      <c r="BZ78" s="13">
        <f>BY78*VLOOKUP('Données projet'!$B$12,Paramètres!$A$1:$I$89,3,0)*VLOOKUP('Données projet'!$B$12,Paramètres!$A$1:$I$89,5,0)</f>
        <v>215.27021100000002</v>
      </c>
      <c r="CA78" s="13">
        <f t="shared" si="93"/>
        <v>53.085592766561511</v>
      </c>
      <c r="CB78" s="20">
        <f t="shared" si="64"/>
        <v>467.38635822676127</v>
      </c>
      <c r="CC78" s="59">
        <f t="shared" si="65"/>
        <v>760.71969156009459</v>
      </c>
      <c r="CD78" s="59">
        <f ca="1">AVERAGE(OFFSET($CC$3,0,0,'Données projet'!$E$12+1,1))-AVERAGE(OFFSET($H$3,0,0,'Données projet'!$E$12+1,1))</f>
        <v>593.28343396240075</v>
      </c>
      <c r="CE78" s="59">
        <f t="shared" si="94"/>
        <v>289.66477662068695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36.159103941753003</v>
      </c>
      <c r="CM78" s="21">
        <f>EXP(-LN(2)/2)*CM77+(1-EXP(-LN(2)/2))/(LN(2)/2)*CG78*CJ78*VLOOKUP('Données projet'!$B$12,Paramètres!$A$1:$I$89,3,0)*0.475*44/12</f>
        <v>1.220630415484965</v>
      </c>
      <c r="CN78" s="22">
        <f t="shared" si="66"/>
        <v>37.379734357237965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147.43589743589743</v>
      </c>
      <c r="CR78" s="12">
        <f>VLOOKUP(A78,'Données projet'!$A$139:$I$159,9,0)</f>
        <v>2.5641025641025692</v>
      </c>
      <c r="CS78" s="12">
        <f t="array" ref="CS78">INDEX(CR:CR,MIN(IF(ISNUMBER(CR78:CR274),ROW(CR78:CR274),"")))</f>
        <v>2.5641025641025692</v>
      </c>
      <c r="CT78" s="12">
        <f>IF('Données projet'!$A$140&gt;35,CT77+CS78-DB77,IF(A78&lt;'Données projet'!$A$140,$CQ$205^A78,IF(A78='Données projet'!$A$140,'Données projet'!$B$140,CT77+CS78-DB77)))</f>
        <v>147.43589743589757</v>
      </c>
      <c r="CU78" s="17">
        <f>CT78*VLOOKUP('Données projet'!$B$13,Paramètres!$A$1:$I$89,3,0)*VLOOKUP('Données projet'!$B$13,Paramètres!$A$1:$I$89,5,0)</f>
        <v>154.10000000000016</v>
      </c>
      <c r="CV78" s="13">
        <f t="shared" si="95"/>
        <v>39.508857983748648</v>
      </c>
      <c r="CW78" s="20">
        <f t="shared" si="67"/>
        <v>337.20209432169582</v>
      </c>
      <c r="CX78" s="59">
        <f t="shared" si="68"/>
        <v>630.53542765502914</v>
      </c>
      <c r="CY78" s="59">
        <f ca="1">AVERAGE(OFFSET($CX$3,0,0,'Données projet'!$E$13+1,1))-AVERAGE(OFFSET($H$3,0,0,'Données projet'!$E$13+1,1))</f>
        <v>260.65406541614402</v>
      </c>
      <c r="CZ78" s="59">
        <f t="shared" si="96"/>
        <v>277.63456890196886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9.615384615384615</v>
      </c>
      <c r="DC78" s="16">
        <f>IF(ISNA(VLOOKUP(A78,'Données projet'!$A$139:$I$159,5,0)),0%,VLOOKUP(A78,'Données projet'!$A$139:$I$159,5,0)*VLOOKUP('Données projet'!$B$13,Paramètres!$A$1:$I$89,7,0))</f>
        <v>4.3000000000000003E-2</v>
      </c>
      <c r="DD78" s="16">
        <f>IF(ISNA(VLOOKUP(A78,'Données projet'!$A$139:$I$159,6,0)),0%,VLOOKUP(A78,'Données projet'!$A$139:$I$159,6,0)*VLOOKUP('Données projet'!$B$13,Paramètres!$A$1:$I$89,7,0))</f>
        <v>0.215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3.0905848043435862</v>
      </c>
      <c r="DG78" s="21">
        <f>EXP(-LN(2)/25)*DG77+(1-EXP(-LN(2)/25))/(LN(2)/25)*Calculateur!DB78*Calculateur!DD78*VLOOKUP('Données projet'!$B$13,Paramètres!$A$1:$I$89,3,0)*0.475*44/12</f>
        <v>24.817211280880876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27.907796085224462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154.48717948717947</v>
      </c>
      <c r="DM78" s="12">
        <f>VLOOKUP(A78,'Données projet'!$A$165:$I$185,9,0)</f>
        <v>2.9487179487179502</v>
      </c>
      <c r="DN78" s="12">
        <f t="array" ref="DN78">INDEX(DM:DM,MIN(IF(ISNUMBER(DM78:DM274),ROW(DM78:DM274),"")))</f>
        <v>2.9487179487179502</v>
      </c>
      <c r="DO78" s="12">
        <f>IF('Données projet'!$A$166&gt;35,DO77+DN78-DW77,IF(A78&lt;'Données projet'!$A$166,$DL$205^A78,IF(A78='Données projet'!$A$166,'Données projet'!$B$166,DO77+DN78-DW77)))</f>
        <v>154.48717948717959</v>
      </c>
      <c r="DP78" s="17">
        <f>DO78*VLOOKUP('Données projet'!$B$14,Paramètres!$A$1:$I$89,3,0)*VLOOKUP('Données projet'!$B$14,Paramètres!$A$1:$I$89,5,0)</f>
        <v>101.22000000000007</v>
      </c>
      <c r="DQ78" s="13">
        <f t="shared" si="97"/>
        <v>27.252440284062416</v>
      </c>
      <c r="DR78" s="20">
        <f t="shared" si="70"/>
        <v>223.75616682807549</v>
      </c>
      <c r="DS78" s="59">
        <f t="shared" si="71"/>
        <v>517.08950016140875</v>
      </c>
      <c r="DT78" s="59">
        <f ca="1">AVERAGE(OFFSET($DS$3,0,0,'Données projet'!$E$14+1,1))-AVERAGE(OFFSET($H$3,0,0,'Données projet'!$E$14+1,1))</f>
        <v>181.4272795535777</v>
      </c>
      <c r="DU78" s="59">
        <f t="shared" si="98"/>
        <v>187.67131775419904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11.538461538461538</v>
      </c>
      <c r="DX78" s="16">
        <f>IF(ISNA(VLOOKUP(A78,'Données projet'!$A$165:$I$185,5,0)),0%,VLOOKUP(A78,'Données projet'!$A$165:$I$185,5,0)*VLOOKUP('Données projet'!$B$14,Paramètres!$A$1:$I$89,7,0))</f>
        <v>0.1075</v>
      </c>
      <c r="DY78" s="16">
        <f>IF(ISNA(VLOOKUP(A78,'Données projet'!$A$165:$I$185,6,0)),0%,VLOOKUP(A78,'Données projet'!$A$165:$I$185,6,0)*VLOOKUP('Données projet'!$B$14,Paramètres!$A$1:$I$89,7,0))</f>
        <v>0.1075</v>
      </c>
      <c r="DZ78" s="16">
        <f>IF(ISNA(VLOOKUP(A78,'Données projet'!$A$165:$I$185,7,0)),0%,VLOOKUP(A78,'Données projet'!$A$165:$I$185,7,0))</f>
        <v>0.25</v>
      </c>
      <c r="EA78" s="21">
        <f>EXP(-LN(2)/35)*EA77+(1-EXP(-LN(2)/35))/(LN(2)/35)*DW78*DX78*VLOOKUP('Données projet'!$B$14,Paramètres!$A$1:$I$89,3,0)*0.475*44/12</f>
        <v>4.1646186215370991</v>
      </c>
      <c r="EB78" s="21">
        <f>EXP(-LN(2)/25)*EB77+(1-EXP(-LN(2)/25))/(LN(2)/25)*Calculateur!DW78*Calculateur!DY78*VLOOKUP('Données projet'!$B$14,Paramètres!$A$1:$I$89,3,0)*0.475*44/12</f>
        <v>6.6110863985787471</v>
      </c>
      <c r="EC78" s="21">
        <f>EXP(-LN(2)/2)*EC77+(1-EXP(-LN(2)/2))/(LN(2)/2)*DW78*DZ78*VLOOKUP('Données projet'!$B$14,Paramètres!$A$1:$I$89,3,0)*0.475*44/12</f>
        <v>2.1927058461202122</v>
      </c>
      <c r="ED78" s="22">
        <f t="shared" si="72"/>
        <v>12.968410866236059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1.1368683772161603E-13</v>
      </c>
      <c r="EK78" s="17">
        <f>EJ78*VLOOKUP('Données projet'!$B$15,Paramètres!$A$1:$I$89,3,0)*VLOOKUP('Données projet'!$B$15,Paramètres!$A$1:$I$89,5,0)</f>
        <v>9.2222762759774927E-14</v>
      </c>
      <c r="EL78" s="13">
        <f t="shared" si="99"/>
        <v>1.3985662224947967E-12</v>
      </c>
      <c r="EM78" s="20">
        <f t="shared" si="73"/>
        <v>2.5964574826517121E-12</v>
      </c>
      <c r="EN78" s="59">
        <f t="shared" si="74"/>
        <v>293.33333333333593</v>
      </c>
      <c r="EO78" s="59">
        <f ca="1">AVERAGE(OFFSET($EN$3,0,0,'Données projet'!$E$15+1,1))-AVERAGE(OFFSET($H$3,0,0,'Données projet'!$E$15+1,1))</f>
        <v>159.68591355116837</v>
      </c>
      <c r="EP78" s="59">
        <f t="shared" si="100"/>
        <v>284.32631786390112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7.2919037174752317</v>
      </c>
      <c r="EW78" s="21">
        <f>EXP(-LN(2)/25)*EW77+(1-EXP(-LN(2)/25))/(LN(2)/25)*Calculateur!ER78*Calculateur!ET78*VLOOKUP('Données projet'!$B$15,Paramètres!$A$1:$I$89,3,0)*0.475*44/12</f>
        <v>7.3209210093529853</v>
      </c>
      <c r="EX78" s="21">
        <f>EXP(-LN(2)/2)*EX77+(1-EXP(-LN(2)/2))/(LN(2)/2)*ER78*EU78*VLOOKUP('Données projet'!$B$15,Paramètres!$A$1:$I$89,3,0)*0.475*44/12</f>
        <v>1.5743157179211312E-4</v>
      </c>
      <c r="EY78" s="22">
        <f t="shared" si="75"/>
        <v>14.612982158400008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270</v>
      </c>
      <c r="FC78" s="12">
        <f>VLOOKUP(A78,'Données projet'!$A$217:$I$237,9,0)</f>
        <v>3.4</v>
      </c>
      <c r="FD78" s="12">
        <f t="array" ref="FD78">INDEX(FC:FC,MIN(IF(ISNUMBER(FC78:FC274),ROW(FC78:FC274),"")))</f>
        <v>3.4</v>
      </c>
      <c r="FE78" s="12">
        <f>IF('Données projet'!$A$218&gt;35,FE77+FD78-FM77,IF(A78&lt;'Données projet'!$A$218,$FB$205^A78,IF(A78='Données projet'!$A$218,'Données projet'!$B$218,FE77+FD78-FM77)))</f>
        <v>269.99999999999977</v>
      </c>
      <c r="FF78" s="17">
        <f>FE78*VLOOKUP('Données projet'!$B$16,Paramètres!$A$1:$I$89,3,0)*VLOOKUP('Données projet'!$B$16,Paramètres!$A$1:$I$89,5,0)</f>
        <v>214.81199999999981</v>
      </c>
      <c r="FG78" s="13">
        <f t="shared" si="101"/>
        <v>52.985738231738011</v>
      </c>
      <c r="FH78" s="20">
        <f t="shared" si="76"/>
        <v>466.41439408694333</v>
      </c>
      <c r="FI78" s="59">
        <f t="shared" si="77"/>
        <v>759.74772742027665</v>
      </c>
      <c r="FJ78" s="59">
        <f ca="1">AVERAGE(OFFSET($FI$3,0,0,'Données projet'!$E$16+1,1))-AVERAGE(OFFSET($H$3,0,0,'Données projet'!$E$16+1,1))</f>
        <v>299.10536994156814</v>
      </c>
      <c r="FK78" s="59">
        <f t="shared" si="102"/>
        <v>292.57799203101769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0.13250000000000001</v>
      </c>
      <c r="FO78" s="16">
        <f>IF(ISNA(VLOOKUP(A78,'Données projet'!$A$217:$I$237,6,0)),0%,VLOOKUP(A78,'Données projet'!$A$217:$I$237,6,0)*VLOOKUP('Données projet'!$B$16,Paramètres!$A$1:$I$89,7,0))</f>
        <v>0.13250000000000001</v>
      </c>
      <c r="FP78" s="16">
        <f>IF(ISNA(VLOOKUP(A78,'Données projet'!$A$217:$I$237,7,0)),0%,VLOOKUP(A78,'Données projet'!$A$217:$I$237,7,0))</f>
        <v>0.25</v>
      </c>
      <c r="FQ78" s="21">
        <f>EXP(-LN(2)/35)*FQ77+(1-EXP(-LN(2)/35))/(LN(2)/35)*FM78*FN78*VLOOKUP('Données projet'!$B$16,Paramètres!$A$1:$I$89,3,0)*0.475*44/12</f>
        <v>9.4687136983026505</v>
      </c>
      <c r="FR78" s="21">
        <f>EXP(-LN(2)/25)*FR77+(1-EXP(-LN(2)/25))/(LN(2)/25)*Calculateur!FM78*Calculateur!FO78*VLOOKUP('Données projet'!$B$16,Paramètres!$A$1:$I$89,3,0)*0.475*44/12</f>
        <v>11.993592283578886</v>
      </c>
      <c r="FS78" s="21">
        <f>EXP(-LN(2)/2)*FS77+(1-EXP(-LN(2)/2))/(LN(2)/2)*FM78*FP78*VLOOKUP('Données projet'!$B$16,Paramètres!$A$1:$I$89,3,0)*0.475*44/12</f>
        <v>2.1008050479363183</v>
      </c>
      <c r="FT78" s="22">
        <f t="shared" si="78"/>
        <v>23.563111029817854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5.6843418860808015E-14</v>
      </c>
      <c r="GA78" s="17">
        <f>FZ78*VLOOKUP('Données projet'!$B$17,Paramètres!$A$1:$I$89,3,0)*VLOOKUP('Données projet'!$B$17,Paramètres!$A$1:$I$89,5,0)</f>
        <v>5.1431925385259088E-14</v>
      </c>
      <c r="GB78" s="13">
        <f t="shared" si="103"/>
        <v>8.3482866290946129E-13</v>
      </c>
      <c r="GC78" s="20">
        <f t="shared" si="79"/>
        <v>1.5435705246133045E-12</v>
      </c>
      <c r="GD78" s="59">
        <f t="shared" si="80"/>
        <v>293.33333333333485</v>
      </c>
      <c r="GE78" s="59">
        <f ca="1">AVERAGE(OFFSET($GD$3,0,0,'Données projet'!$E$17+1,1))-AVERAGE(OFFSET($H$3,0,0,'Données projet'!$E$17+1,1))</f>
        <v>204.78565758021779</v>
      </c>
      <c r="GF78" s="59">
        <f t="shared" si="104"/>
        <v>287.25131613242439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8.6170124498696588</v>
      </c>
      <c r="GM78" s="21">
        <f>EXP(-LN(2)/25)*GM77+(1-EXP(-LN(2)/25))/(LN(2)/25)*Calculateur!GH78*Calculateur!GJ78*VLOOKUP('Données projet'!$B$17,Paramètres!$A$1:$I$89,3,0)*0.475*44/12</f>
        <v>5.7530345793113709</v>
      </c>
      <c r="GN78" s="21">
        <f>EXP(-LN(2)/2)*GN77+(1-EXP(-LN(2)/2))/(LN(2)/2)*GH78*GK78*VLOOKUP('Données projet'!$B$17,Paramètres!$A$1:$I$89,3,0)*0.475*44/12</f>
        <v>4.2085538891212021E-4</v>
      </c>
      <c r="GO78" s="21">
        <f t="shared" si="81"/>
        <v>14.370467884569942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5.6843418860808015E-14</v>
      </c>
      <c r="GV78" s="17">
        <f>GU78*VLOOKUP('Données projet'!$B$18,Paramètres!$A$1:$I$89,3,0)*VLOOKUP('Données projet'!$B$18,Paramètres!$A$1:$I$89,5,0)</f>
        <v>4.4337866711430253E-14</v>
      </c>
      <c r="GW78" s="13">
        <f t="shared" si="105"/>
        <v>7.3222115536967035E-13</v>
      </c>
      <c r="GX78" s="20">
        <f t="shared" si="82"/>
        <v>1.3525069634579169E-12</v>
      </c>
      <c r="GY78" s="59">
        <f t="shared" si="83"/>
        <v>293.33333333333468</v>
      </c>
      <c r="GZ78" s="59">
        <f ca="1">AVERAGE(OFFSET($GY$3,0,0,'Données projet'!$E$18+1,1))-AVERAGE(OFFSET($H$3,0,0,'Données projet'!$E$18+1,1))</f>
        <v>288.82868507674738</v>
      </c>
      <c r="HA78" s="59">
        <f t="shared" si="106"/>
        <v>283.48738729114024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38.181147142292005</v>
      </c>
      <c r="HH78" s="21">
        <f>EXP(-LN(2)/25)*HH77+(1-EXP(-LN(2)/25))/(LN(2)/25)*Calculateur!HC78*Calculateur!HE78*VLOOKUP('Données projet'!$B$18,Paramètres!$A$1:$I$89,3,0)*0.475*44/12</f>
        <v>35.847116838825244</v>
      </c>
      <c r="HI78" s="21">
        <f>EXP(-LN(2)/2)*HI77+(1-EXP(-LN(2)/2))/(LN(2)/2)*HC78*HF78*VLOOKUP('Données projet'!$B$18,Paramètres!$A$1:$I$89,3,0)*0.475*44/12</f>
        <v>7.5945027066604256</v>
      </c>
      <c r="HJ78" s="22">
        <f t="shared" si="84"/>
        <v>81.62276668777767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9.7839999999999971</v>
      </c>
      <c r="N79" s="13">
        <f>IF('Données projet'!$A$36&gt;35,N78+M79-V78,IF(A79&lt;'Données projet'!$A$36,$K$205^A79,IF(A79='Données projet'!$A$36,'Données projet'!$B$36,N78+M79-V78)))</f>
        <v>480.89399999999972</v>
      </c>
      <c r="O79" s="13">
        <f>N79*VLOOKUP('Données projet'!$B$9,Paramètres!$A$1:$I$89,3,0)*VLOOKUP('Données projet'!$B$9,Paramètres!$A$1:$I$89,5,0)</f>
        <v>287.57461199999989</v>
      </c>
      <c r="P79" s="13">
        <f t="shared" si="87"/>
        <v>68.565246901335968</v>
      </c>
      <c r="Q79" s="20">
        <f t="shared" si="54"/>
        <v>620.27692091982669</v>
      </c>
      <c r="R79" s="59">
        <f t="shared" si="55"/>
        <v>913.61025425316006</v>
      </c>
      <c r="S79" s="59">
        <f ca="1">AVERAGE(OFFSET($R$3,0,0,'Données projet'!$E$9+1,1))-AVERAGE(OFFSET($H$3,0,0,'Données projet'!$E$9+1,1))</f>
        <v>349.71285006949597</v>
      </c>
      <c r="T79" s="59">
        <f t="shared" si="88"/>
        <v>258.51550516456842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45.336608772135044</v>
      </c>
      <c r="AA79" s="21">
        <f>EXP(-LN(2)/25)*AA78+(1-EXP(-LN(2)/25))/(LN(2)/25)*Calculateur!V79*Calculateur!X79*VLOOKUP('Données projet'!$B$9,Paramètres!$A$1:$I$89,3,0)*0.475*44/12</f>
        <v>16.494123596448315</v>
      </c>
      <c r="AB79" s="21">
        <f>EXP(-LN(2)/2)*AB78+(1-EXP(-LN(2)/2))/(LN(2)/2)*V79*Y79*VLOOKUP('Données projet'!$B$9,Paramètres!$A$1:$I$89,3,0)*0.475*44/12</f>
        <v>1.1871572158367227</v>
      </c>
      <c r="AC79" s="22">
        <f t="shared" si="57"/>
        <v>63.017889584420075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9.4837500000000006</v>
      </c>
      <c r="AI79" s="13">
        <f>IF('Données projet'!$A$62&gt;35,AI78+AH79-AQ78,IF(A79&lt;'Données projet'!$A$62,$AF$205^A79,IF(A79='Données projet'!$A$62,'Données projet'!$B$62,AI78+AH79-AQ78)))</f>
        <v>239.72375</v>
      </c>
      <c r="AJ79" s="13">
        <f>AI79*VLOOKUP('Données projet'!$B$10,Paramètres!$A$1:$I$89,3,0)*VLOOKUP('Données projet'!$B$10,Paramètres!$A$1:$I$89,5,0)</f>
        <v>228.12112049999999</v>
      </c>
      <c r="AK79" s="13">
        <f t="shared" si="89"/>
        <v>55.876230114888095</v>
      </c>
      <c r="AL79" s="20">
        <f t="shared" si="58"/>
        <v>494.62871898759676</v>
      </c>
      <c r="AM79" s="59">
        <f t="shared" si="59"/>
        <v>787.96205232093007</v>
      </c>
      <c r="AN79" s="59">
        <f ca="1">AVERAGE(OFFSET($AM$3,0,0,'Données projet'!$E$10+1,1))-AVERAGE(OFFSET($H$3,0,0,'Données projet'!$E$10+1,1))</f>
        <v>449.28947235329758</v>
      </c>
      <c r="AO79" s="59">
        <f t="shared" si="90"/>
        <v>289.36994109443964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21.489163379053554</v>
      </c>
      <c r="AV79" s="21">
        <f>EXP(-LN(2)/25)*AV78+(1-EXP(-LN(2)/25))/(LN(2)/25)*Calculateur!AQ79*Calculateur!AS79*VLOOKUP('Données projet'!$B$10,Paramètres!$A$1:$I$89,3,0)*0.475*44/12</f>
        <v>26.567722991603446</v>
      </c>
      <c r="AW79" s="21">
        <f>EXP(-LN(2)/2)*AW78+(1-EXP(-LN(2)/2))/(LN(2)/2)*AQ79*AT79*VLOOKUP('Données projet'!$B$10,Paramètres!$A$1:$I$89,3,0)*0.475*44/12</f>
        <v>2.943378477814381</v>
      </c>
      <c r="AX79" s="21">
        <f t="shared" si="60"/>
        <v>51.000264848471375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252.18042720000025</v>
      </c>
      <c r="BF79" s="13">
        <f t="shared" si="91"/>
        <v>61.052610283141384</v>
      </c>
      <c r="BG79" s="20">
        <f t="shared" si="61"/>
        <v>545.54754028313835</v>
      </c>
      <c r="BH79" s="59">
        <f t="shared" si="62"/>
        <v>838.88087361647172</v>
      </c>
      <c r="BI79" s="59">
        <f ca="1">AVERAGE(OFFSET($BH$3,0,0,'Données projet'!$E$11+1,1))-AVERAGE(OFFSET($H$3,0,0,'Données projet'!$E$11+1,1))</f>
        <v>635.71275911100679</v>
      </c>
      <c r="BJ79" s="59">
        <f t="shared" si="92"/>
        <v>281.7776857269169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14.057195420863451</v>
      </c>
      <c r="BQ79" s="21">
        <f>EXP(-LN(2)/25)*BQ78+(1-EXP(-LN(2)/25))/(LN(2)/25)*Calculateur!BL79*Calculateur!BN79*VLOOKUP('Données projet'!$B$11,Paramètres!$A$1:$I$89,3,0)*0.475*44/12</f>
        <v>29.790731813625509</v>
      </c>
      <c r="BR79" s="21">
        <f>EXP(-LN(2)/2)*BR78+(1-EXP(-LN(2)/2))/(LN(2)/2)*BL79*BO79*VLOOKUP('Données projet'!$B$11,Paramètres!$A$1:$I$89,3,0)*0.475*44/12</f>
        <v>2.3514420027375915</v>
      </c>
      <c r="BS79" s="22">
        <f t="shared" si="63"/>
        <v>46.199369237226556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6.7437500000000021</v>
      </c>
      <c r="BY79" s="12">
        <f>IF('Données projet'!$A$114&gt;35,BY78+BX79-CG78,IF(A79&lt;'Données projet'!$A$114,$BV$205^A79,IF(A79='Données projet'!$A$114,'Données projet'!$B$114,BY78+BX79-CG78)))</f>
        <v>195.77625000000003</v>
      </c>
      <c r="BZ79" s="13">
        <f>BY79*VLOOKUP('Données projet'!$B$12,Paramètres!$A$1:$I$89,3,0)*VLOOKUP('Données projet'!$B$12,Paramètres!$A$1:$I$89,5,0)</f>
        <v>222.94999350000006</v>
      </c>
      <c r="CA79" s="13">
        <f t="shared" si="93"/>
        <v>54.755554340667125</v>
      </c>
      <c r="CB79" s="20">
        <f t="shared" si="64"/>
        <v>483.67049582249541</v>
      </c>
      <c r="CC79" s="59">
        <f t="shared" si="65"/>
        <v>777.00382915582873</v>
      </c>
      <c r="CD79" s="59">
        <f ca="1">AVERAGE(OFFSET($CC$3,0,0,'Données projet'!$E$12+1,1))-AVERAGE(OFFSET($H$3,0,0,'Données projet'!$E$12+1,1))</f>
        <v>593.28343396240075</v>
      </c>
      <c r="CE79" s="59">
        <f t="shared" si="94"/>
        <v>289.66477662068695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35.170331342941132</v>
      </c>
      <c r="CM79" s="21">
        <f>EXP(-LN(2)/2)*CM78+(1-EXP(-LN(2)/2))/(LN(2)/2)*CG79*CJ79*VLOOKUP('Données projet'!$B$12,Paramètres!$A$1:$I$89,3,0)*0.475*44/12</f>
        <v>0.86311604411197174</v>
      </c>
      <c r="CN79" s="22">
        <f t="shared" si="66"/>
        <v>36.033447387053101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2.1794871794871766</v>
      </c>
      <c r="CT79" s="12">
        <f>IF('Données projet'!$A$140&gt;35,CT78+CS79-DB78,IF(A79&lt;'Données projet'!$A$140,$CQ$205^A79,IF(A79='Données projet'!$A$140,'Données projet'!$B$140,CT78+CS79-DB78)))</f>
        <v>140.00000000000014</v>
      </c>
      <c r="CU79" s="17">
        <f>CT79*VLOOKUP('Données projet'!$B$13,Paramètres!$A$1:$I$89,3,0)*VLOOKUP('Données projet'!$B$13,Paramètres!$A$1:$I$89,5,0)</f>
        <v>146.32800000000015</v>
      </c>
      <c r="CV79" s="13">
        <f t="shared" si="95"/>
        <v>37.742910564363818</v>
      </c>
      <c r="CW79" s="20">
        <f t="shared" si="67"/>
        <v>320.59016923293393</v>
      </c>
      <c r="CX79" s="59">
        <f t="shared" si="68"/>
        <v>613.92350256626719</v>
      </c>
      <c r="CY79" s="59">
        <f ca="1">AVERAGE(OFFSET($CX$3,0,0,'Données projet'!$E$13+1,1))-AVERAGE(OFFSET($H$3,0,0,'Données projet'!$E$13+1,1))</f>
        <v>260.65406541614402</v>
      </c>
      <c r="CZ79" s="59">
        <f t="shared" si="96"/>
        <v>277.63456890196886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3.0299803214010037</v>
      </c>
      <c r="DG79" s="21">
        <f>EXP(-LN(2)/25)*DG78+(1-EXP(-LN(2)/25))/(LN(2)/25)*Calculateur!DB79*Calculateur!DD79*VLOOKUP('Données projet'!$B$13,Paramètres!$A$1:$I$89,3,0)*0.475*44/12</f>
        <v>24.138583333324767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27.168563654725773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2.6923076923076961</v>
      </c>
      <c r="DO79" s="12">
        <f>IF('Données projet'!$A$166&gt;35,DO78+DN79-DW78,IF(A79&lt;'Données projet'!$A$166,$DL$205^A79,IF(A79='Données projet'!$A$166,'Données projet'!$B$166,DO78+DN79-DW78)))</f>
        <v>145.64102564102575</v>
      </c>
      <c r="DP79" s="17">
        <f>DO79*VLOOKUP('Données projet'!$B$14,Paramètres!$A$1:$I$89,3,0)*VLOOKUP('Données projet'!$B$14,Paramètres!$A$1:$I$89,5,0)</f>
        <v>95.424000000000078</v>
      </c>
      <c r="DQ79" s="13">
        <f t="shared" si="97"/>
        <v>25.868874603839831</v>
      </c>
      <c r="DR79" s="20">
        <f t="shared" si="70"/>
        <v>211.25175660168782</v>
      </c>
      <c r="DS79" s="59">
        <f t="shared" si="71"/>
        <v>504.58508993502113</v>
      </c>
      <c r="DT79" s="59">
        <f ca="1">AVERAGE(OFFSET($DS$3,0,0,'Données projet'!$E$14+1,1))-AVERAGE(OFFSET($H$3,0,0,'Données projet'!$E$14+1,1))</f>
        <v>181.4272795535777</v>
      </c>
      <c r="DU79" s="59">
        <f t="shared" si="98"/>
        <v>187.67131775419904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4.0829529905352953</v>
      </c>
      <c r="EB79" s="21">
        <f>EXP(-LN(2)/25)*EB78+(1-EXP(-LN(2)/25))/(LN(2)/25)*Calculateur!DW79*Calculateur!DY79*VLOOKUP('Données projet'!$B$14,Paramètres!$A$1:$I$89,3,0)*0.475*44/12</f>
        <v>6.4303058933476871</v>
      </c>
      <c r="EC79" s="21">
        <f>EXP(-LN(2)/2)*EC78+(1-EXP(-LN(2)/2))/(LN(2)/2)*DW79*DZ79*VLOOKUP('Données projet'!$B$14,Paramètres!$A$1:$I$89,3,0)*0.475*44/12</f>
        <v>1.5504771729389886</v>
      </c>
      <c r="ED79" s="22">
        <f t="shared" si="72"/>
        <v>12.063736056821972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1.1368683772161603E-13</v>
      </c>
      <c r="EK79" s="17">
        <f>EJ79*VLOOKUP('Données projet'!$B$15,Paramètres!$A$1:$I$89,3,0)*VLOOKUP('Données projet'!$B$15,Paramètres!$A$1:$I$89,5,0)</f>
        <v>9.2222762759774927E-14</v>
      </c>
      <c r="EL79" s="13">
        <f t="shared" si="99"/>
        <v>1.3985662224947967E-12</v>
      </c>
      <c r="EM79" s="20">
        <f t="shared" si="73"/>
        <v>2.5964574826517121E-12</v>
      </c>
      <c r="EN79" s="59">
        <f t="shared" si="74"/>
        <v>293.33333333333593</v>
      </c>
      <c r="EO79" s="59">
        <f ca="1">AVERAGE(OFFSET($EN$3,0,0,'Données projet'!$E$15+1,1))-AVERAGE(OFFSET($H$3,0,0,'Données projet'!$E$15+1,1))</f>
        <v>159.68591355116837</v>
      </c>
      <c r="EP79" s="59">
        <f t="shared" si="100"/>
        <v>284.32631786390112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7.1489139331976439</v>
      </c>
      <c r="EW79" s="21">
        <f>EXP(-LN(2)/25)*EW78+(1-EXP(-LN(2)/25))/(LN(2)/25)*Calculateur!ER79*Calculateur!ET79*VLOOKUP('Données projet'!$B$15,Paramètres!$A$1:$I$89,3,0)*0.475*44/12</f>
        <v>7.1207300393617246</v>
      </c>
      <c r="EX79" s="21">
        <f>EXP(-LN(2)/2)*EX78+(1-EXP(-LN(2)/2))/(LN(2)/2)*ER79*EU79*VLOOKUP('Données projet'!$B$15,Paramètres!$A$1:$I$89,3,0)*0.475*44/12</f>
        <v>1.1132093198705998E-4</v>
      </c>
      <c r="EY79" s="22">
        <f t="shared" si="75"/>
        <v>14.269755293491356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2.8</v>
      </c>
      <c r="FE79" s="12">
        <f>IF('Données projet'!$A$218&gt;35,FE78+FD79-FM78,IF(A79&lt;'Données projet'!$A$218,$FB$205^A79,IF(A79='Données projet'!$A$218,'Données projet'!$B$218,FE78+FD79-FM78)))</f>
        <v>263.79999999999978</v>
      </c>
      <c r="FF79" s="17">
        <f>FE79*VLOOKUP('Données projet'!$B$16,Paramètres!$A$1:$I$89,3,0)*VLOOKUP('Données projet'!$B$16,Paramètres!$A$1:$I$89,5,0)</f>
        <v>209.87927999999985</v>
      </c>
      <c r="FG79" s="13">
        <f t="shared" si="101"/>
        <v>51.909204458241767</v>
      </c>
      <c r="FH79" s="20">
        <f t="shared" si="76"/>
        <v>455.94827709810414</v>
      </c>
      <c r="FI79" s="59">
        <f t="shared" si="77"/>
        <v>749.28161043143746</v>
      </c>
      <c r="FJ79" s="59">
        <f ca="1">AVERAGE(OFFSET($FI$3,0,0,'Données projet'!$E$16+1,1))-AVERAGE(OFFSET($H$3,0,0,'Données projet'!$E$16+1,1))</f>
        <v>299.10536994156814</v>
      </c>
      <c r="FK79" s="59">
        <f t="shared" si="102"/>
        <v>292.57799203101769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9.2830379980240227</v>
      </c>
      <c r="FR79" s="21">
        <f>EXP(-LN(2)/25)*FR78+(1-EXP(-LN(2)/25))/(LN(2)/25)*Calculateur!FM79*Calculateur!FO79*VLOOKUP('Données projet'!$B$16,Paramètres!$A$1:$I$89,3,0)*0.475*44/12</f>
        <v>11.665626871868815</v>
      </c>
      <c r="FS79" s="21">
        <f>EXP(-LN(2)/2)*FS78+(1-EXP(-LN(2)/2))/(LN(2)/2)*FM79*FP79*VLOOKUP('Données projet'!$B$16,Paramètres!$A$1:$I$89,3,0)*0.475*44/12</f>
        <v>1.4854934953467007</v>
      </c>
      <c r="FT79" s="22">
        <f t="shared" si="78"/>
        <v>22.43415836523954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5.6843418860808015E-14</v>
      </c>
      <c r="GA79" s="17">
        <f>FZ79*VLOOKUP('Données projet'!$B$17,Paramètres!$A$1:$I$89,3,0)*VLOOKUP('Données projet'!$B$17,Paramètres!$A$1:$I$89,5,0)</f>
        <v>5.1431925385259088E-14</v>
      </c>
      <c r="GB79" s="13">
        <f t="shared" si="103"/>
        <v>8.3482866290946129E-13</v>
      </c>
      <c r="GC79" s="20">
        <f t="shared" si="79"/>
        <v>1.5435705246133045E-12</v>
      </c>
      <c r="GD79" s="59">
        <f t="shared" si="80"/>
        <v>293.33333333333485</v>
      </c>
      <c r="GE79" s="59">
        <f ca="1">AVERAGE(OFFSET($GD$3,0,0,'Données projet'!$E$17+1,1))-AVERAGE(OFFSET($H$3,0,0,'Données projet'!$E$17+1,1))</f>
        <v>204.78565758021779</v>
      </c>
      <c r="GF79" s="59">
        <f t="shared" si="104"/>
        <v>287.25131613242439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8.4480380915863371</v>
      </c>
      <c r="GM79" s="21">
        <f>EXP(-LN(2)/25)*GM78+(1-EXP(-LN(2)/25))/(LN(2)/25)*Calculateur!GH79*Calculateur!GJ79*VLOOKUP('Données projet'!$B$17,Paramètres!$A$1:$I$89,3,0)*0.475*44/12</f>
        <v>5.5957175462011612</v>
      </c>
      <c r="GN79" s="21">
        <f>EXP(-LN(2)/2)*GN78+(1-EXP(-LN(2)/2))/(LN(2)/2)*GH79*GK79*VLOOKUP('Données projet'!$B$17,Paramètres!$A$1:$I$89,3,0)*0.475*44/12</f>
        <v>2.9758969939866194E-4</v>
      </c>
      <c r="GO79" s="21">
        <f t="shared" si="81"/>
        <v>14.044053227486897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5.6843418860808015E-14</v>
      </c>
      <c r="GV79" s="17">
        <f>GU79*VLOOKUP('Données projet'!$B$18,Paramètres!$A$1:$I$89,3,0)*VLOOKUP('Données projet'!$B$18,Paramètres!$A$1:$I$89,5,0)</f>
        <v>4.4337866711430253E-14</v>
      </c>
      <c r="GW79" s="13">
        <f t="shared" si="105"/>
        <v>7.3222115536967035E-13</v>
      </c>
      <c r="GX79" s="20">
        <f t="shared" si="82"/>
        <v>1.3525069634579169E-12</v>
      </c>
      <c r="GY79" s="59">
        <f t="shared" si="83"/>
        <v>293.33333333333468</v>
      </c>
      <c r="GZ79" s="59">
        <f ca="1">AVERAGE(OFFSET($GY$3,0,0,'Données projet'!$E$18+1,1))-AVERAGE(OFFSET($H$3,0,0,'Données projet'!$E$18+1,1))</f>
        <v>288.82868507674738</v>
      </c>
      <c r="HA79" s="59">
        <f t="shared" si="106"/>
        <v>283.48738729114024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37.432438135031894</v>
      </c>
      <c r="HH79" s="21">
        <f>EXP(-LN(2)/25)*HH78+(1-EXP(-LN(2)/25))/(LN(2)/25)*Calculateur!HC79*Calculateur!HE79*VLOOKUP('Données projet'!$B$18,Paramètres!$A$1:$I$89,3,0)*0.475*44/12</f>
        <v>34.866875543749622</v>
      </c>
      <c r="HI79" s="21">
        <f>EXP(-LN(2)/2)*HI78+(1-EXP(-LN(2)/2))/(LN(2)/2)*HC79*HF79*VLOOKUP('Données projet'!$B$18,Paramètres!$A$1:$I$89,3,0)*0.475*44/12</f>
        <v>5.3701243636191771</v>
      </c>
      <c r="HJ79" s="22">
        <f t="shared" si="84"/>
        <v>77.669438042400699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9.7839999999999971</v>
      </c>
      <c r="N80" s="13">
        <f>IF('Données projet'!$A$36&gt;35,N79+M80-V79,IF(A80&lt;'Données projet'!$A$36,$K$205^A80,IF(A80='Données projet'!$A$36,'Données projet'!$B$36,N79+M80-V79)))</f>
        <v>490.67799999999971</v>
      </c>
      <c r="O80" s="13">
        <f>N80*VLOOKUP('Données projet'!$B$9,Paramètres!$A$1:$I$89,3,0)*VLOOKUP('Données projet'!$B$9,Paramètres!$A$1:$I$89,5,0)</f>
        <v>293.42544399999986</v>
      </c>
      <c r="P80" s="13">
        <f t="shared" si="87"/>
        <v>69.796411555705205</v>
      </c>
      <c r="Q80" s="20">
        <f t="shared" si="54"/>
        <v>632.61139842618638</v>
      </c>
      <c r="R80" s="59">
        <f t="shared" si="55"/>
        <v>925.94473175951975</v>
      </c>
      <c r="S80" s="59">
        <f ca="1">AVERAGE(OFFSET($R$3,0,0,'Données projet'!$E$9+1,1))-AVERAGE(OFFSET($H$3,0,0,'Données projet'!$E$9+1,1))</f>
        <v>349.71285006949597</v>
      </c>
      <c r="T80" s="59">
        <f t="shared" si="88"/>
        <v>258.51550516456842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44.447585526714356</v>
      </c>
      <c r="AA80" s="21">
        <f>EXP(-LN(2)/25)*AA79+(1-EXP(-LN(2)/25))/(LN(2)/25)*Calculateur!V80*Calculateur!X80*VLOOKUP('Données projet'!$B$9,Paramètres!$A$1:$I$89,3,0)*0.475*44/12</f>
        <v>16.043090919315173</v>
      </c>
      <c r="AB80" s="21">
        <f>EXP(-LN(2)/2)*AB79+(1-EXP(-LN(2)/2))/(LN(2)/2)*V80*Y80*VLOOKUP('Données projet'!$B$9,Paramètres!$A$1:$I$89,3,0)*0.475*44/12</f>
        <v>0.83944691765268853</v>
      </c>
      <c r="AC80" s="22">
        <f t="shared" si="57"/>
        <v>61.330123363682212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9.4837500000000006</v>
      </c>
      <c r="AI80" s="13">
        <f>IF('Données projet'!$A$62&gt;35,AI79+AH80-AQ79,IF(A80&lt;'Données projet'!$A$62,$AF$205^A80,IF(A80='Données projet'!$A$62,'Données projet'!$B$62,AI79+AH80-AQ79)))</f>
        <v>249.20749999999998</v>
      </c>
      <c r="AJ80" s="13">
        <f>AI80*VLOOKUP('Données projet'!$B$10,Paramètres!$A$1:$I$89,3,0)*VLOOKUP('Données projet'!$B$10,Paramètres!$A$1:$I$89,5,0)</f>
        <v>237.14585699999998</v>
      </c>
      <c r="AK80" s="13">
        <f t="shared" si="89"/>
        <v>57.825020794330889</v>
      </c>
      <c r="AL80" s="20">
        <f t="shared" si="58"/>
        <v>513.74094549179301</v>
      </c>
      <c r="AM80" s="59">
        <f t="shared" si="59"/>
        <v>807.07427882512638</v>
      </c>
      <c r="AN80" s="59">
        <f ca="1">AVERAGE(OFFSET($AM$3,0,0,'Données projet'!$E$10+1,1))-AVERAGE(OFFSET($H$3,0,0,'Données projet'!$E$10+1,1))</f>
        <v>449.28947235329758</v>
      </c>
      <c r="AO80" s="59">
        <f t="shared" si="90"/>
        <v>289.36994109443964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21.067773992285758</v>
      </c>
      <c r="AV80" s="21">
        <f>EXP(-LN(2)/25)*AV79+(1-EXP(-LN(2)/25))/(LN(2)/25)*Calculateur!AQ80*Calculateur!AS80*VLOOKUP('Données projet'!$B$10,Paramètres!$A$1:$I$89,3,0)*0.475*44/12</f>
        <v>25.841227209262218</v>
      </c>
      <c r="AW80" s="21">
        <f>EXP(-LN(2)/2)*AW79+(1-EXP(-LN(2)/2))/(LN(2)/2)*AQ80*AT80*VLOOKUP('Données projet'!$B$10,Paramètres!$A$1:$I$89,3,0)*0.475*44/12</f>
        <v>2.0812828812610871</v>
      </c>
      <c r="AX80" s="21">
        <f t="shared" si="60"/>
        <v>48.990284082809069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260.8185528000003</v>
      </c>
      <c r="BF80" s="13">
        <f t="shared" si="91"/>
        <v>62.896828401660521</v>
      </c>
      <c r="BG80" s="20">
        <f t="shared" si="61"/>
        <v>563.80428892622592</v>
      </c>
      <c r="BH80" s="59">
        <f t="shared" si="62"/>
        <v>857.13762225955929</v>
      </c>
      <c r="BI80" s="59">
        <f ca="1">AVERAGE(OFFSET($BH$3,0,0,'Données projet'!$E$11+1,1))-AVERAGE(OFFSET($H$3,0,0,'Données projet'!$E$11+1,1))</f>
        <v>635.71275911100679</v>
      </c>
      <c r="BJ80" s="59">
        <f t="shared" si="92"/>
        <v>281.7776857269169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13.781542392702908</v>
      </c>
      <c r="BQ80" s="21">
        <f>EXP(-LN(2)/25)*BQ79+(1-EXP(-LN(2)/25))/(LN(2)/25)*Calculateur!BL80*Calculateur!BN80*VLOOKUP('Données projet'!$B$11,Paramètres!$A$1:$I$89,3,0)*0.475*44/12</f>
        <v>28.976102685555421</v>
      </c>
      <c r="BR80" s="21">
        <f>EXP(-LN(2)/2)*BR79+(1-EXP(-LN(2)/2))/(LN(2)/2)*BL80*BO80*VLOOKUP('Données projet'!$B$11,Paramètres!$A$1:$I$89,3,0)*0.475*44/12</f>
        <v>1.6627205857026273</v>
      </c>
      <c r="BS80" s="22">
        <f t="shared" si="63"/>
        <v>44.420365663960958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202.52</v>
      </c>
      <c r="BW80" s="12">
        <f>VLOOKUP(A80,'Données projet'!$A$113:$I$133,9,0)</f>
        <v>6.7437500000000021</v>
      </c>
      <c r="BX80" s="12">
        <f t="array" ref="BX80">INDEX(BW:BW,MIN(IF(ISNUMBER(BW80:BW276),ROW(BW80:BW276),"")))</f>
        <v>6.7437500000000021</v>
      </c>
      <c r="BY80" s="12">
        <f>IF('Données projet'!$A$114&gt;35,BY79+BX80-CG79,IF(A80&lt;'Données projet'!$A$114,$BV$205^A80,IF(A80='Données projet'!$A$114,'Données projet'!$B$114,BY79+BX80-CG79)))</f>
        <v>202.52000000000004</v>
      </c>
      <c r="BZ80" s="13">
        <f>BY80*VLOOKUP('Données projet'!$B$12,Paramètres!$A$1:$I$89,3,0)*VLOOKUP('Données projet'!$B$12,Paramètres!$A$1:$I$89,5,0)</f>
        <v>230.62977600000005</v>
      </c>
      <c r="CA80" s="13">
        <f t="shared" si="93"/>
        <v>56.418832148072731</v>
      </c>
      <c r="CB80" s="20">
        <f t="shared" si="64"/>
        <v>499.94299252456011</v>
      </c>
      <c r="CC80" s="59">
        <f t="shared" si="65"/>
        <v>793.27632585789343</v>
      </c>
      <c r="CD80" s="59">
        <f ca="1">AVERAGE(OFFSET($CC$3,0,0,'Données projet'!$E$12+1,1))-AVERAGE(OFFSET($H$3,0,0,'Données projet'!$E$12+1,1))</f>
        <v>593.28343396240075</v>
      </c>
      <c r="CE80" s="59">
        <f t="shared" si="94"/>
        <v>289.66477662068695</v>
      </c>
      <c r="CF80" s="15">
        <f>IF(ISNA(VLOOKUP(A80,'Données projet'!$A$113:$I$133,3,0)),0,VLOOKUP(A80,'Données projet'!$A$113:$I$133,3,0))</f>
        <v>3</v>
      </c>
      <c r="CG80" s="15">
        <f>IF(ISNA(VLOOKUP(A80,'Données projet'!$A$113:$I$133,4,0)),0,VLOOKUP(A80,'Données projet'!$A$113:$I$133,4,0))</f>
        <v>33.950000000000017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0.34400000000000003</v>
      </c>
      <c r="CJ80" s="16">
        <f>IF(ISNA(VLOOKUP(A80,'Données projet'!$A$113:$I$133,7,0)),0%,VLOOKUP(A80,'Données projet'!$A$113:$I$133,7,0))</f>
        <v>0.2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48.853261457828687</v>
      </c>
      <c r="CM80" s="21">
        <f>EXP(-LN(2)/2)*CM79+(1-EXP(-LN(2)/2))/(LN(2)/2)*CG80*CJ80*VLOOKUP('Données projet'!$B$12,Paramètres!$A$1:$I$89,3,0)*0.475*44/12</f>
        <v>7.9060917856367512</v>
      </c>
      <c r="CN80" s="22">
        <f t="shared" si="66"/>
        <v>56.759353243465441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2.1794871794871766</v>
      </c>
      <c r="CT80" s="12">
        <f>IF('Données projet'!$A$140&gt;35,CT79+CS80-DB79,IF(A80&lt;'Données projet'!$A$140,$CQ$205^A80,IF(A80='Données projet'!$A$140,'Données projet'!$B$140,CT79+CS80-DB79)))</f>
        <v>142.17948717948732</v>
      </c>
      <c r="CU80" s="17">
        <f>CT80*VLOOKUP('Données projet'!$B$13,Paramètres!$A$1:$I$89,3,0)*VLOOKUP('Données projet'!$B$13,Paramètres!$A$1:$I$89,5,0)</f>
        <v>148.60600000000017</v>
      </c>
      <c r="CV80" s="13">
        <f t="shared" si="95"/>
        <v>38.261622179522469</v>
      </c>
      <c r="CW80" s="20">
        <f t="shared" si="67"/>
        <v>325.46110862933529</v>
      </c>
      <c r="CX80" s="59">
        <f t="shared" si="68"/>
        <v>618.79444196266854</v>
      </c>
      <c r="CY80" s="59">
        <f ca="1">AVERAGE(OFFSET($CX$3,0,0,'Données projet'!$E$13+1,1))-AVERAGE(OFFSET($H$3,0,0,'Données projet'!$E$13+1,1))</f>
        <v>260.65406541614402</v>
      </c>
      <c r="CZ80" s="59">
        <f t="shared" si="96"/>
        <v>277.63456890196886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2.9705642554038407</v>
      </c>
      <c r="DG80" s="21">
        <f>EXP(-LN(2)/25)*DG79+(1-EXP(-LN(2)/25))/(LN(2)/25)*Calculateur!DB80*Calculateur!DD80*VLOOKUP('Données projet'!$B$13,Paramètres!$A$1:$I$89,3,0)*0.475*44/12</f>
        <v>23.478512502682072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26.449076758085912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2.6923076923076961</v>
      </c>
      <c r="DO80" s="12">
        <f>IF('Données projet'!$A$166&gt;35,DO79+DN80-DW79,IF(A80&lt;'Données projet'!$A$166,$DL$205^A80,IF(A80='Données projet'!$A$166,'Données projet'!$B$166,DO79+DN80-DW79)))</f>
        <v>148.33333333333346</v>
      </c>
      <c r="DP80" s="17">
        <f>DO80*VLOOKUP('Données projet'!$B$14,Paramètres!$A$1:$I$89,3,0)*VLOOKUP('Données projet'!$B$14,Paramètres!$A$1:$I$89,5,0)</f>
        <v>97.188000000000073</v>
      </c>
      <c r="DQ80" s="13">
        <f t="shared" si="97"/>
        <v>26.290969297460357</v>
      </c>
      <c r="DR80" s="20">
        <f t="shared" si="70"/>
        <v>215.05920485974357</v>
      </c>
      <c r="DS80" s="59">
        <f t="shared" si="71"/>
        <v>508.39253819307692</v>
      </c>
      <c r="DT80" s="59">
        <f ca="1">AVERAGE(OFFSET($DS$3,0,0,'Données projet'!$E$14+1,1))-AVERAGE(OFFSET($H$3,0,0,'Données projet'!$E$14+1,1))</f>
        <v>181.4272795535777</v>
      </c>
      <c r="DU80" s="59">
        <f t="shared" si="98"/>
        <v>187.67131775419904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4.0028887727463198</v>
      </c>
      <c r="EB80" s="21">
        <f>EXP(-LN(2)/25)*EB79+(1-EXP(-LN(2)/25))/(LN(2)/25)*Calculateur!DW80*Calculateur!DY80*VLOOKUP('Données projet'!$B$14,Paramètres!$A$1:$I$89,3,0)*0.475*44/12</f>
        <v>6.2544688405390048</v>
      </c>
      <c r="EC80" s="21">
        <f>EXP(-LN(2)/2)*EC79+(1-EXP(-LN(2)/2))/(LN(2)/2)*DW80*DZ80*VLOOKUP('Données projet'!$B$14,Paramètres!$A$1:$I$89,3,0)*0.475*44/12</f>
        <v>1.0963529230601063</v>
      </c>
      <c r="ED80" s="22">
        <f t="shared" si="72"/>
        <v>11.353710536345432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1.1368683772161603E-13</v>
      </c>
      <c r="EK80" s="17">
        <f>EJ80*VLOOKUP('Données projet'!$B$15,Paramètres!$A$1:$I$89,3,0)*VLOOKUP('Données projet'!$B$15,Paramètres!$A$1:$I$89,5,0)</f>
        <v>9.2222762759774927E-14</v>
      </c>
      <c r="EL80" s="13">
        <f t="shared" si="99"/>
        <v>1.3985662224947967E-12</v>
      </c>
      <c r="EM80" s="20">
        <f t="shared" si="73"/>
        <v>2.5964574826517121E-12</v>
      </c>
      <c r="EN80" s="59">
        <f t="shared" si="74"/>
        <v>293.33333333333593</v>
      </c>
      <c r="EO80" s="59">
        <f ca="1">AVERAGE(OFFSET($EN$3,0,0,'Données projet'!$E$15+1,1))-AVERAGE(OFFSET($H$3,0,0,'Données projet'!$E$15+1,1))</f>
        <v>159.68591355116837</v>
      </c>
      <c r="EP80" s="59">
        <f t="shared" si="100"/>
        <v>284.32631786390112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7.0087280913745831</v>
      </c>
      <c r="EW80" s="21">
        <f>EXP(-LN(2)/25)*EW79+(1-EXP(-LN(2)/25))/(LN(2)/25)*Calculateur!ER80*Calculateur!ET80*VLOOKUP('Données projet'!$B$15,Paramètres!$A$1:$I$89,3,0)*0.475*44/12</f>
        <v>6.9260133019724597</v>
      </c>
      <c r="EX80" s="21">
        <f>EXP(-LN(2)/2)*EX79+(1-EXP(-LN(2)/2))/(LN(2)/2)*ER80*EU80*VLOOKUP('Données projet'!$B$15,Paramètres!$A$1:$I$89,3,0)*0.475*44/12</f>
        <v>7.871578589605656E-5</v>
      </c>
      <c r="EY80" s="22">
        <f t="shared" si="75"/>
        <v>13.934820109132939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2.8</v>
      </c>
      <c r="FE80" s="12">
        <f>IF('Données projet'!$A$218&gt;35,FE79+FD80-FM79,IF(A80&lt;'Données projet'!$A$218,$FB$205^A80,IF(A80='Données projet'!$A$218,'Données projet'!$B$218,FE79+FD80-FM79)))</f>
        <v>266.5999999999998</v>
      </c>
      <c r="FF80" s="17">
        <f>FE80*VLOOKUP('Données projet'!$B$16,Paramètres!$A$1:$I$89,3,0)*VLOOKUP('Données projet'!$B$16,Paramètres!$A$1:$I$89,5,0)</f>
        <v>212.10695999999984</v>
      </c>
      <c r="FG80" s="13">
        <f t="shared" si="101"/>
        <v>52.395741612408194</v>
      </c>
      <c r="FH80" s="20">
        <f t="shared" si="76"/>
        <v>460.67553864161067</v>
      </c>
      <c r="FI80" s="59">
        <f t="shared" si="77"/>
        <v>754.00887197494399</v>
      </c>
      <c r="FJ80" s="59">
        <f ca="1">AVERAGE(OFFSET($FI$3,0,0,'Données projet'!$E$16+1,1))-AVERAGE(OFFSET($H$3,0,0,'Données projet'!$E$16+1,1))</f>
        <v>299.10536994156814</v>
      </c>
      <c r="FK80" s="59">
        <f t="shared" si="102"/>
        <v>292.57799203101769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9.1010032849768656</v>
      </c>
      <c r="FR80" s="21">
        <f>EXP(-LN(2)/25)*FR79+(1-EXP(-LN(2)/25))/(LN(2)/25)*Calculateur!FM80*Calculateur!FO80*VLOOKUP('Données projet'!$B$16,Paramètres!$A$1:$I$89,3,0)*0.475*44/12</f>
        <v>11.346629691588907</v>
      </c>
      <c r="FS80" s="21">
        <f>EXP(-LN(2)/2)*FS79+(1-EXP(-LN(2)/2))/(LN(2)/2)*FM80*FP80*VLOOKUP('Données projet'!$B$16,Paramètres!$A$1:$I$89,3,0)*0.475*44/12</f>
        <v>1.0504025239681591</v>
      </c>
      <c r="FT80" s="22">
        <f t="shared" si="78"/>
        <v>21.498035500533931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5.6843418860808015E-14</v>
      </c>
      <c r="GA80" s="17">
        <f>FZ80*VLOOKUP('Données projet'!$B$17,Paramètres!$A$1:$I$89,3,0)*VLOOKUP('Données projet'!$B$17,Paramètres!$A$1:$I$89,5,0)</f>
        <v>5.1431925385259088E-14</v>
      </c>
      <c r="GB80" s="13">
        <f t="shared" si="103"/>
        <v>8.3482866290946129E-13</v>
      </c>
      <c r="GC80" s="20">
        <f t="shared" si="79"/>
        <v>1.5435705246133045E-12</v>
      </c>
      <c r="GD80" s="59">
        <f t="shared" si="80"/>
        <v>293.33333333333485</v>
      </c>
      <c r="GE80" s="59">
        <f ca="1">AVERAGE(OFFSET($GD$3,0,0,'Données projet'!$E$17+1,1))-AVERAGE(OFFSET($H$3,0,0,'Données projet'!$E$17+1,1))</f>
        <v>204.78565758021779</v>
      </c>
      <c r="GF80" s="59">
        <f t="shared" si="104"/>
        <v>287.25131613242439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8.2823772174047683</v>
      </c>
      <c r="GM80" s="21">
        <f>EXP(-LN(2)/25)*GM79+(1-EXP(-LN(2)/25))/(LN(2)/25)*Calculateur!GH80*Calculateur!GJ80*VLOOKUP('Données projet'!$B$17,Paramètres!$A$1:$I$89,3,0)*0.475*44/12</f>
        <v>5.4427023556342942</v>
      </c>
      <c r="GN80" s="21">
        <f>EXP(-LN(2)/2)*GN79+(1-EXP(-LN(2)/2))/(LN(2)/2)*GH80*GK80*VLOOKUP('Données projet'!$B$17,Paramètres!$A$1:$I$89,3,0)*0.475*44/12</f>
        <v>2.104276944560601E-4</v>
      </c>
      <c r="GO80" s="21">
        <f t="shared" si="81"/>
        <v>13.725290000733519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5.6843418860808015E-14</v>
      </c>
      <c r="GV80" s="17">
        <f>GU80*VLOOKUP('Données projet'!$B$18,Paramètres!$A$1:$I$89,3,0)*VLOOKUP('Données projet'!$B$18,Paramètres!$A$1:$I$89,5,0)</f>
        <v>4.4337866711430253E-14</v>
      </c>
      <c r="GW80" s="13">
        <f t="shared" si="105"/>
        <v>7.3222115536967035E-13</v>
      </c>
      <c r="GX80" s="20">
        <f t="shared" si="82"/>
        <v>1.3525069634579169E-12</v>
      </c>
      <c r="GY80" s="59">
        <f t="shared" si="83"/>
        <v>293.33333333333468</v>
      </c>
      <c r="GZ80" s="59">
        <f ca="1">AVERAGE(OFFSET($GY$3,0,0,'Données projet'!$E$18+1,1))-AVERAGE(OFFSET($H$3,0,0,'Données projet'!$E$18+1,1))</f>
        <v>288.82868507674738</v>
      </c>
      <c r="HA80" s="59">
        <f t="shared" si="106"/>
        <v>283.48738729114024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36.698410854736757</v>
      </c>
      <c r="HH80" s="21">
        <f>EXP(-LN(2)/25)*HH79+(1-EXP(-LN(2)/25))/(LN(2)/25)*Calculateur!HC80*Calculateur!HE80*VLOOKUP('Données projet'!$B$18,Paramètres!$A$1:$I$89,3,0)*0.475*44/12</f>
        <v>33.91343899843649</v>
      </c>
      <c r="HI80" s="21">
        <f>EXP(-LN(2)/2)*HI79+(1-EXP(-LN(2)/2))/(LN(2)/2)*HC80*HF80*VLOOKUP('Données projet'!$B$18,Paramètres!$A$1:$I$89,3,0)*0.475*44/12</f>
        <v>3.7972513533302137</v>
      </c>
      <c r="HJ80" s="22">
        <f t="shared" si="84"/>
        <v>74.409101206503465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9.7839999999999971</v>
      </c>
      <c r="N81" s="13">
        <f>IF('Données projet'!$A$36&gt;35,N80+M81-V80,IF(A81&lt;'Données projet'!$A$36,$K$205^A81,IF(A81='Données projet'!$A$36,'Données projet'!$B$36,N80+M81-V80)))</f>
        <v>500.4619999999997</v>
      </c>
      <c r="O81" s="13">
        <f>N81*VLOOKUP('Données projet'!$B$9,Paramètres!$A$1:$I$89,3,0)*VLOOKUP('Données projet'!$B$9,Paramètres!$A$1:$I$89,5,0)</f>
        <v>299.27627599999983</v>
      </c>
      <c r="P81" s="13">
        <f t="shared" si="87"/>
        <v>71.024721805685132</v>
      </c>
      <c r="Q81" s="20">
        <f t="shared" si="54"/>
        <v>644.94090451156796</v>
      </c>
      <c r="R81" s="59">
        <f t="shared" si="55"/>
        <v>938.27423784490134</v>
      </c>
      <c r="S81" s="59">
        <f ca="1">AVERAGE(OFFSET($R$3,0,0,'Données projet'!$E$9+1,1))-AVERAGE(OFFSET($H$3,0,0,'Données projet'!$E$9+1,1))</f>
        <v>349.71285006949597</v>
      </c>
      <c r="T81" s="59">
        <f t="shared" si="88"/>
        <v>258.51550516456842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43.57599548488573</v>
      </c>
      <c r="AA81" s="21">
        <f>EXP(-LN(2)/25)*AA80+(1-EXP(-LN(2)/25))/(LN(2)/25)*Calculateur!V81*Calculateur!X81*VLOOKUP('Données projet'!$B$9,Paramètres!$A$1:$I$89,3,0)*0.475*44/12</f>
        <v>15.604391754457016</v>
      </c>
      <c r="AB81" s="21">
        <f>EXP(-LN(2)/2)*AB80+(1-EXP(-LN(2)/2))/(LN(2)/2)*V81*Y81*VLOOKUP('Données projet'!$B$9,Paramètres!$A$1:$I$89,3,0)*0.475*44/12</f>
        <v>0.59357860791836148</v>
      </c>
      <c r="AC81" s="22">
        <f t="shared" si="57"/>
        <v>59.77396584726111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9.4837500000000006</v>
      </c>
      <c r="AI81" s="13">
        <f>IF('Données projet'!$A$62&gt;35,AI80+AH81-AQ80,IF(A81&lt;'Données projet'!$A$62,$AF$205^A81,IF(A81='Données projet'!$A$62,'Données projet'!$B$62,AI80+AH81-AQ80)))</f>
        <v>258.69124999999997</v>
      </c>
      <c r="AJ81" s="13">
        <f>AI81*VLOOKUP('Données projet'!$B$10,Paramètres!$A$1:$I$89,3,0)*VLOOKUP('Données projet'!$B$10,Paramètres!$A$1:$I$89,5,0)</f>
        <v>246.17059349999994</v>
      </c>
      <c r="AK81" s="13">
        <f t="shared" si="89"/>
        <v>59.765195857244478</v>
      </c>
      <c r="AL81" s="20">
        <f t="shared" si="58"/>
        <v>532.83816646386731</v>
      </c>
      <c r="AM81" s="59">
        <f t="shared" si="59"/>
        <v>826.17149979720057</v>
      </c>
      <c r="AN81" s="59">
        <f ca="1">AVERAGE(OFFSET($AM$3,0,0,'Données projet'!$E$10+1,1))-AVERAGE(OFFSET($H$3,0,0,'Données projet'!$E$10+1,1))</f>
        <v>449.28947235329758</v>
      </c>
      <c r="AO81" s="59">
        <f t="shared" si="90"/>
        <v>289.36994109443964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20.65464779437033</v>
      </c>
      <c r="AV81" s="21">
        <f>EXP(-LN(2)/25)*AV80+(1-EXP(-LN(2)/25))/(LN(2)/25)*Calculateur!AQ81*Calculateur!AS81*VLOOKUP('Données projet'!$B$10,Paramètres!$A$1:$I$89,3,0)*0.475*44/12</f>
        <v>25.134597492293864</v>
      </c>
      <c r="AW81" s="21">
        <f>EXP(-LN(2)/2)*AW80+(1-EXP(-LN(2)/2))/(LN(2)/2)*AQ81*AT81*VLOOKUP('Données projet'!$B$10,Paramètres!$A$1:$I$89,3,0)*0.475*44/12</f>
        <v>1.4716892389071907</v>
      </c>
      <c r="AX81" s="21">
        <f t="shared" si="60"/>
        <v>47.260934525571386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269.45667840000027</v>
      </c>
      <c r="BF81" s="13">
        <f t="shared" si="91"/>
        <v>64.733949217436958</v>
      </c>
      <c r="BG81" s="20">
        <f t="shared" si="61"/>
        <v>582.04867643370324</v>
      </c>
      <c r="BH81" s="59">
        <f t="shared" si="62"/>
        <v>875.38200976703661</v>
      </c>
      <c r="BI81" s="59">
        <f ca="1">AVERAGE(OFFSET($BH$3,0,0,'Données projet'!$E$11+1,1))-AVERAGE(OFFSET($H$3,0,0,'Données projet'!$E$11+1,1))</f>
        <v>635.71275911100679</v>
      </c>
      <c r="BJ81" s="59">
        <f t="shared" si="92"/>
        <v>281.7776857269169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13.51129475229285</v>
      </c>
      <c r="BQ81" s="21">
        <f>EXP(-LN(2)/25)*BQ80+(1-EXP(-LN(2)/25))/(LN(2)/25)*Calculateur!BL81*Calculateur!BN81*VLOOKUP('Données projet'!$B$11,Paramètres!$A$1:$I$89,3,0)*0.475*44/12</f>
        <v>28.183749633831894</v>
      </c>
      <c r="BR81" s="21">
        <f>EXP(-LN(2)/2)*BR80+(1-EXP(-LN(2)/2))/(LN(2)/2)*BL81*BO81*VLOOKUP('Données projet'!$B$11,Paramètres!$A$1:$I$89,3,0)*0.475*44/12</f>
        <v>1.175721001368796</v>
      </c>
      <c r="BS81" s="22">
        <f t="shared" si="63"/>
        <v>42.870765387493535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6.7444444444444462</v>
      </c>
      <c r="BY81" s="12">
        <f>IF('Données projet'!$A$114&gt;35,BY80+BX81-CG80,IF(A81&lt;'Données projet'!$A$114,$BV$205^A81,IF(A81='Données projet'!$A$114,'Données projet'!$B$114,BY80+BX81-CG80)))</f>
        <v>175.31444444444446</v>
      </c>
      <c r="BZ81" s="13">
        <f>BY81*VLOOKUP('Données projet'!$B$12,Paramètres!$A$1:$I$89,3,0)*VLOOKUP('Données projet'!$B$12,Paramètres!$A$1:$I$89,5,0)</f>
        <v>199.64808933333336</v>
      </c>
      <c r="CA81" s="13">
        <f t="shared" si="93"/>
        <v>49.666820486925445</v>
      </c>
      <c r="CB81" s="20">
        <f t="shared" si="64"/>
        <v>434.22346793695078</v>
      </c>
      <c r="CC81" s="59">
        <f t="shared" si="65"/>
        <v>727.55680127028404</v>
      </c>
      <c r="CD81" s="59">
        <f ca="1">AVERAGE(OFFSET($CC$3,0,0,'Données projet'!$E$12+1,1))-AVERAGE(OFFSET($H$3,0,0,'Données projet'!$E$12+1,1))</f>
        <v>593.28343396240075</v>
      </c>
      <c r="CE81" s="59">
        <f t="shared" si="94"/>
        <v>289.66477662068695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47.517366454182998</v>
      </c>
      <c r="CM81" s="21">
        <f>EXP(-LN(2)/2)*CM80+(1-EXP(-LN(2)/2))/(LN(2)/2)*CG81*CJ81*VLOOKUP('Données projet'!$B$12,Paramètres!$A$1:$I$89,3,0)*0.475*44/12</f>
        <v>5.5904511143070073</v>
      </c>
      <c r="CN81" s="22">
        <f t="shared" si="66"/>
        <v>53.107817568490006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2.1794871794871766</v>
      </c>
      <c r="CT81" s="12">
        <f>IF('Données projet'!$A$140&gt;35,CT80+CS81-DB80,IF(A81&lt;'Données projet'!$A$140,$CQ$205^A81,IF(A81='Données projet'!$A$140,'Données projet'!$B$140,CT80+CS81-DB80)))</f>
        <v>144.35897435897451</v>
      </c>
      <c r="CU81" s="17">
        <f>CT81*VLOOKUP('Données projet'!$B$13,Paramètres!$A$1:$I$89,3,0)*VLOOKUP('Données projet'!$B$13,Paramètres!$A$1:$I$89,5,0)</f>
        <v>150.88400000000016</v>
      </c>
      <c r="CV81" s="13">
        <f t="shared" si="95"/>
        <v>38.779409039204715</v>
      </c>
      <c r="CW81" s="20">
        <f t="shared" si="67"/>
        <v>330.33043740994844</v>
      </c>
      <c r="CX81" s="59">
        <f t="shared" si="68"/>
        <v>623.6637707432817</v>
      </c>
      <c r="CY81" s="59">
        <f ca="1">AVERAGE(OFFSET($CX$3,0,0,'Données projet'!$E$13+1,1))-AVERAGE(OFFSET($H$3,0,0,'Données projet'!$E$13+1,1))</f>
        <v>260.65406541614402</v>
      </c>
      <c r="CZ81" s="59">
        <f t="shared" si="96"/>
        <v>277.63456890196886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2.9123133022206602</v>
      </c>
      <c r="DG81" s="21">
        <f>EXP(-LN(2)/25)*DG80+(1-EXP(-LN(2)/25))/(LN(2)/25)*Calculateur!DB81*Calculateur!DD81*VLOOKUP('Données projet'!$B$13,Paramètres!$A$1:$I$89,3,0)*0.475*44/12</f>
        <v>22.83649134361492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25.74880464583558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2.6923076923076961</v>
      </c>
      <c r="DO81" s="12">
        <f>IF('Données projet'!$A$166&gt;35,DO80+DN81-DW80,IF(A81&lt;'Données projet'!$A$166,$DL$205^A81,IF(A81='Données projet'!$A$166,'Données projet'!$B$166,DO80+DN81-DW80)))</f>
        <v>151.02564102564116</v>
      </c>
      <c r="DP81" s="17">
        <f>DO81*VLOOKUP('Données projet'!$B$14,Paramètres!$A$1:$I$89,3,0)*VLOOKUP('Données projet'!$B$14,Paramètres!$A$1:$I$89,5,0)</f>
        <v>98.952000000000083</v>
      </c>
      <c r="DQ81" s="13">
        <f t="shared" si="97"/>
        <v>26.712173119037399</v>
      </c>
      <c r="DR81" s="20">
        <f t="shared" si="70"/>
        <v>218.86510151565696</v>
      </c>
      <c r="DS81" s="59">
        <f t="shared" si="71"/>
        <v>512.19843484899025</v>
      </c>
      <c r="DT81" s="59">
        <f ca="1">AVERAGE(OFFSET($DS$3,0,0,'Données projet'!$E$14+1,1))-AVERAGE(OFFSET($H$3,0,0,'Données projet'!$E$14+1,1))</f>
        <v>181.4272795535777</v>
      </c>
      <c r="DU81" s="59">
        <f t="shared" si="98"/>
        <v>187.67131775419904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3.9243945654338357</v>
      </c>
      <c r="EB81" s="21">
        <f>EXP(-LN(2)/25)*EB80+(1-EXP(-LN(2)/25))/(LN(2)/25)*Calculateur!DW81*Calculateur!DY81*VLOOKUP('Données projet'!$B$14,Paramètres!$A$1:$I$89,3,0)*0.475*44/12</f>
        <v>6.083440061186244</v>
      </c>
      <c r="EC81" s="21">
        <f>EXP(-LN(2)/2)*EC80+(1-EXP(-LN(2)/2))/(LN(2)/2)*DW81*DZ81*VLOOKUP('Données projet'!$B$14,Paramètres!$A$1:$I$89,3,0)*0.475*44/12</f>
        <v>0.7752385864694944</v>
      </c>
      <c r="ED81" s="22">
        <f t="shared" si="72"/>
        <v>10.783073213089574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1.1368683772161603E-13</v>
      </c>
      <c r="EK81" s="17">
        <f>EJ81*VLOOKUP('Données projet'!$B$15,Paramètres!$A$1:$I$89,3,0)*VLOOKUP('Données projet'!$B$15,Paramètres!$A$1:$I$89,5,0)</f>
        <v>9.2222762759774927E-14</v>
      </c>
      <c r="EL81" s="13">
        <f t="shared" si="99"/>
        <v>1.3985662224947967E-12</v>
      </c>
      <c r="EM81" s="20">
        <f t="shared" si="73"/>
        <v>2.5964574826517121E-12</v>
      </c>
      <c r="EN81" s="59">
        <f t="shared" si="74"/>
        <v>293.33333333333593</v>
      </c>
      <c r="EO81" s="59">
        <f ca="1">AVERAGE(OFFSET($EN$3,0,0,'Données projet'!$E$15+1,1))-AVERAGE(OFFSET($H$3,0,0,'Données projet'!$E$15+1,1))</f>
        <v>159.68591355116837</v>
      </c>
      <c r="EP81" s="59">
        <f t="shared" si="100"/>
        <v>284.32631786390112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6.8712912084047515</v>
      </c>
      <c r="EW81" s="21">
        <f>EXP(-LN(2)/25)*EW80+(1-EXP(-LN(2)/25))/(LN(2)/25)*Calculateur!ER81*Calculateur!ET81*VLOOKUP('Données projet'!$B$15,Paramètres!$A$1:$I$89,3,0)*0.475*44/12</f>
        <v>6.7366211040068125</v>
      </c>
      <c r="EX81" s="21">
        <f>EXP(-LN(2)/2)*EX80+(1-EXP(-LN(2)/2))/(LN(2)/2)*ER81*EU81*VLOOKUP('Données projet'!$B$15,Paramètres!$A$1:$I$89,3,0)*0.475*44/12</f>
        <v>5.566046599352999E-5</v>
      </c>
      <c r="EY81" s="22">
        <f t="shared" si="75"/>
        <v>13.607967972877557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2.8</v>
      </c>
      <c r="FE81" s="12">
        <f>IF('Données projet'!$A$218&gt;35,FE80+FD81-FM80,IF(A81&lt;'Données projet'!$A$218,$FB$205^A81,IF(A81='Données projet'!$A$218,'Données projet'!$B$218,FE80+FD81-FM80)))</f>
        <v>269.39999999999981</v>
      </c>
      <c r="FF81" s="17">
        <f>FE81*VLOOKUP('Données projet'!$B$16,Paramètres!$A$1:$I$89,3,0)*VLOOKUP('Données projet'!$B$16,Paramètres!$A$1:$I$89,5,0)</f>
        <v>214.33463999999984</v>
      </c>
      <c r="FG81" s="13">
        <f t="shared" si="101"/>
        <v>52.881684324030282</v>
      </c>
      <c r="FH81" s="20">
        <f t="shared" si="76"/>
        <v>465.40176486435234</v>
      </c>
      <c r="FI81" s="59">
        <f t="shared" si="77"/>
        <v>758.7350981976856</v>
      </c>
      <c r="FJ81" s="59">
        <f ca="1">AVERAGE(OFFSET($FI$3,0,0,'Données projet'!$E$16+1,1))-AVERAGE(OFFSET($H$3,0,0,'Données projet'!$E$16+1,1))</f>
        <v>299.10536994156814</v>
      </c>
      <c r="FK81" s="59">
        <f t="shared" si="102"/>
        <v>292.57799203101769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8.9225381616223505</v>
      </c>
      <c r="FR81" s="21">
        <f>EXP(-LN(2)/25)*FR80+(1-EXP(-LN(2)/25))/(LN(2)/25)*Calculateur!FM81*Calculateur!FO81*VLOOKUP('Données projet'!$B$16,Paramètres!$A$1:$I$89,3,0)*0.475*44/12</f>
        <v>11.036355505979087</v>
      </c>
      <c r="FS81" s="21">
        <f>EXP(-LN(2)/2)*FS80+(1-EXP(-LN(2)/2))/(LN(2)/2)*FM81*FP81*VLOOKUP('Données projet'!$B$16,Paramètres!$A$1:$I$89,3,0)*0.475*44/12</f>
        <v>0.74274674767335036</v>
      </c>
      <c r="FT81" s="22">
        <f t="shared" si="78"/>
        <v>20.701640415274788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5.6843418860808015E-14</v>
      </c>
      <c r="GA81" s="17">
        <f>FZ81*VLOOKUP('Données projet'!$B$17,Paramètres!$A$1:$I$89,3,0)*VLOOKUP('Données projet'!$B$17,Paramètres!$A$1:$I$89,5,0)</f>
        <v>5.1431925385259088E-14</v>
      </c>
      <c r="GB81" s="13">
        <f t="shared" si="103"/>
        <v>8.3482866290946129E-13</v>
      </c>
      <c r="GC81" s="20">
        <f t="shared" si="79"/>
        <v>1.5435705246133045E-12</v>
      </c>
      <c r="GD81" s="59">
        <f t="shared" si="80"/>
        <v>293.33333333333485</v>
      </c>
      <c r="GE81" s="59">
        <f ca="1">AVERAGE(OFFSET($GD$3,0,0,'Données projet'!$E$17+1,1))-AVERAGE(OFFSET($H$3,0,0,'Données projet'!$E$17+1,1))</f>
        <v>204.78565758021779</v>
      </c>
      <c r="GF81" s="59">
        <f t="shared" si="104"/>
        <v>287.25131613242439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8.1199648519227452</v>
      </c>
      <c r="GM81" s="21">
        <f>EXP(-LN(2)/25)*GM80+(1-EXP(-LN(2)/25))/(LN(2)/25)*Calculateur!GH81*Calculateur!GJ81*VLOOKUP('Données projet'!$B$17,Paramètres!$A$1:$I$89,3,0)*0.475*44/12</f>
        <v>5.2938713735001972</v>
      </c>
      <c r="GN81" s="21">
        <f>EXP(-LN(2)/2)*GN80+(1-EXP(-LN(2)/2))/(LN(2)/2)*GH81*GK81*VLOOKUP('Données projet'!$B$17,Paramètres!$A$1:$I$89,3,0)*0.475*44/12</f>
        <v>1.4879484969933097E-4</v>
      </c>
      <c r="GO81" s="21">
        <f t="shared" si="81"/>
        <v>13.413985020272643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5.6843418860808015E-14</v>
      </c>
      <c r="GV81" s="17">
        <f>GU81*VLOOKUP('Données projet'!$B$18,Paramètres!$A$1:$I$89,3,0)*VLOOKUP('Données projet'!$B$18,Paramètres!$A$1:$I$89,5,0)</f>
        <v>4.4337866711430253E-14</v>
      </c>
      <c r="GW81" s="13">
        <f t="shared" si="105"/>
        <v>7.3222115536967035E-13</v>
      </c>
      <c r="GX81" s="20">
        <f t="shared" si="82"/>
        <v>1.3525069634579169E-12</v>
      </c>
      <c r="GY81" s="59">
        <f t="shared" si="83"/>
        <v>293.33333333333468</v>
      </c>
      <c r="GZ81" s="59">
        <f ca="1">AVERAGE(OFFSET($GY$3,0,0,'Données projet'!$E$18+1,1))-AVERAGE(OFFSET($H$3,0,0,'Données projet'!$E$18+1,1))</f>
        <v>288.82868507674738</v>
      </c>
      <c r="HA81" s="59">
        <f t="shared" si="106"/>
        <v>283.48738729114024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35.978777401695773</v>
      </c>
      <c r="HH81" s="21">
        <f>EXP(-LN(2)/25)*HH80+(1-EXP(-LN(2)/25))/(LN(2)/25)*Calculateur!HC81*Calculateur!HE81*VLOOKUP('Données projet'!$B$18,Paramètres!$A$1:$I$89,3,0)*0.475*44/12</f>
        <v>32.986074225593995</v>
      </c>
      <c r="HI81" s="21">
        <f>EXP(-LN(2)/2)*HI80+(1-EXP(-LN(2)/2))/(LN(2)/2)*HC81*HF81*VLOOKUP('Données projet'!$B$18,Paramètres!$A$1:$I$89,3,0)*0.475*44/12</f>
        <v>2.685062181809589</v>
      </c>
      <c r="HJ81" s="22">
        <f t="shared" si="84"/>
        <v>71.649913809099345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9.7839999999999971</v>
      </c>
      <c r="N82" s="13">
        <f>IF('Données projet'!$A$36&gt;35,N81+M82-V81,IF(A82&lt;'Données projet'!$A$36,$K$205^A82,IF(A82='Données projet'!$A$36,'Données projet'!$B$36,N81+M82-V81)))</f>
        <v>510.2459999999997</v>
      </c>
      <c r="O82" s="13">
        <f>N82*VLOOKUP('Données projet'!$B$9,Paramètres!$A$1:$I$89,3,0)*VLOOKUP('Données projet'!$B$9,Paramètres!$A$1:$I$89,5,0)</f>
        <v>305.12710799999985</v>
      </c>
      <c r="P82" s="13">
        <f t="shared" si="87"/>
        <v>72.25023988738603</v>
      </c>
      <c r="Q82" s="20">
        <f t="shared" si="54"/>
        <v>657.26554757053043</v>
      </c>
      <c r="R82" s="59">
        <f t="shared" si="55"/>
        <v>950.5988809038638</v>
      </c>
      <c r="S82" s="59">
        <f ca="1">AVERAGE(OFFSET($R$3,0,0,'Données projet'!$E$9+1,1))-AVERAGE(OFFSET($H$3,0,0,'Données projet'!$E$9+1,1))</f>
        <v>349.71285006949597</v>
      </c>
      <c r="T82" s="59">
        <f t="shared" si="88"/>
        <v>258.51550516456842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42.721496792159932</v>
      </c>
      <c r="AA82" s="21">
        <f>EXP(-LN(2)/25)*AA81+(1-EXP(-LN(2)/25))/(LN(2)/25)*Calculateur!V82*Calculateur!X82*VLOOKUP('Données projet'!$B$9,Paramètres!$A$1:$I$89,3,0)*0.475*44/12</f>
        <v>15.17768884133209</v>
      </c>
      <c r="AB82" s="21">
        <f>EXP(-LN(2)/2)*AB81+(1-EXP(-LN(2)/2))/(LN(2)/2)*V82*Y82*VLOOKUP('Données projet'!$B$9,Paramètres!$A$1:$I$89,3,0)*0.475*44/12</f>
        <v>0.41972345882634432</v>
      </c>
      <c r="AC82" s="22">
        <f t="shared" si="57"/>
        <v>58.318909092318371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9.4837500000000006</v>
      </c>
      <c r="AI82" s="13">
        <f>IF('Données projet'!$A$62&gt;35,AI81+AH82-AQ81,IF(A82&lt;'Données projet'!$A$62,$AF$205^A82,IF(A82='Données projet'!$A$62,'Données projet'!$B$62,AI81+AH82-AQ81)))</f>
        <v>268.17499999999995</v>
      </c>
      <c r="AJ82" s="13">
        <f>AI82*VLOOKUP('Données projet'!$B$10,Paramètres!$A$1:$I$89,3,0)*VLOOKUP('Données projet'!$B$10,Paramètres!$A$1:$I$89,5,0)</f>
        <v>255.19532999999996</v>
      </c>
      <c r="AK82" s="13">
        <f t="shared" si="89"/>
        <v>61.697107330819122</v>
      </c>
      <c r="AL82" s="20">
        <f t="shared" si="58"/>
        <v>551.92099501784321</v>
      </c>
      <c r="AM82" s="59">
        <f t="shared" si="59"/>
        <v>845.25432835117658</v>
      </c>
      <c r="AN82" s="59">
        <f ca="1">AVERAGE(OFFSET($AM$3,0,0,'Données projet'!$E$10+1,1))-AVERAGE(OFFSET($H$3,0,0,'Données projet'!$E$10+1,1))</f>
        <v>449.28947235329758</v>
      </c>
      <c r="AO82" s="59">
        <f t="shared" si="90"/>
        <v>289.36994109443964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20.249622749213923</v>
      </c>
      <c r="AV82" s="21">
        <f>EXP(-LN(2)/25)*AV81+(1-EXP(-LN(2)/25))/(LN(2)/25)*Calculateur!AQ82*Calculateur!AS82*VLOOKUP('Données projet'!$B$10,Paramètres!$A$1:$I$89,3,0)*0.475*44/12</f>
        <v>24.44729060209605</v>
      </c>
      <c r="AW82" s="21">
        <f>EXP(-LN(2)/2)*AW81+(1-EXP(-LN(2)/2))/(LN(2)/2)*AQ82*AT82*VLOOKUP('Données projet'!$B$10,Paramètres!$A$1:$I$89,3,0)*0.475*44/12</f>
        <v>1.0406414406305435</v>
      </c>
      <c r="AX82" s="21">
        <f t="shared" si="60"/>
        <v>45.737554791940518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278.09480400000029</v>
      </c>
      <c r="BF82" s="13">
        <f t="shared" si="91"/>
        <v>66.564226351179173</v>
      </c>
      <c r="BG82" s="20">
        <f t="shared" si="61"/>
        <v>600.28114452830425</v>
      </c>
      <c r="BH82" s="59">
        <f t="shared" si="62"/>
        <v>893.61447786163762</v>
      </c>
      <c r="BI82" s="59">
        <f ca="1">AVERAGE(OFFSET($BH$3,0,0,'Données projet'!$E$11+1,1))-AVERAGE(OFFSET($H$3,0,0,'Données projet'!$E$11+1,1))</f>
        <v>635.71275911100679</v>
      </c>
      <c r="BJ82" s="59">
        <f t="shared" si="92"/>
        <v>281.7776857269169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13.246346503276447</v>
      </c>
      <c r="BQ82" s="21">
        <f>EXP(-LN(2)/25)*BQ81+(1-EXP(-LN(2)/25))/(LN(2)/25)*Calculateur!BL82*Calculateur!BN82*VLOOKUP('Données projet'!$B$11,Paramètres!$A$1:$I$89,3,0)*0.475*44/12</f>
        <v>27.413063517975782</v>
      </c>
      <c r="BR82" s="21">
        <f>EXP(-LN(2)/2)*BR81+(1-EXP(-LN(2)/2))/(LN(2)/2)*BL82*BO82*VLOOKUP('Données projet'!$B$11,Paramètres!$A$1:$I$89,3,0)*0.475*44/12</f>
        <v>0.83136029285131385</v>
      </c>
      <c r="BS82" s="22">
        <f t="shared" si="63"/>
        <v>41.490770314103543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6.7444444444444462</v>
      </c>
      <c r="BY82" s="12">
        <f>IF('Données projet'!$A$114&gt;35,BY81+BX82-CG81,IF(A82&lt;'Données projet'!$A$114,$BV$205^A82,IF(A82='Données projet'!$A$114,'Données projet'!$B$114,BY81+BX82-CG81)))</f>
        <v>182.0588888888889</v>
      </c>
      <c r="BZ82" s="13">
        <f>BY82*VLOOKUP('Données projet'!$B$12,Paramètres!$A$1:$I$89,3,0)*VLOOKUP('Données projet'!$B$12,Paramètres!$A$1:$I$89,5,0)</f>
        <v>207.3286626666667</v>
      </c>
      <c r="CA82" s="13">
        <f t="shared" si="93"/>
        <v>51.351397043436535</v>
      </c>
      <c r="CB82" s="20">
        <f t="shared" si="64"/>
        <v>450.53443732842976</v>
      </c>
      <c r="CC82" s="59">
        <f t="shared" si="65"/>
        <v>743.86777066176307</v>
      </c>
      <c r="CD82" s="59">
        <f ca="1">AVERAGE(OFFSET($CC$3,0,0,'Données projet'!$E$12+1,1))-AVERAGE(OFFSET($H$3,0,0,'Données projet'!$E$12+1,1))</f>
        <v>593.28343396240075</v>
      </c>
      <c r="CE82" s="59">
        <f t="shared" si="94"/>
        <v>289.66477662068695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46.218001569663663</v>
      </c>
      <c r="CM82" s="21">
        <f>EXP(-LN(2)/2)*CM81+(1-EXP(-LN(2)/2))/(LN(2)/2)*CG82*CJ82*VLOOKUP('Données projet'!$B$12,Paramètres!$A$1:$I$89,3,0)*0.475*44/12</f>
        <v>3.953045892818376</v>
      </c>
      <c r="CN82" s="22">
        <f t="shared" si="66"/>
        <v>50.171047462482036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2.1794871794871766</v>
      </c>
      <c r="CT82" s="12">
        <f>IF('Données projet'!$A$140&gt;35,CT81+CS82-DB81,IF(A82&lt;'Données projet'!$A$140,$CQ$205^A82,IF(A82='Données projet'!$A$140,'Données projet'!$B$140,CT81+CS82-DB81)))</f>
        <v>146.53846153846169</v>
      </c>
      <c r="CU82" s="17">
        <f>CT82*VLOOKUP('Données projet'!$B$13,Paramètres!$A$1:$I$89,3,0)*VLOOKUP('Données projet'!$B$13,Paramètres!$A$1:$I$89,5,0)</f>
        <v>153.16200000000018</v>
      </c>
      <c r="CV82" s="13">
        <f t="shared" si="95"/>
        <v>39.296286717725067</v>
      </c>
      <c r="CW82" s="20">
        <f t="shared" si="67"/>
        <v>335.1981827000381</v>
      </c>
      <c r="CX82" s="59">
        <f t="shared" si="68"/>
        <v>628.53151603337142</v>
      </c>
      <c r="CY82" s="59">
        <f ca="1">AVERAGE(OFFSET($CX$3,0,0,'Données projet'!$E$13+1,1))-AVERAGE(OFFSET($H$3,0,0,'Données projet'!$E$13+1,1))</f>
        <v>260.65406541614402</v>
      </c>
      <c r="CZ82" s="59">
        <f t="shared" si="96"/>
        <v>277.63456890196886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2.8552046146998289</v>
      </c>
      <c r="DG82" s="21">
        <f>EXP(-LN(2)/25)*DG81+(1-EXP(-LN(2)/25))/(LN(2)/25)*Calculateur!DB82*Calculateur!DD82*VLOOKUP('Données projet'!$B$13,Paramètres!$A$1:$I$89,3,0)*0.475*44/12</f>
        <v>22.212026286904884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25.067230901604713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2.6923076923076961</v>
      </c>
      <c r="DO82" s="12">
        <f>IF('Données projet'!$A$166&gt;35,DO81+DN82-DW81,IF(A82&lt;'Données projet'!$A$166,$DL$205^A82,IF(A82='Données projet'!$A$166,'Données projet'!$B$166,DO81+DN82-DW81)))</f>
        <v>153.71794871794887</v>
      </c>
      <c r="DP82" s="17">
        <f>DO82*VLOOKUP('Données projet'!$B$14,Paramètres!$A$1:$I$89,3,0)*VLOOKUP('Données projet'!$B$14,Paramètres!$A$1:$I$89,5,0)</f>
        <v>100.71600000000009</v>
      </c>
      <c r="DQ82" s="13">
        <f t="shared" si="97"/>
        <v>27.132503782097519</v>
      </c>
      <c r="DR82" s="20">
        <f t="shared" si="70"/>
        <v>222.66947742048669</v>
      </c>
      <c r="DS82" s="59">
        <f t="shared" si="71"/>
        <v>516.00281075381997</v>
      </c>
      <c r="DT82" s="59">
        <f ca="1">AVERAGE(OFFSET($DS$3,0,0,'Données projet'!$E$14+1,1))-AVERAGE(OFFSET($H$3,0,0,'Données projet'!$E$14+1,1))</f>
        <v>181.4272795535777</v>
      </c>
      <c r="DU82" s="59">
        <f t="shared" si="98"/>
        <v>187.67131775419904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3.8474395816500104</v>
      </c>
      <c r="EB82" s="21">
        <f>EXP(-LN(2)/25)*EB81+(1-EXP(-LN(2)/25))/(LN(2)/25)*Calculateur!DW82*Calculateur!DY82*VLOOKUP('Données projet'!$B$14,Paramètres!$A$1:$I$89,3,0)*0.475*44/12</f>
        <v>5.9170880727988973</v>
      </c>
      <c r="EC82" s="21">
        <f>EXP(-LN(2)/2)*EC81+(1-EXP(-LN(2)/2))/(LN(2)/2)*DW82*DZ82*VLOOKUP('Données projet'!$B$14,Paramètres!$A$1:$I$89,3,0)*0.475*44/12</f>
        <v>0.54817646153005317</v>
      </c>
      <c r="ED82" s="22">
        <f t="shared" si="72"/>
        <v>10.312704115978962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1.1368683772161603E-13</v>
      </c>
      <c r="EK82" s="17">
        <f>EJ82*VLOOKUP('Données projet'!$B$15,Paramètres!$A$1:$I$89,3,0)*VLOOKUP('Données projet'!$B$15,Paramètres!$A$1:$I$89,5,0)</f>
        <v>9.2222762759774927E-14</v>
      </c>
      <c r="EL82" s="13">
        <f t="shared" si="99"/>
        <v>1.3985662224947967E-12</v>
      </c>
      <c r="EM82" s="20">
        <f t="shared" si="73"/>
        <v>2.5964574826517121E-12</v>
      </c>
      <c r="EN82" s="59">
        <f t="shared" si="74"/>
        <v>293.33333333333593</v>
      </c>
      <c r="EO82" s="59">
        <f ca="1">AVERAGE(OFFSET($EN$3,0,0,'Données projet'!$E$15+1,1))-AVERAGE(OFFSET($H$3,0,0,'Données projet'!$E$15+1,1))</f>
        <v>159.68591355116837</v>
      </c>
      <c r="EP82" s="59">
        <f t="shared" si="100"/>
        <v>284.32631786390112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6.7365493788817377</v>
      </c>
      <c r="EW82" s="21">
        <f>EXP(-LN(2)/25)*EW81+(1-EXP(-LN(2)/25))/(LN(2)/25)*Calculateur!ER82*Calculateur!ET82*VLOOKUP('Données projet'!$B$15,Paramètres!$A$1:$I$89,3,0)*0.475*44/12</f>
        <v>6.5524078456542387</v>
      </c>
      <c r="EX82" s="21">
        <f>EXP(-LN(2)/2)*EX81+(1-EXP(-LN(2)/2))/(LN(2)/2)*ER82*EU82*VLOOKUP('Données projet'!$B$15,Paramètres!$A$1:$I$89,3,0)*0.475*44/12</f>
        <v>3.935789294802828E-5</v>
      </c>
      <c r="EY82" s="22">
        <f t="shared" si="75"/>
        <v>13.288996582428926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2.8</v>
      </c>
      <c r="FE82" s="12">
        <f>IF('Données projet'!$A$218&gt;35,FE81+FD82-FM81,IF(A82&lt;'Données projet'!$A$218,$FB$205^A82,IF(A82='Données projet'!$A$218,'Données projet'!$B$218,FE81+FD82-FM81)))</f>
        <v>272.19999999999982</v>
      </c>
      <c r="FF82" s="17">
        <f>FE82*VLOOKUP('Données projet'!$B$16,Paramètres!$A$1:$I$89,3,0)*VLOOKUP('Données projet'!$B$16,Paramètres!$A$1:$I$89,5,0)</f>
        <v>216.56231999999989</v>
      </c>
      <c r="FG82" s="13">
        <f t="shared" si="101"/>
        <v>53.367039486661959</v>
      </c>
      <c r="FH82" s="20">
        <f t="shared" si="76"/>
        <v>470.12696777260271</v>
      </c>
      <c r="FI82" s="59">
        <f t="shared" si="77"/>
        <v>763.46030110593597</v>
      </c>
      <c r="FJ82" s="59">
        <f ca="1">AVERAGE(OFFSET($FI$3,0,0,'Données projet'!$E$16+1,1))-AVERAGE(OFFSET($H$3,0,0,'Données projet'!$E$16+1,1))</f>
        <v>299.10536994156814</v>
      </c>
      <c r="FK82" s="59">
        <f t="shared" si="102"/>
        <v>292.57799203101769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8.747572630483841</v>
      </c>
      <c r="FR82" s="21">
        <f>EXP(-LN(2)/25)*FR81+(1-EXP(-LN(2)/25))/(LN(2)/25)*Calculateur!FM82*Calculateur!FO82*VLOOKUP('Données projet'!$B$16,Paramètres!$A$1:$I$89,3,0)*0.475*44/12</f>
        <v>10.734565784291377</v>
      </c>
      <c r="FS82" s="21">
        <f>EXP(-LN(2)/2)*FS81+(1-EXP(-LN(2)/2))/(LN(2)/2)*FM82*FP82*VLOOKUP('Données projet'!$B$16,Paramètres!$A$1:$I$89,3,0)*0.475*44/12</f>
        <v>0.52520126198407957</v>
      </c>
      <c r="FT82" s="22">
        <f t="shared" si="78"/>
        <v>20.007339676759297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5.6843418860808015E-14</v>
      </c>
      <c r="GA82" s="17">
        <f>FZ82*VLOOKUP('Données projet'!$B$17,Paramètres!$A$1:$I$89,3,0)*VLOOKUP('Données projet'!$B$17,Paramètres!$A$1:$I$89,5,0)</f>
        <v>5.1431925385259088E-14</v>
      </c>
      <c r="GB82" s="13">
        <f t="shared" si="103"/>
        <v>8.3482866290946129E-13</v>
      </c>
      <c r="GC82" s="20">
        <f t="shared" si="79"/>
        <v>1.5435705246133045E-12</v>
      </c>
      <c r="GD82" s="59">
        <f t="shared" si="80"/>
        <v>293.33333333333485</v>
      </c>
      <c r="GE82" s="59">
        <f ca="1">AVERAGE(OFFSET($GD$3,0,0,'Données projet'!$E$17+1,1))-AVERAGE(OFFSET($H$3,0,0,'Données projet'!$E$17+1,1))</f>
        <v>204.78565758021779</v>
      </c>
      <c r="GF82" s="59">
        <f t="shared" si="104"/>
        <v>287.25131613242439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7.9607372938660621</v>
      </c>
      <c r="GM82" s="21">
        <f>EXP(-LN(2)/25)*GM81+(1-EXP(-LN(2)/25))/(LN(2)/25)*Calculateur!GH82*Calculateur!GJ82*VLOOKUP('Données projet'!$B$17,Paramètres!$A$1:$I$89,3,0)*0.475*44/12</f>
        <v>5.1491101823992382</v>
      </c>
      <c r="GN82" s="21">
        <f>EXP(-LN(2)/2)*GN81+(1-EXP(-LN(2)/2))/(LN(2)/2)*GH82*GK82*VLOOKUP('Données projet'!$B$17,Paramètres!$A$1:$I$89,3,0)*0.475*44/12</f>
        <v>1.0521384722803005E-4</v>
      </c>
      <c r="GO82" s="21">
        <f t="shared" si="81"/>
        <v>13.109952690112529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5.6843418860808015E-14</v>
      </c>
      <c r="GV82" s="17">
        <f>GU82*VLOOKUP('Données projet'!$B$18,Paramètres!$A$1:$I$89,3,0)*VLOOKUP('Données projet'!$B$18,Paramètres!$A$1:$I$89,5,0)</f>
        <v>4.4337866711430253E-14</v>
      </c>
      <c r="GW82" s="13">
        <f t="shared" si="105"/>
        <v>7.3222115536967035E-13</v>
      </c>
      <c r="GX82" s="20">
        <f t="shared" si="82"/>
        <v>1.3525069634579169E-12</v>
      </c>
      <c r="GY82" s="59">
        <f t="shared" si="83"/>
        <v>293.33333333333468</v>
      </c>
      <c r="GZ82" s="59">
        <f ca="1">AVERAGE(OFFSET($GY$3,0,0,'Données projet'!$E$18+1,1))-AVERAGE(OFFSET($H$3,0,0,'Données projet'!$E$18+1,1))</f>
        <v>288.82868507674738</v>
      </c>
      <c r="HA82" s="59">
        <f t="shared" si="106"/>
        <v>283.48738729114024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35.273255521735855</v>
      </c>
      <c r="HH82" s="21">
        <f>EXP(-LN(2)/25)*HH81+(1-EXP(-LN(2)/25))/(LN(2)/25)*Calculateur!HC82*Calculateur!HE82*VLOOKUP('Données projet'!$B$18,Paramètres!$A$1:$I$89,3,0)*0.475*44/12</f>
        <v>32.084068291232875</v>
      </c>
      <c r="HI82" s="21">
        <f>EXP(-LN(2)/2)*HI81+(1-EXP(-LN(2)/2))/(LN(2)/2)*HC82*HF82*VLOOKUP('Données projet'!$B$18,Paramètres!$A$1:$I$89,3,0)*0.475*44/12</f>
        <v>1.8986256766651071</v>
      </c>
      <c r="HJ82" s="22">
        <f t="shared" si="84"/>
        <v>69.255949489633835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520.03</v>
      </c>
      <c r="L83" s="12">
        <f>VLOOKUP(A83,'Données projet'!$A$35:$I$55,9,0)</f>
        <v>9.7839999999999971</v>
      </c>
      <c r="M83" s="12">
        <f t="array" ref="M83">INDEX(L:L,MIN(IF(ISNUMBER(L83:L279),ROW(L83:L279),"")))</f>
        <v>9.7839999999999971</v>
      </c>
      <c r="N83" s="13">
        <f>IF('Données projet'!$A$36&gt;35,N82+M83-V82,IF(A83&lt;'Données projet'!$A$36,$K$205^A83,IF(A83='Données projet'!$A$36,'Données projet'!$B$36,N82+M83-V82)))</f>
        <v>520.02999999999975</v>
      </c>
      <c r="O83" s="13">
        <f>N83*VLOOKUP('Données projet'!$B$9,Paramètres!$A$1:$I$89,3,0)*VLOOKUP('Données projet'!$B$9,Paramètres!$A$1:$I$89,5,0)</f>
        <v>310.97793999999988</v>
      </c>
      <c r="P83" s="13">
        <f t="shared" si="87"/>
        <v>73.473025513598785</v>
      </c>
      <c r="Q83" s="20">
        <f t="shared" si="54"/>
        <v>669.58543160285092</v>
      </c>
      <c r="R83" s="59">
        <f t="shared" si="55"/>
        <v>962.91876493618429</v>
      </c>
      <c r="S83" s="59">
        <f ca="1">AVERAGE(OFFSET($R$3,0,0,'Données projet'!$E$9+1,1))-AVERAGE(OFFSET($H$3,0,0,'Données projet'!$E$9+1,1))</f>
        <v>349.71285006949597</v>
      </c>
      <c r="T83" s="59">
        <f t="shared" si="88"/>
        <v>258.51550516456842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520.03</v>
      </c>
      <c r="W83" s="16">
        <f>IF(ISNA(VLOOKUP(A83,'Données projet'!$A$35:$I$55,5,0)),0%,VLOOKUP(A83,'Données projet'!$A$35:$I$55,5,0)*VLOOKUP('Données projet'!$B$9,Paramètres!$A$1:$I$89,7,0))</f>
        <v>0.27</v>
      </c>
      <c r="X83" s="16">
        <f>IF(ISNA(VLOOKUP(A83,'Données projet'!$A$35:$I$55,6,0)),0%,VLOOKUP(A83,'Données projet'!$A$35:$I$55,6,0)*VLOOKUP('Données projet'!$B$9,Paramètres!$A$1:$I$89,7,0))</f>
        <v>9.0000000000000011E-2</v>
      </c>
      <c r="Y83" s="16">
        <f>IF(ISNA(VLOOKUP(A83,'Données projet'!$A$35:$I$55,7,0)),0%,VLOOKUP(A83,'Données projet'!$A$35:$I$55,7,0))</f>
        <v>0.2</v>
      </c>
      <c r="Z83" s="21">
        <f>EXP(-LN(2)/35)*Z82+(1-EXP(-LN(2)/35))/(LN(2)/35)*V83*W83*VLOOKUP('Données projet'!$B$9,Paramètres!$A$1:$I$89,3,0)*0.475*44/12</f>
        <v>153.26747033765446</v>
      </c>
      <c r="AA83" s="21">
        <f>EXP(-LN(2)/25)*AA82+(1-EXP(-LN(2)/25))/(LN(2)/25)*Calculateur!V83*Calculateur!X83*VLOOKUP('Données projet'!$B$9,Paramètres!$A$1:$I$89,3,0)*0.475*44/12</f>
        <v>51.744372778297887</v>
      </c>
      <c r="AB83" s="21">
        <f>EXP(-LN(2)/2)*AB82+(1-EXP(-LN(2)/2))/(LN(2)/2)*V83*Y83*VLOOKUP('Données projet'!$B$9,Paramètres!$A$1:$I$89,3,0)*0.475*44/12</f>
        <v>70.716642801208678</v>
      </c>
      <c r="AC83" s="22">
        <f t="shared" si="57"/>
        <v>275.72848591716104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9.4837500000000006</v>
      </c>
      <c r="AI83" s="13">
        <f>IF('Données projet'!$A$62&gt;35,AI82+AH83-AQ82,IF(A83&lt;'Données projet'!$A$62,$AF$205^A83,IF(A83='Données projet'!$A$62,'Données projet'!$B$62,AI82+AH83-AQ82)))</f>
        <v>277.65874999999994</v>
      </c>
      <c r="AJ83" s="13">
        <f>AI83*VLOOKUP('Données projet'!$B$10,Paramètres!$A$1:$I$89,3,0)*VLOOKUP('Données projet'!$B$10,Paramètres!$A$1:$I$89,5,0)</f>
        <v>264.22006649999997</v>
      </c>
      <c r="AK83" s="13">
        <f t="shared" si="89"/>
        <v>63.621080932408354</v>
      </c>
      <c r="AL83" s="20">
        <f t="shared" si="58"/>
        <v>570.98999844477783</v>
      </c>
      <c r="AM83" s="59">
        <f t="shared" si="59"/>
        <v>864.3233317781112</v>
      </c>
      <c r="AN83" s="59">
        <f ca="1">AVERAGE(OFFSET($AM$3,0,0,'Données projet'!$E$10+1,1))-AVERAGE(OFFSET($H$3,0,0,'Données projet'!$E$10+1,1))</f>
        <v>449.28947235329758</v>
      </c>
      <c r="AO83" s="59">
        <f t="shared" si="90"/>
        <v>289.36994109443964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19.85253999815215</v>
      </c>
      <c r="AV83" s="21">
        <f>EXP(-LN(2)/25)*AV82+(1-EXP(-LN(2)/25))/(LN(2)/25)*Calculateur!AQ83*Calculateur!AS83*VLOOKUP('Données projet'!$B$10,Paramètres!$A$1:$I$89,3,0)*0.475*44/12</f>
        <v>23.778778154954598</v>
      </c>
      <c r="AW83" s="21">
        <f>EXP(-LN(2)/2)*AW82+(1-EXP(-LN(2)/2))/(LN(2)/2)*AQ83*AT83*VLOOKUP('Données projet'!$B$10,Paramètres!$A$1:$I$89,3,0)*0.475*44/12</f>
        <v>0.73584461945359536</v>
      </c>
      <c r="AX83" s="21">
        <f t="shared" si="60"/>
        <v>44.367162772560341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286.73292960000038</v>
      </c>
      <c r="BF83" s="13">
        <f t="shared" si="91"/>
        <v>68.387896772756079</v>
      </c>
      <c r="BG83" s="20">
        <f t="shared" si="61"/>
        <v>618.50210593255088</v>
      </c>
      <c r="BH83" s="59">
        <f t="shared" si="62"/>
        <v>911.83543926588413</v>
      </c>
      <c r="BI83" s="59">
        <f ca="1">AVERAGE(OFFSET($BH$3,0,0,'Données projet'!$E$11+1,1))-AVERAGE(OFFSET($H$3,0,0,'Données projet'!$E$11+1,1))</f>
        <v>635.71275911100679</v>
      </c>
      <c r="BJ83" s="59">
        <f t="shared" si="92"/>
        <v>281.7776857269169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12.986593727820781</v>
      </c>
      <c r="BQ83" s="21">
        <f>EXP(-LN(2)/25)*BQ82+(1-EXP(-LN(2)/25))/(LN(2)/25)*Calculateur!BL83*Calculateur!BN83*VLOOKUP('Données projet'!$B$11,Paramètres!$A$1:$I$89,3,0)*0.475*44/12</f>
        <v>26.663451854486379</v>
      </c>
      <c r="BR83" s="21">
        <f>EXP(-LN(2)/2)*BR82+(1-EXP(-LN(2)/2))/(LN(2)/2)*BL83*BO83*VLOOKUP('Données projet'!$B$11,Paramètres!$A$1:$I$89,3,0)*0.475*44/12</f>
        <v>0.5878605006843981</v>
      </c>
      <c r="BS83" s="22">
        <f t="shared" si="63"/>
        <v>40.237906082991557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6.7444444444444462</v>
      </c>
      <c r="BY83" s="12">
        <f>IF('Données projet'!$A$114&gt;35,BY82+BX83-CG82,IF(A83&lt;'Données projet'!$A$114,$BV$205^A83,IF(A83='Données projet'!$A$114,'Données projet'!$B$114,BY82+BX83-CG82)))</f>
        <v>188.80333333333334</v>
      </c>
      <c r="BZ83" s="13">
        <f>BY83*VLOOKUP('Données projet'!$B$12,Paramètres!$A$1:$I$89,3,0)*VLOOKUP('Données projet'!$B$12,Paramètres!$A$1:$I$89,5,0)</f>
        <v>215.00923600000002</v>
      </c>
      <c r="CA83" s="13">
        <f t="shared" si="93"/>
        <v>53.028723450763223</v>
      </c>
      <c r="CB83" s="20">
        <f t="shared" si="64"/>
        <v>466.83277937674598</v>
      </c>
      <c r="CC83" s="59">
        <f t="shared" si="65"/>
        <v>760.16611271007923</v>
      </c>
      <c r="CD83" s="59">
        <f ca="1">AVERAGE(OFFSET($CC$3,0,0,'Données projet'!$E$12+1,1))-AVERAGE(OFFSET($H$3,0,0,'Données projet'!$E$12+1,1))</f>
        <v>593.28343396240075</v>
      </c>
      <c r="CE83" s="59">
        <f t="shared" si="94"/>
        <v>289.66477662068695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44.954167886242139</v>
      </c>
      <c r="CM83" s="21">
        <f>EXP(-LN(2)/2)*CM82+(1-EXP(-LN(2)/2))/(LN(2)/2)*CG83*CJ83*VLOOKUP('Données projet'!$B$12,Paramètres!$A$1:$I$89,3,0)*0.475*44/12</f>
        <v>2.7952255571535041</v>
      </c>
      <c r="CN83" s="22">
        <f t="shared" si="66"/>
        <v>47.749393443395647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148.7179487179487</v>
      </c>
      <c r="CR83" s="12">
        <f>VLOOKUP(A83,'Données projet'!$A$139:$I$159,9,0)</f>
        <v>2.1794871794871766</v>
      </c>
      <c r="CS83" s="12">
        <f t="array" ref="CS83">INDEX(CR:CR,MIN(IF(ISNUMBER(CR83:CR279),ROW(CR83:CR279),"")))</f>
        <v>2.1794871794871766</v>
      </c>
      <c r="CT83" s="12">
        <f>IF('Données projet'!$A$140&gt;35,CT82+CS83-DB82,IF(A83&lt;'Données projet'!$A$140,$CQ$205^A83,IF(A83='Données projet'!$A$140,'Données projet'!$B$140,CT82+CS83-DB82)))</f>
        <v>148.71794871794887</v>
      </c>
      <c r="CU83" s="17">
        <f>CT83*VLOOKUP('Données projet'!$B$13,Paramètres!$A$1:$I$89,3,0)*VLOOKUP('Données projet'!$B$13,Paramètres!$A$1:$I$89,5,0)</f>
        <v>155.44000000000017</v>
      </c>
      <c r="CV83" s="13">
        <f t="shared" si="95"/>
        <v>39.812270299527626</v>
      </c>
      <c r="CW83" s="20">
        <f t="shared" si="67"/>
        <v>340.06437077167755</v>
      </c>
      <c r="CX83" s="59">
        <f t="shared" si="68"/>
        <v>633.39770410501092</v>
      </c>
      <c r="CY83" s="59">
        <f ca="1">AVERAGE(OFFSET($CX$3,0,0,'Données projet'!$E$13+1,1))-AVERAGE(OFFSET($H$3,0,0,'Données projet'!$E$13+1,1))</f>
        <v>260.65406541614402</v>
      </c>
      <c r="CZ83" s="59">
        <f t="shared" si="96"/>
        <v>277.63456890196886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8.3333333333333339</v>
      </c>
      <c r="DC83" s="16">
        <f>IF(ISNA(VLOOKUP(A83,'Données projet'!$A$139:$I$159,5,0)),0%,VLOOKUP(A83,'Données projet'!$A$139:$I$159,5,0)*VLOOKUP('Données projet'!$B$13,Paramètres!$A$1:$I$89,7,0))</f>
        <v>4.3000000000000003E-2</v>
      </c>
      <c r="DD83" s="16">
        <f>IF(ISNA(VLOOKUP(A83,'Données projet'!$A$139:$I$159,6,0)),0%,VLOOKUP(A83,'Données projet'!$A$139:$I$159,6,0)*VLOOKUP('Données projet'!$B$13,Paramètres!$A$1:$I$89,7,0))</f>
        <v>0.215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3.2132476149548967</v>
      </c>
      <c r="DG83" s="21">
        <f>EXP(-LN(2)/25)*DG82+(1-EXP(-LN(2)/25))/(LN(2)/25)*Calculateur!DB83*Calculateur!DD83*VLOOKUP('Données projet'!$B$13,Paramètres!$A$1:$I$89,3,0)*0.475*44/12</f>
        <v>23.666645361048456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26.879892976003354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156.41025641025641</v>
      </c>
      <c r="DM83" s="12">
        <f>VLOOKUP(A83,'Données projet'!$A$165:$I$185,9,0)</f>
        <v>2.6923076923076961</v>
      </c>
      <c r="DN83" s="12">
        <f t="array" ref="DN83">INDEX(DM:DM,MIN(IF(ISNUMBER(DM83:DM279),ROW(DM83:DM279),"")))</f>
        <v>2.6923076923076961</v>
      </c>
      <c r="DO83" s="12">
        <f>IF('Données projet'!$A$166&gt;35,DO82+DN83-DW82,IF(A83&lt;'Données projet'!$A$166,$DL$205^A83,IF(A83='Données projet'!$A$166,'Données projet'!$B$166,DO82+DN83-DW82)))</f>
        <v>156.41025641025658</v>
      </c>
      <c r="DP83" s="17">
        <f>DO83*VLOOKUP('Données projet'!$B$14,Paramètres!$A$1:$I$89,3,0)*VLOOKUP('Données projet'!$B$14,Paramètres!$A$1:$I$89,5,0)</f>
        <v>102.48000000000012</v>
      </c>
      <c r="DQ83" s="13">
        <f t="shared" si="97"/>
        <v>27.551978344132674</v>
      </c>
      <c r="DR83" s="20">
        <f t="shared" si="70"/>
        <v>226.47236228269796</v>
      </c>
      <c r="DS83" s="59">
        <f t="shared" si="71"/>
        <v>519.80569561603124</v>
      </c>
      <c r="DT83" s="59">
        <f ca="1">AVERAGE(OFFSET($DS$3,0,0,'Données projet'!$E$14+1,1))-AVERAGE(OFFSET($H$3,0,0,'Données projet'!$E$14+1,1))</f>
        <v>181.4272795535777</v>
      </c>
      <c r="DU83" s="59">
        <f t="shared" si="98"/>
        <v>187.67131775419904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10.256410256410255</v>
      </c>
      <c r="DX83" s="16">
        <f>IF(ISNA(VLOOKUP(A83,'Données projet'!$A$165:$I$185,5,0)),0%,VLOOKUP(A83,'Données projet'!$A$165:$I$185,5,0)*VLOOKUP('Données projet'!$B$14,Paramètres!$A$1:$I$89,7,0))</f>
        <v>0.1075</v>
      </c>
      <c r="DY83" s="16">
        <f>IF(ISNA(VLOOKUP(A83,'Données projet'!$A$165:$I$185,6,0)),0%,VLOOKUP(A83,'Données projet'!$A$165:$I$185,6,0)*VLOOKUP('Données projet'!$B$14,Paramètres!$A$1:$I$89,7,0))</f>
        <v>0.1075</v>
      </c>
      <c r="DZ83" s="16">
        <f>IF(ISNA(VLOOKUP(A83,'Données projet'!$A$165:$I$185,7,0)),0%,VLOOKUP(A83,'Données projet'!$A$165:$I$185,7,0))</f>
        <v>0.25</v>
      </c>
      <c r="EA83" s="21">
        <f>EXP(-LN(2)/35)*EA82+(1-EXP(-LN(2)/35))/(LN(2)/35)*DW83*DX83*VLOOKUP('Données projet'!$B$14,Paramètres!$A$1:$I$89,3,0)*0.475*44/12</f>
        <v>4.5705854403348836</v>
      </c>
      <c r="EB83" s="21">
        <f>EXP(-LN(2)/25)*EB82+(1-EXP(-LN(2)/25))/(LN(2)/25)*Calculateur!DW83*Calculateur!DY83*VLOOKUP('Données projet'!$B$14,Paramètres!$A$1:$I$89,3,0)*0.475*44/12</f>
        <v>6.5507324302441834</v>
      </c>
      <c r="EC83" s="21">
        <f>EXP(-LN(2)/2)*EC82+(1-EXP(-LN(2)/2))/(LN(2)/2)*DW83*DZ83*VLOOKUP('Données projet'!$B$14,Paramètres!$A$1:$I$89,3,0)*0.475*44/12</f>
        <v>1.972744509771799</v>
      </c>
      <c r="ED83" s="22">
        <f t="shared" si="72"/>
        <v>13.094062380350865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1.1368683772161603E-13</v>
      </c>
      <c r="EK83" s="17">
        <f>EJ83*VLOOKUP('Données projet'!$B$15,Paramètres!$A$1:$I$89,3,0)*VLOOKUP('Données projet'!$B$15,Paramètres!$A$1:$I$89,5,0)</f>
        <v>9.2222762759774927E-14</v>
      </c>
      <c r="EL83" s="13">
        <f t="shared" si="99"/>
        <v>1.3985662224947967E-12</v>
      </c>
      <c r="EM83" s="20">
        <f t="shared" si="73"/>
        <v>2.5964574826517121E-12</v>
      </c>
      <c r="EN83" s="59">
        <f t="shared" si="74"/>
        <v>293.33333333333593</v>
      </c>
      <c r="EO83" s="59">
        <f ca="1">AVERAGE(OFFSET($EN$3,0,0,'Données projet'!$E$15+1,1))-AVERAGE(OFFSET($H$3,0,0,'Données projet'!$E$15+1,1))</f>
        <v>159.68591355116837</v>
      </c>
      <c r="EP83" s="59">
        <f t="shared" si="100"/>
        <v>284.32631786390112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6.6044497544512684</v>
      </c>
      <c r="EW83" s="21">
        <f>EXP(-LN(2)/25)*EW82+(1-EXP(-LN(2)/25))/(LN(2)/25)*Calculateur!ER83*Calculateur!ET83*VLOOKUP('Données projet'!$B$15,Paramètres!$A$1:$I$89,3,0)*0.475*44/12</f>
        <v>6.3732319085386706</v>
      </c>
      <c r="EX83" s="21">
        <f>EXP(-LN(2)/2)*EX82+(1-EXP(-LN(2)/2))/(LN(2)/2)*ER83*EU83*VLOOKUP('Données projet'!$B$15,Paramètres!$A$1:$I$89,3,0)*0.475*44/12</f>
        <v>2.7830232996764995E-5</v>
      </c>
      <c r="EY83" s="22">
        <f t="shared" si="75"/>
        <v>12.977709493222935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275</v>
      </c>
      <c r="FC83" s="12">
        <f>VLOOKUP(A83,'Données projet'!$A$217:$I$237,9,0)</f>
        <v>2.8</v>
      </c>
      <c r="FD83" s="12">
        <f t="array" ref="FD83">INDEX(FC:FC,MIN(IF(ISNUMBER(FC83:FC279),ROW(FC83:FC279),"")))</f>
        <v>2.8</v>
      </c>
      <c r="FE83" s="12">
        <f>IF('Données projet'!$A$218&gt;35,FE82+FD83-FM82,IF(A83&lt;'Données projet'!$A$218,$FB$205^A83,IF(A83='Données projet'!$A$218,'Données projet'!$B$218,FE82+FD83-FM82)))</f>
        <v>274.99999999999983</v>
      </c>
      <c r="FF83" s="17">
        <f>FE83*VLOOKUP('Données projet'!$B$16,Paramètres!$A$1:$I$89,3,0)*VLOOKUP('Données projet'!$B$16,Paramètres!$A$1:$I$89,5,0)</f>
        <v>218.78999999999988</v>
      </c>
      <c r="FG83" s="13">
        <f t="shared" si="101"/>
        <v>53.851813843863468</v>
      </c>
      <c r="FH83" s="20">
        <f t="shared" si="76"/>
        <v>474.85115911139536</v>
      </c>
      <c r="FI83" s="59">
        <f t="shared" si="77"/>
        <v>768.18449244472868</v>
      </c>
      <c r="FJ83" s="59">
        <f ca="1">AVERAGE(OFFSET($FI$3,0,0,'Données projet'!$E$16+1,1))-AVERAGE(OFFSET($H$3,0,0,'Données projet'!$E$16+1,1))</f>
        <v>299.10536994156814</v>
      </c>
      <c r="FK83" s="59">
        <f t="shared" si="102"/>
        <v>292.57799203101769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275</v>
      </c>
      <c r="FN83" s="16">
        <f>IF(ISNA(VLOOKUP(A83,'Données projet'!$A$217:$I$237,5,0)),0%,VLOOKUP(A83,'Données projet'!$A$217:$I$237,5,0)*VLOOKUP('Données projet'!$B$16,Paramètres!$A$1:$I$89,7,0))</f>
        <v>0.13250000000000001</v>
      </c>
      <c r="FO83" s="16">
        <f>IF(ISNA(VLOOKUP(A83,'Données projet'!$A$217:$I$237,6,0)),0%,VLOOKUP(A83,'Données projet'!$A$217:$I$237,6,0)*VLOOKUP('Données projet'!$B$16,Paramètres!$A$1:$I$89,7,0))</f>
        <v>0.13250000000000001</v>
      </c>
      <c r="FP83" s="16">
        <f>IF(ISNA(VLOOKUP(A83,'Données projet'!$A$217:$I$237,7,0)),0%,VLOOKUP(A83,'Données projet'!$A$217:$I$237,7,0))</f>
        <v>0.25</v>
      </c>
      <c r="FQ83" s="21">
        <f>EXP(-LN(2)/35)*FQ82+(1-EXP(-LN(2)/35))/(LN(2)/35)*FM83*FN83*VLOOKUP('Données projet'!$B$16,Paramètres!$A$1:$I$89,3,0)*0.475*44/12</f>
        <v>40.623265091479396</v>
      </c>
      <c r="FR83" s="21">
        <f>EXP(-LN(2)/25)*FR82+(1-EXP(-LN(2)/25))/(LN(2)/25)*Calculateur!FM83*Calculateur!FO83*VLOOKUP('Données projet'!$B$16,Paramètres!$A$1:$I$89,3,0)*0.475*44/12</f>
        <v>42.362073399453124</v>
      </c>
      <c r="FS83" s="21">
        <f>EXP(-LN(2)/2)*FS82+(1-EXP(-LN(2)/2))/(LN(2)/2)*FM83*FP83*VLOOKUP('Données projet'!$B$16,Paramètres!$A$1:$I$89,3,0)*0.475*44/12</f>
        <v>51.979936785464886</v>
      </c>
      <c r="FT83" s="22">
        <f t="shared" si="78"/>
        <v>134.96527527639739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5.6843418860808015E-14</v>
      </c>
      <c r="GA83" s="17">
        <f>FZ83*VLOOKUP('Données projet'!$B$17,Paramètres!$A$1:$I$89,3,0)*VLOOKUP('Données projet'!$B$17,Paramètres!$A$1:$I$89,5,0)</f>
        <v>5.1431925385259088E-14</v>
      </c>
      <c r="GB83" s="13">
        <f t="shared" si="103"/>
        <v>8.3482866290946129E-13</v>
      </c>
      <c r="GC83" s="20">
        <f t="shared" si="79"/>
        <v>1.5435705246133045E-12</v>
      </c>
      <c r="GD83" s="59">
        <f t="shared" si="80"/>
        <v>293.33333333333485</v>
      </c>
      <c r="GE83" s="59">
        <f ca="1">AVERAGE(OFFSET($GD$3,0,0,'Données projet'!$E$17+1,1))-AVERAGE(OFFSET($H$3,0,0,'Données projet'!$E$17+1,1))</f>
        <v>204.78565758021779</v>
      </c>
      <c r="GF83" s="59">
        <f t="shared" si="104"/>
        <v>287.25131613242439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7.8046320911036497</v>
      </c>
      <c r="GM83" s="21">
        <f>EXP(-LN(2)/25)*GM82+(1-EXP(-LN(2)/25))/(LN(2)/25)*Calculateur!GH83*Calculateur!GJ83*VLOOKUP('Données projet'!$B$17,Paramètres!$A$1:$I$89,3,0)*0.475*44/12</f>
        <v>5.0083074936815954</v>
      </c>
      <c r="GN83" s="21">
        <f>EXP(-LN(2)/2)*GN82+(1-EXP(-LN(2)/2))/(LN(2)/2)*GH83*GK83*VLOOKUP('Données projet'!$B$17,Paramètres!$A$1:$I$89,3,0)*0.475*44/12</f>
        <v>7.4397424849665484E-5</v>
      </c>
      <c r="GO83" s="21">
        <f t="shared" si="81"/>
        <v>12.813013982210094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5.6843418860808015E-14</v>
      </c>
      <c r="GV83" s="17">
        <f>GU83*VLOOKUP('Données projet'!$B$18,Paramètres!$A$1:$I$89,3,0)*VLOOKUP('Données projet'!$B$18,Paramètres!$A$1:$I$89,5,0)</f>
        <v>4.4337866711430253E-14</v>
      </c>
      <c r="GW83" s="13">
        <f t="shared" si="105"/>
        <v>7.3222115536967035E-13</v>
      </c>
      <c r="GX83" s="20">
        <f t="shared" si="82"/>
        <v>1.3525069634579169E-12</v>
      </c>
      <c r="GY83" s="59">
        <f t="shared" si="83"/>
        <v>293.33333333333468</v>
      </c>
      <c r="GZ83" s="59">
        <f ca="1">AVERAGE(OFFSET($GY$3,0,0,'Données projet'!$E$18+1,1))-AVERAGE(OFFSET($H$3,0,0,'Données projet'!$E$18+1,1))</f>
        <v>288.82868507674738</v>
      </c>
      <c r="HA83" s="59">
        <f t="shared" si="106"/>
        <v>283.48738729114024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34.581568495516095</v>
      </c>
      <c r="HH83" s="21">
        <f>EXP(-LN(2)/25)*HH82+(1-EXP(-LN(2)/25))/(LN(2)/25)*Calculateur!HC83*Calculateur!HE83*VLOOKUP('Données projet'!$B$18,Paramètres!$A$1:$I$89,3,0)*0.475*44/12</f>
        <v>31.206727756581291</v>
      </c>
      <c r="HI83" s="21">
        <f>EXP(-LN(2)/2)*HI82+(1-EXP(-LN(2)/2))/(LN(2)/2)*HC83*HF83*VLOOKUP('Données projet'!$B$18,Paramètres!$A$1:$I$89,3,0)*0.475*44/12</f>
        <v>1.3425310909047947</v>
      </c>
      <c r="HJ83" s="22">
        <f t="shared" si="84"/>
        <v>67.130827343002181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349.71285006949597</v>
      </c>
      <c r="T84" s="59">
        <f t="shared" si="88"/>
        <v>258.51550516456842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150.26198872825918</v>
      </c>
      <c r="AA84" s="21">
        <f>EXP(-LN(2)/25)*AA83+(1-EXP(-LN(2)/25))/(LN(2)/25)*Calculateur!V84*Calculateur!X84*VLOOKUP('Données projet'!$B$9,Paramètres!$A$1:$I$89,3,0)*0.475*44/12</f>
        <v>50.329420183557033</v>
      </c>
      <c r="AB84" s="21">
        <f>EXP(-LN(2)/2)*AB83+(1-EXP(-LN(2)/2))/(LN(2)/2)*V84*Y84*VLOOKUP('Données projet'!$B$9,Paramètres!$A$1:$I$89,3,0)*0.475*44/12</f>
        <v>50.004217667481512</v>
      </c>
      <c r="AC84" s="22">
        <f t="shared" si="57"/>
        <v>250.59562657929774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9.4837500000000006</v>
      </c>
      <c r="AI84" s="13">
        <f>IF('Données projet'!$A$62&gt;35,AI83+AH84-AQ83,IF(A84&lt;'Données projet'!$A$62,$AF$205^A84,IF(A84='Données projet'!$A$62,'Données projet'!$B$62,AI83+AH84-AQ83)))</f>
        <v>287.14249999999993</v>
      </c>
      <c r="AJ84" s="13">
        <f>AI84*VLOOKUP('Données projet'!$B$10,Paramètres!$A$1:$I$89,3,0)*VLOOKUP('Données projet'!$B$10,Paramètres!$A$1:$I$89,5,0)</f>
        <v>273.24480299999993</v>
      </c>
      <c r="AK84" s="13">
        <f t="shared" si="89"/>
        <v>65.537418866724181</v>
      </c>
      <c r="AL84" s="20">
        <f t="shared" si="58"/>
        <v>590.04570308454447</v>
      </c>
      <c r="AM84" s="59">
        <f t="shared" si="59"/>
        <v>883.37903641787784</v>
      </c>
      <c r="AN84" s="59">
        <f ca="1">AVERAGE(OFFSET($AM$3,0,0,'Données projet'!$E$10+1,1))-AVERAGE(OFFSET($H$3,0,0,'Données projet'!$E$10+1,1))</f>
        <v>449.28947235329758</v>
      </c>
      <c r="AO84" s="59">
        <f t="shared" si="90"/>
        <v>289.36994109443964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19.463243797642136</v>
      </c>
      <c r="AV84" s="21">
        <f>EXP(-LN(2)/25)*AV83+(1-EXP(-LN(2)/25))/(LN(2)/25)*Calculateur!AQ84*Calculateur!AS84*VLOOKUP('Données projet'!$B$10,Paramètres!$A$1:$I$89,3,0)*0.475*44/12</f>
        <v>23.128546215835769</v>
      </c>
      <c r="AW84" s="21">
        <f>EXP(-LN(2)/2)*AW83+(1-EXP(-LN(2)/2))/(LN(2)/2)*AQ84*AT84*VLOOKUP('Données projet'!$B$10,Paramètres!$A$1:$I$89,3,0)*0.475*44/12</f>
        <v>0.52032072031527177</v>
      </c>
      <c r="AX84" s="21">
        <f t="shared" si="60"/>
        <v>43.112110733793173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295.37105520000034</v>
      </c>
      <c r="BF84" s="13">
        <f t="shared" si="91"/>
        <v>70.205182362680091</v>
      </c>
      <c r="BG84" s="20">
        <f t="shared" si="61"/>
        <v>636.71194708833502</v>
      </c>
      <c r="BH84" s="59">
        <f t="shared" si="62"/>
        <v>930.04528042166839</v>
      </c>
      <c r="BI84" s="59">
        <f ca="1">AVERAGE(OFFSET($BH$3,0,0,'Données projet'!$E$11+1,1))-AVERAGE(OFFSET($H$3,0,0,'Données projet'!$E$11+1,1))</f>
        <v>635.71275911100679</v>
      </c>
      <c r="BJ84" s="59">
        <f t="shared" si="92"/>
        <v>281.7776857269169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12.731934545858252</v>
      </c>
      <c r="BQ84" s="21">
        <f>EXP(-LN(2)/25)*BQ83+(1-EXP(-LN(2)/25))/(LN(2)/25)*Calculateur!BL84*Calculateur!BN84*VLOOKUP('Données projet'!$B$11,Paramètres!$A$1:$I$89,3,0)*0.475*44/12</f>
        <v>25.934338361355454</v>
      </c>
      <c r="BR84" s="21">
        <f>EXP(-LN(2)/2)*BR83+(1-EXP(-LN(2)/2))/(LN(2)/2)*BL84*BO84*VLOOKUP('Données projet'!$B$11,Paramètres!$A$1:$I$89,3,0)*0.475*44/12</f>
        <v>0.41568014642565698</v>
      </c>
      <c r="BS84" s="22">
        <f t="shared" si="63"/>
        <v>39.081953053639367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6.7444444444444462</v>
      </c>
      <c r="BY84" s="12">
        <f>IF('Données projet'!$A$114&gt;35,BY83+BX84-CG83,IF(A84&lt;'Données projet'!$A$114,$BV$205^A84,IF(A84='Données projet'!$A$114,'Données projet'!$B$114,BY83+BX84-CG83)))</f>
        <v>195.54777777777778</v>
      </c>
      <c r="BZ84" s="13">
        <f>BY84*VLOOKUP('Données projet'!$B$12,Paramètres!$A$1:$I$89,3,0)*VLOOKUP('Données projet'!$B$12,Paramètres!$A$1:$I$89,5,0)</f>
        <v>222.68980933333336</v>
      </c>
      <c r="CA84" s="13">
        <f t="shared" si="93"/>
        <v>54.699088370207967</v>
      </c>
      <c r="CB84" s="20">
        <f t="shared" si="64"/>
        <v>483.11899683366778</v>
      </c>
      <c r="CC84" s="59">
        <f t="shared" si="65"/>
        <v>776.45233016700104</v>
      </c>
      <c r="CD84" s="59">
        <f ca="1">AVERAGE(OFFSET($CC$3,0,0,'Données projet'!$E$12+1,1))-AVERAGE(OFFSET($H$3,0,0,'Données projet'!$E$12+1,1))</f>
        <v>593.28343396240075</v>
      </c>
      <c r="CE84" s="59">
        <f t="shared" si="94"/>
        <v>289.66477662068695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43.724893801355904</v>
      </c>
      <c r="CM84" s="21">
        <f>EXP(-LN(2)/2)*CM83+(1-EXP(-LN(2)/2))/(LN(2)/2)*CG84*CJ84*VLOOKUP('Données projet'!$B$12,Paramètres!$A$1:$I$89,3,0)*0.475*44/12</f>
        <v>1.9765229464091882</v>
      </c>
      <c r="CN84" s="22">
        <f t="shared" si="66"/>
        <v>45.701416747765094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1.9230769230769282</v>
      </c>
      <c r="CT84" s="12">
        <f>IF('Données projet'!$A$140&gt;35,CT83+CS84-DB83,IF(A84&lt;'Données projet'!$A$140,$CQ$205^A84,IF(A84='Données projet'!$A$140,'Données projet'!$B$140,CT83+CS84-DB83)))</f>
        <v>142.30769230769246</v>
      </c>
      <c r="CU84" s="17">
        <f>CT84*VLOOKUP('Données projet'!$B$13,Paramètres!$A$1:$I$89,3,0)*VLOOKUP('Données projet'!$B$13,Paramètres!$A$1:$I$89,5,0)</f>
        <v>148.74000000000018</v>
      </c>
      <c r="CV84" s="13">
        <f t="shared" si="95"/>
        <v>38.292105674310946</v>
      </c>
      <c r="CW84" s="20">
        <f t="shared" si="67"/>
        <v>325.7475840494252</v>
      </c>
      <c r="CX84" s="59">
        <f t="shared" si="68"/>
        <v>619.08091738275857</v>
      </c>
      <c r="CY84" s="59">
        <f ca="1">AVERAGE(OFFSET($CX$3,0,0,'Données projet'!$E$13+1,1))-AVERAGE(OFFSET($H$3,0,0,'Données projet'!$E$13+1,1))</f>
        <v>260.65406541614402</v>
      </c>
      <c r="CZ84" s="59">
        <f t="shared" si="96"/>
        <v>277.63456890196886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3.1502377891131537</v>
      </c>
      <c r="DG84" s="21">
        <f>EXP(-LN(2)/25)*DG83+(1-EXP(-LN(2)/25))/(LN(2)/25)*Calculateur!DB84*Calculateur!DD84*VLOOKUP('Données projet'!$B$13,Paramètres!$A$1:$I$89,3,0)*0.475*44/12</f>
        <v>23.019479699075799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26.169717488188951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2.4358974358974308</v>
      </c>
      <c r="DO84" s="12">
        <f>IF('Données projet'!$A$166&gt;35,DO83+DN84-DW83,IF(A84&lt;'Données projet'!$A$166,$DL$205^A84,IF(A84='Données projet'!$A$166,'Données projet'!$B$166,DO83+DN84-DW83)))</f>
        <v>148.58974358974376</v>
      </c>
      <c r="DP84" s="17">
        <f>DO84*VLOOKUP('Données projet'!$B$14,Paramètres!$A$1:$I$89,3,0)*VLOOKUP('Données projet'!$B$14,Paramètres!$A$1:$I$89,5,0)</f>
        <v>97.356000000000108</v>
      </c>
      <c r="DQ84" s="13">
        <f t="shared" si="97"/>
        <v>26.331122045685671</v>
      </c>
      <c r="DR84" s="20">
        <f t="shared" si="70"/>
        <v>215.42173756290273</v>
      </c>
      <c r="DS84" s="59">
        <f t="shared" si="71"/>
        <v>508.75507089623602</v>
      </c>
      <c r="DT84" s="59">
        <f ca="1">AVERAGE(OFFSET($DS$3,0,0,'Données projet'!$E$14+1,1))-AVERAGE(OFFSET($H$3,0,0,'Données projet'!$E$14+1,1))</f>
        <v>181.4272795535777</v>
      </c>
      <c r="DU84" s="59">
        <f t="shared" si="98"/>
        <v>187.67131775419904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4.4809590476317647</v>
      </c>
      <c r="EB84" s="21">
        <f>EXP(-LN(2)/25)*EB83+(1-EXP(-LN(2)/25))/(LN(2)/25)*Calculateur!DW84*Calculateur!DY84*VLOOKUP('Données projet'!$B$14,Paramètres!$A$1:$I$89,3,0)*0.475*44/12</f>
        <v>6.3716023074511092</v>
      </c>
      <c r="EC84" s="21">
        <f>EXP(-LN(2)/2)*EC83+(1-EXP(-LN(2)/2))/(LN(2)/2)*DW84*DZ84*VLOOKUP('Données projet'!$B$14,Paramètres!$A$1:$I$89,3,0)*0.475*44/12</f>
        <v>1.3949410204081705</v>
      </c>
      <c r="ED84" s="22">
        <f t="shared" si="72"/>
        <v>12.247502375491043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1.1368683772161603E-13</v>
      </c>
      <c r="EK84" s="17">
        <f>EJ84*VLOOKUP('Données projet'!$B$15,Paramètres!$A$1:$I$89,3,0)*VLOOKUP('Données projet'!$B$15,Paramètres!$A$1:$I$89,5,0)</f>
        <v>9.2222762759774927E-14</v>
      </c>
      <c r="EL84" s="13">
        <f t="shared" si="99"/>
        <v>1.3985662224947967E-12</v>
      </c>
      <c r="EM84" s="20">
        <f t="shared" si="73"/>
        <v>2.5964574826517121E-12</v>
      </c>
      <c r="EN84" s="59">
        <f t="shared" si="74"/>
        <v>293.33333333333593</v>
      </c>
      <c r="EO84" s="59">
        <f ca="1">AVERAGE(OFFSET($EN$3,0,0,'Données projet'!$E$15+1,1))-AVERAGE(OFFSET($H$3,0,0,'Données projet'!$E$15+1,1))</f>
        <v>159.68591355116837</v>
      </c>
      <c r="EP84" s="59">
        <f t="shared" si="100"/>
        <v>284.32631786390112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6.4749405230830659</v>
      </c>
      <c r="EW84" s="21">
        <f>EXP(-LN(2)/25)*EW83+(1-EXP(-LN(2)/25))/(LN(2)/25)*Calculateur!ER84*Calculateur!ET84*VLOOKUP('Données projet'!$B$15,Paramètres!$A$1:$I$89,3,0)*0.475*44/12</f>
        <v>6.1989555468459807</v>
      </c>
      <c r="EX84" s="21">
        <f>EXP(-LN(2)/2)*EX83+(1-EXP(-LN(2)/2))/(LN(2)/2)*ER84*EU84*VLOOKUP('Données projet'!$B$15,Paramètres!$A$1:$I$89,3,0)*0.475*44/12</f>
        <v>1.967894647401414E-5</v>
      </c>
      <c r="EY84" s="22">
        <f t="shared" si="75"/>
        <v>12.673915748875521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-1.3567387213697657E-13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299.10536994156814</v>
      </c>
      <c r="FK84" s="59">
        <f t="shared" si="102"/>
        <v>292.57799203101769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39.826667640780592</v>
      </c>
      <c r="FR84" s="21">
        <f>EXP(-LN(2)/25)*FR83+(1-EXP(-LN(2)/25))/(LN(2)/25)*Calculateur!FM84*Calculateur!FO84*VLOOKUP('Données projet'!$B$16,Paramètres!$A$1:$I$89,3,0)*0.475*44/12</f>
        <v>41.20368027462046</v>
      </c>
      <c r="FS84" s="21">
        <f>EXP(-LN(2)/2)*FS83+(1-EXP(-LN(2)/2))/(LN(2)/2)*FM84*FP84*VLOOKUP('Données projet'!$B$16,Paramètres!$A$1:$I$89,3,0)*0.475*44/12</f>
        <v>36.755365786650295</v>
      </c>
      <c r="FT84" s="22">
        <f t="shared" si="78"/>
        <v>117.78571370205134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5.6843418860808015E-14</v>
      </c>
      <c r="GA84" s="17">
        <f>FZ84*VLOOKUP('Données projet'!$B$17,Paramètres!$A$1:$I$89,3,0)*VLOOKUP('Données projet'!$B$17,Paramètres!$A$1:$I$89,5,0)</f>
        <v>5.1431925385259088E-14</v>
      </c>
      <c r="GB84" s="13">
        <f t="shared" si="103"/>
        <v>8.3482866290946129E-13</v>
      </c>
      <c r="GC84" s="20">
        <f t="shared" si="79"/>
        <v>1.5435705246133045E-12</v>
      </c>
      <c r="GD84" s="59">
        <f t="shared" si="80"/>
        <v>293.33333333333485</v>
      </c>
      <c r="GE84" s="59">
        <f ca="1">AVERAGE(OFFSET($GD$3,0,0,'Données projet'!$E$17+1,1))-AVERAGE(OFFSET($H$3,0,0,'Données projet'!$E$17+1,1))</f>
        <v>204.78565758021779</v>
      </c>
      <c r="GF84" s="59">
        <f t="shared" si="104"/>
        <v>287.25131613242439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7.6515880161526368</v>
      </c>
      <c r="GM84" s="21">
        <f>EXP(-LN(2)/25)*GM83+(1-EXP(-LN(2)/25))/(LN(2)/25)*Calculateur!GH84*Calculateur!GJ84*VLOOKUP('Données projet'!$B$17,Paramètres!$A$1:$I$89,3,0)*0.475*44/12</f>
        <v>4.8713550618914274</v>
      </c>
      <c r="GN84" s="21">
        <f>EXP(-LN(2)/2)*GN83+(1-EXP(-LN(2)/2))/(LN(2)/2)*GH84*GK84*VLOOKUP('Données projet'!$B$17,Paramètres!$A$1:$I$89,3,0)*0.475*44/12</f>
        <v>5.2606923614015026E-5</v>
      </c>
      <c r="GO84" s="21">
        <f t="shared" si="81"/>
        <v>12.522995684967679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5.6843418860808015E-14</v>
      </c>
      <c r="GV84" s="17">
        <f>GU84*VLOOKUP('Données projet'!$B$18,Paramètres!$A$1:$I$89,3,0)*VLOOKUP('Données projet'!$B$18,Paramètres!$A$1:$I$89,5,0)</f>
        <v>4.4337866711430253E-14</v>
      </c>
      <c r="GW84" s="13">
        <f t="shared" si="105"/>
        <v>7.3222115536967035E-13</v>
      </c>
      <c r="GX84" s="20">
        <f t="shared" si="82"/>
        <v>1.3525069634579169E-12</v>
      </c>
      <c r="GY84" s="59">
        <f t="shared" si="83"/>
        <v>293.33333333333468</v>
      </c>
      <c r="GZ84" s="59">
        <f ca="1">AVERAGE(OFFSET($GY$3,0,0,'Données projet'!$E$18+1,1))-AVERAGE(OFFSET($H$3,0,0,'Données projet'!$E$18+1,1))</f>
        <v>288.82868507674738</v>
      </c>
      <c r="HA84" s="59">
        <f t="shared" si="106"/>
        <v>283.48738729114024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33.90344502999308</v>
      </c>
      <c r="HH84" s="21">
        <f>EXP(-LN(2)/25)*HH83+(1-EXP(-LN(2)/25))/(LN(2)/25)*Calculateur!HC84*Calculateur!HE84*VLOOKUP('Données projet'!$B$18,Paramètres!$A$1:$I$89,3,0)*0.475*44/12</f>
        <v>30.353378144987087</v>
      </c>
      <c r="HI84" s="21">
        <f>EXP(-LN(2)/2)*HI83+(1-EXP(-LN(2)/2))/(LN(2)/2)*HC84*HF84*VLOOKUP('Données projet'!$B$18,Paramètres!$A$1:$I$89,3,0)*0.475*44/12</f>
        <v>0.94931283833255364</v>
      </c>
      <c r="HJ84" s="22">
        <f t="shared" si="84"/>
        <v>65.206136013312729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349.71285006949597</v>
      </c>
      <c r="T85" s="59">
        <f t="shared" si="88"/>
        <v>258.51550516456842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147.31544278006137</v>
      </c>
      <c r="AA85" s="21">
        <f>EXP(-LN(2)/25)*AA84+(1-EXP(-LN(2)/25))/(LN(2)/25)*Calculateur!V85*Calculateur!X85*VLOOKUP('Données projet'!$B$9,Paramètres!$A$1:$I$89,3,0)*0.475*44/12</f>
        <v>48.953159541928486</v>
      </c>
      <c r="AB85" s="21">
        <f>EXP(-LN(2)/2)*AB84+(1-EXP(-LN(2)/2))/(LN(2)/2)*V85*Y85*VLOOKUP('Données projet'!$B$9,Paramètres!$A$1:$I$89,3,0)*0.475*44/12</f>
        <v>35.358321400604346</v>
      </c>
      <c r="AC85" s="22">
        <f t="shared" si="57"/>
        <v>231.62692372259423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9.4837500000000006</v>
      </c>
      <c r="AI85" s="13">
        <f>IF('Données projet'!$A$62&gt;35,AI84+AH85-AQ84,IF(A85&lt;'Données projet'!$A$62,$AF$205^A85,IF(A85='Données projet'!$A$62,'Données projet'!$B$62,AI84+AH85-AQ84)))</f>
        <v>296.62624999999991</v>
      </c>
      <c r="AJ85" s="13">
        <f>AI85*VLOOKUP('Données projet'!$B$10,Paramètres!$A$1:$I$89,3,0)*VLOOKUP('Données projet'!$B$10,Paramètres!$A$1:$I$89,5,0)</f>
        <v>282.26953949999995</v>
      </c>
      <c r="AK85" s="13">
        <f t="shared" si="89"/>
        <v>67.446402243109091</v>
      </c>
      <c r="AL85" s="20">
        <f t="shared" si="58"/>
        <v>609.08859853591491</v>
      </c>
      <c r="AM85" s="59">
        <f t="shared" si="59"/>
        <v>902.42193186924828</v>
      </c>
      <c r="AN85" s="59">
        <f ca="1">AVERAGE(OFFSET($AM$3,0,0,'Données projet'!$E$10+1,1))-AVERAGE(OFFSET($H$3,0,0,'Données projet'!$E$10+1,1))</f>
        <v>449.28947235329758</v>
      </c>
      <c r="AO85" s="59">
        <f t="shared" si="90"/>
        <v>289.36994109443964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19.081581458176885</v>
      </c>
      <c r="AV85" s="21">
        <f>EXP(-LN(2)/25)*AV84+(1-EXP(-LN(2)/25))/(LN(2)/25)*Calculateur!AQ85*Calculateur!AS85*VLOOKUP('Données projet'!$B$10,Paramètres!$A$1:$I$89,3,0)*0.475*44/12</f>
        <v>22.496094903286355</v>
      </c>
      <c r="AW85" s="21">
        <f>EXP(-LN(2)/2)*AW84+(1-EXP(-LN(2)/2))/(LN(2)/2)*AQ85*AT85*VLOOKUP('Données projet'!$B$10,Paramètres!$A$1:$I$89,3,0)*0.475*44/12</f>
        <v>0.36792230972679768</v>
      </c>
      <c r="AX85" s="21">
        <f t="shared" si="60"/>
        <v>41.945598671190041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304.00918080000037</v>
      </c>
      <c r="BF85" s="13">
        <f t="shared" si="91"/>
        <v>72.016291285794935</v>
      </c>
      <c r="BG85" s="20">
        <f t="shared" si="61"/>
        <v>654.91103054942675</v>
      </c>
      <c r="BH85" s="59">
        <f t="shared" si="62"/>
        <v>948.24436388276013</v>
      </c>
      <c r="BI85" s="59">
        <f ca="1">AVERAGE(OFFSET($BH$3,0,0,'Données projet'!$E$11+1,1))-AVERAGE(OFFSET($H$3,0,0,'Données projet'!$E$11+1,1))</f>
        <v>635.71275911100679</v>
      </c>
      <c r="BJ85" s="59">
        <f t="shared" si="92"/>
        <v>281.7776857269169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12.482269075127244</v>
      </c>
      <c r="BQ85" s="21">
        <f>EXP(-LN(2)/25)*BQ84+(1-EXP(-LN(2)/25))/(LN(2)/25)*Calculateur!BL85*Calculateur!BN85*VLOOKUP('Données projet'!$B$11,Paramètres!$A$1:$I$89,3,0)*0.475*44/12</f>
        <v>25.225162515036608</v>
      </c>
      <c r="BR85" s="21">
        <f>EXP(-LN(2)/2)*BR84+(1-EXP(-LN(2)/2))/(LN(2)/2)*BL85*BO85*VLOOKUP('Données projet'!$B$11,Paramètres!$A$1:$I$89,3,0)*0.475*44/12</f>
        <v>0.29393025034219911</v>
      </c>
      <c r="BS85" s="22">
        <f t="shared" si="63"/>
        <v>38.00136184050605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6.7444444444444462</v>
      </c>
      <c r="BY85" s="12">
        <f>IF('Données projet'!$A$114&gt;35,BY84+BX85-CG84,IF(A85&lt;'Données projet'!$A$114,$BV$205^A85,IF(A85='Données projet'!$A$114,'Données projet'!$B$114,BY84+BX85-CG84)))</f>
        <v>202.29222222222222</v>
      </c>
      <c r="BZ85" s="13">
        <f>BY85*VLOOKUP('Données projet'!$B$12,Paramètres!$A$1:$I$89,3,0)*VLOOKUP('Données projet'!$B$12,Paramètres!$A$1:$I$89,5,0)</f>
        <v>230.37038266666667</v>
      </c>
      <c r="CA85" s="13">
        <f t="shared" si="93"/>
        <v>56.362759421880078</v>
      </c>
      <c r="CB85" s="20">
        <f t="shared" si="64"/>
        <v>499.39355580421892</v>
      </c>
      <c r="CC85" s="59">
        <f t="shared" si="65"/>
        <v>792.72688913755223</v>
      </c>
      <c r="CD85" s="59">
        <f ca="1">AVERAGE(OFFSET($CC$3,0,0,'Données projet'!$E$12+1,1))-AVERAGE(OFFSET($H$3,0,0,'Données projet'!$E$12+1,1))</f>
        <v>593.28343396240075</v>
      </c>
      <c r="CE85" s="59">
        <f t="shared" si="94"/>
        <v>289.66477662068695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42.529234280965596</v>
      </c>
      <c r="CM85" s="21">
        <f>EXP(-LN(2)/2)*CM84+(1-EXP(-LN(2)/2))/(LN(2)/2)*CG85*CJ85*VLOOKUP('Données projet'!$B$12,Paramètres!$A$1:$I$89,3,0)*0.475*44/12</f>
        <v>1.3976127785767523</v>
      </c>
      <c r="CN85" s="22">
        <f t="shared" si="66"/>
        <v>43.926847059542347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1.9230769230769282</v>
      </c>
      <c r="CT85" s="12">
        <f>IF('Données projet'!$A$140&gt;35,CT84+CS85-DB84,IF(A85&lt;'Données projet'!$A$140,$CQ$205^A85,IF(A85='Données projet'!$A$140,'Données projet'!$B$140,CT84+CS85-DB84)))</f>
        <v>144.2307692307694</v>
      </c>
      <c r="CU85" s="17">
        <f>CT85*VLOOKUP('Données projet'!$B$13,Paramètres!$A$1:$I$89,3,0)*VLOOKUP('Données projet'!$B$13,Paramètres!$A$1:$I$89,5,0)</f>
        <v>150.7500000000002</v>
      </c>
      <c r="CV85" s="13">
        <f t="shared" si="95"/>
        <v>38.748976306073125</v>
      </c>
      <c r="CW85" s="20">
        <f t="shared" si="67"/>
        <v>330.04405039974438</v>
      </c>
      <c r="CX85" s="59">
        <f t="shared" si="68"/>
        <v>623.37738373307775</v>
      </c>
      <c r="CY85" s="59">
        <f ca="1">AVERAGE(OFFSET($CX$3,0,0,'Données projet'!$E$13+1,1))-AVERAGE(OFFSET($H$3,0,0,'Données projet'!$E$13+1,1))</f>
        <v>260.65406541614402</v>
      </c>
      <c r="CZ85" s="59">
        <f t="shared" si="96"/>
        <v>277.63456890196886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3.0884635475239683</v>
      </c>
      <c r="DG85" s="21">
        <f>EXP(-LN(2)/25)*DG84+(1-EXP(-LN(2)/25))/(LN(2)/25)*Calculateur!DB85*Calculateur!DD85*VLOOKUP('Données projet'!$B$13,Paramètres!$A$1:$I$89,3,0)*0.475*44/12</f>
        <v>22.390010816162746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25.478474363686715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2.4358974358974308</v>
      </c>
      <c r="DO85" s="12">
        <f>IF('Données projet'!$A$166&gt;35,DO84+DN85-DW84,IF(A85&lt;'Données projet'!$A$166,$DL$205^A85,IF(A85='Données projet'!$A$166,'Données projet'!$B$166,DO84+DN85-DW84)))</f>
        <v>151.02564102564119</v>
      </c>
      <c r="DP85" s="17">
        <f>DO85*VLOOKUP('Données projet'!$B$14,Paramètres!$A$1:$I$89,3,0)*VLOOKUP('Données projet'!$B$14,Paramètres!$A$1:$I$89,5,0)</f>
        <v>98.952000000000112</v>
      </c>
      <c r="DQ85" s="13">
        <f t="shared" si="97"/>
        <v>26.712173119037399</v>
      </c>
      <c r="DR85" s="20">
        <f t="shared" si="70"/>
        <v>218.86510151565699</v>
      </c>
      <c r="DS85" s="59">
        <f t="shared" si="71"/>
        <v>512.19843484899025</v>
      </c>
      <c r="DT85" s="59">
        <f ca="1">AVERAGE(OFFSET($DS$3,0,0,'Données projet'!$E$14+1,1))-AVERAGE(OFFSET($H$3,0,0,'Données projet'!$E$14+1,1))</f>
        <v>181.4272795535777</v>
      </c>
      <c r="DU85" s="59">
        <f t="shared" si="98"/>
        <v>187.67131775419904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4.3930901738228521</v>
      </c>
      <c r="EB85" s="21">
        <f>EXP(-LN(2)/25)*EB84+(1-EXP(-LN(2)/25))/(LN(2)/25)*Calculateur!DW85*Calculateur!DY85*VLOOKUP('Données projet'!$B$14,Paramètres!$A$1:$I$89,3,0)*0.475*44/12</f>
        <v>6.1973705072858554</v>
      </c>
      <c r="EC85" s="21">
        <f>EXP(-LN(2)/2)*EC84+(1-EXP(-LN(2)/2))/(LN(2)/2)*DW85*DZ85*VLOOKUP('Données projet'!$B$14,Paramètres!$A$1:$I$89,3,0)*0.475*44/12</f>
        <v>0.98637225488589964</v>
      </c>
      <c r="ED85" s="22">
        <f t="shared" si="72"/>
        <v>11.576832935994608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1.1368683772161603E-13</v>
      </c>
      <c r="EK85" s="17">
        <f>EJ85*VLOOKUP('Données projet'!$B$15,Paramètres!$A$1:$I$89,3,0)*VLOOKUP('Données projet'!$B$15,Paramètres!$A$1:$I$89,5,0)</f>
        <v>9.2222762759774927E-14</v>
      </c>
      <c r="EL85" s="13">
        <f t="shared" si="99"/>
        <v>1.3985662224947967E-12</v>
      </c>
      <c r="EM85" s="20">
        <f t="shared" si="73"/>
        <v>2.5964574826517121E-12</v>
      </c>
      <c r="EN85" s="59">
        <f t="shared" si="74"/>
        <v>293.33333333333593</v>
      </c>
      <c r="EO85" s="59">
        <f ca="1">AVERAGE(OFFSET($EN$3,0,0,'Données projet'!$E$15+1,1))-AVERAGE(OFFSET($H$3,0,0,'Données projet'!$E$15+1,1))</f>
        <v>159.68591355116837</v>
      </c>
      <c r="EP85" s="59">
        <f t="shared" si="100"/>
        <v>284.32631786390112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6.3479708887491624</v>
      </c>
      <c r="EW85" s="21">
        <f>EXP(-LN(2)/25)*EW84+(1-EXP(-LN(2)/25))/(LN(2)/25)*Calculateur!ER85*Calculateur!ET85*VLOOKUP('Données projet'!$B$15,Paramètres!$A$1:$I$89,3,0)*0.475*44/12</f>
        <v>6.0294447814285732</v>
      </c>
      <c r="EX85" s="21">
        <f>EXP(-LN(2)/2)*EX84+(1-EXP(-LN(2)/2))/(LN(2)/2)*ER85*EU85*VLOOKUP('Données projet'!$B$15,Paramètres!$A$1:$I$89,3,0)*0.475*44/12</f>
        <v>1.3915116498382498E-5</v>
      </c>
      <c r="EY85" s="22">
        <f t="shared" si="75"/>
        <v>12.377429585294236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-1.3567387213697657E-13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299.10536994156814</v>
      </c>
      <c r="FK85" s="59">
        <f t="shared" si="102"/>
        <v>292.57799203101769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39.045690980213521</v>
      </c>
      <c r="FR85" s="21">
        <f>EXP(-LN(2)/25)*FR84+(1-EXP(-LN(2)/25))/(LN(2)/25)*Calculateur!FM85*Calculateur!FO85*VLOOKUP('Données projet'!$B$16,Paramètres!$A$1:$I$89,3,0)*0.475*44/12</f>
        <v>40.076963470703589</v>
      </c>
      <c r="FS85" s="21">
        <f>EXP(-LN(2)/2)*FS84+(1-EXP(-LN(2)/2))/(LN(2)/2)*FM85*FP85*VLOOKUP('Données projet'!$B$16,Paramètres!$A$1:$I$89,3,0)*0.475*44/12</f>
        <v>25.989968392732447</v>
      </c>
      <c r="FT85" s="22">
        <f t="shared" si="78"/>
        <v>105.11262284364956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5.6843418860808015E-14</v>
      </c>
      <c r="GA85" s="17">
        <f>FZ85*VLOOKUP('Données projet'!$B$17,Paramètres!$A$1:$I$89,3,0)*VLOOKUP('Données projet'!$B$17,Paramètres!$A$1:$I$89,5,0)</f>
        <v>5.1431925385259088E-14</v>
      </c>
      <c r="GB85" s="13">
        <f t="shared" si="103"/>
        <v>8.3482866290946129E-13</v>
      </c>
      <c r="GC85" s="20">
        <f t="shared" si="79"/>
        <v>1.5435705246133045E-12</v>
      </c>
      <c r="GD85" s="59">
        <f t="shared" si="80"/>
        <v>293.33333333333485</v>
      </c>
      <c r="GE85" s="59">
        <f ca="1">AVERAGE(OFFSET($GD$3,0,0,'Données projet'!$E$17+1,1))-AVERAGE(OFFSET($H$3,0,0,'Données projet'!$E$17+1,1))</f>
        <v>204.78565758021779</v>
      </c>
      <c r="GF85" s="59">
        <f t="shared" si="104"/>
        <v>287.25131613242439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7.5015450421637446</v>
      </c>
      <c r="GM85" s="21">
        <f>EXP(-LN(2)/25)*GM84+(1-EXP(-LN(2)/25))/(LN(2)/25)*Calculateur!GH85*Calculateur!GJ85*VLOOKUP('Données projet'!$B$17,Paramètres!$A$1:$I$89,3,0)*0.475*44/12</f>
        <v>4.738147601550577</v>
      </c>
      <c r="GN85" s="21">
        <f>EXP(-LN(2)/2)*GN84+(1-EXP(-LN(2)/2))/(LN(2)/2)*GH85*GK85*VLOOKUP('Données projet'!$B$17,Paramètres!$A$1:$I$89,3,0)*0.475*44/12</f>
        <v>3.7198712424832742E-5</v>
      </c>
      <c r="GO85" s="21">
        <f t="shared" si="81"/>
        <v>12.239729842426746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5.6843418860808015E-14</v>
      </c>
      <c r="GV85" s="17">
        <f>GU85*VLOOKUP('Données projet'!$B$18,Paramètres!$A$1:$I$89,3,0)*VLOOKUP('Données projet'!$B$18,Paramètres!$A$1:$I$89,5,0)</f>
        <v>4.4337866711430253E-14</v>
      </c>
      <c r="GW85" s="13">
        <f t="shared" si="105"/>
        <v>7.3222115536967035E-13</v>
      </c>
      <c r="GX85" s="20">
        <f t="shared" si="82"/>
        <v>1.3525069634579169E-12</v>
      </c>
      <c r="GY85" s="59">
        <f t="shared" si="83"/>
        <v>293.33333333333468</v>
      </c>
      <c r="GZ85" s="59">
        <f ca="1">AVERAGE(OFFSET($GY$3,0,0,'Données projet'!$E$18+1,1))-AVERAGE(OFFSET($H$3,0,0,'Données projet'!$E$18+1,1))</f>
        <v>288.82868507674738</v>
      </c>
      <c r="HA85" s="59">
        <f t="shared" si="106"/>
        <v>283.48738729114024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33.238619152014493</v>
      </c>
      <c r="HH85" s="21">
        <f>EXP(-LN(2)/25)*HH84+(1-EXP(-LN(2)/25))/(LN(2)/25)*Calculateur!HC85*Calculateur!HE85*VLOOKUP('Données projet'!$B$18,Paramètres!$A$1:$I$89,3,0)*0.475*44/12</f>
        <v>29.523363423397633</v>
      </c>
      <c r="HI85" s="21">
        <f>EXP(-LN(2)/2)*HI84+(1-EXP(-LN(2)/2))/(LN(2)/2)*HC85*HF85*VLOOKUP('Données projet'!$B$18,Paramètres!$A$1:$I$89,3,0)*0.475*44/12</f>
        <v>0.67126554545239747</v>
      </c>
      <c r="HJ85" s="22">
        <f t="shared" si="84"/>
        <v>63.433248120864526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349.71285006949597</v>
      </c>
      <c r="T86" s="59">
        <f t="shared" si="88"/>
        <v>258.51550516456842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144.42667680069218</v>
      </c>
      <c r="AA86" s="21">
        <f>EXP(-LN(2)/25)*AA85+(1-EXP(-LN(2)/25))/(LN(2)/25)*Calculateur!V86*Calculateur!X86*VLOOKUP('Données projet'!$B$9,Paramètres!$A$1:$I$89,3,0)*0.475*44/12</f>
        <v>47.614532819919674</v>
      </c>
      <c r="AB86" s="21">
        <f>EXP(-LN(2)/2)*AB85+(1-EXP(-LN(2)/2))/(LN(2)/2)*V86*Y86*VLOOKUP('Données projet'!$B$9,Paramètres!$A$1:$I$89,3,0)*0.475*44/12</f>
        <v>25.00210883374076</v>
      </c>
      <c r="AC86" s="22">
        <f t="shared" si="57"/>
        <v>217.0433184543526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306.11</v>
      </c>
      <c r="AG86" s="12">
        <f>VLOOKUP(A86,'Données projet'!$A$61:$I$81,9,0)</f>
        <v>9.4837500000000006</v>
      </c>
      <c r="AH86" s="12">
        <f t="array" ref="AH86">INDEX(AG:AG,MIN(IF(ISNUMBER(AG86:AG282),ROW(AG86:AG282),"")))</f>
        <v>9.4837500000000006</v>
      </c>
      <c r="AI86" s="13">
        <f>IF('Données projet'!$A$62&gt;35,AI85+AH86-AQ85,IF(A86&lt;'Données projet'!$A$62,$AF$205^A86,IF(A86='Données projet'!$A$62,'Données projet'!$B$62,AI85+AH86-AQ85)))</f>
        <v>306.1099999999999</v>
      </c>
      <c r="AJ86" s="13">
        <f>AI86*VLOOKUP('Données projet'!$B$10,Paramètres!$A$1:$I$89,3,0)*VLOOKUP('Données projet'!$B$10,Paramètres!$A$1:$I$89,5,0)</f>
        <v>291.29427599999991</v>
      </c>
      <c r="AK86" s="13">
        <f t="shared" si="89"/>
        <v>69.348293174982246</v>
      </c>
      <c r="AL86" s="20">
        <f t="shared" si="58"/>
        <v>628.11914131309391</v>
      </c>
      <c r="AM86" s="59">
        <f t="shared" si="59"/>
        <v>921.45247464642716</v>
      </c>
      <c r="AN86" s="59">
        <f ca="1">AVERAGE(OFFSET($AM$3,0,0,'Données projet'!$E$10+1,1))-AVERAGE(OFFSET($H$3,0,0,'Données projet'!$E$10+1,1))</f>
        <v>449.28947235329758</v>
      </c>
      <c r="AO86" s="59">
        <f t="shared" si="90"/>
        <v>289.36994109443964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49.980000000000018</v>
      </c>
      <c r="AR86" s="16">
        <f>IF(ISNA(VLOOKUP(A86,'Données projet'!$A$61:$I$81,5,0)),0%,VLOOKUP(A86,'Données projet'!$A$61:$I$81,5,0)*VLOOKUP('Données projet'!$B$10,Paramètres!$A$1:$I$89,7,0))</f>
        <v>0.15049999999999999</v>
      </c>
      <c r="AS86" s="16">
        <f>IF(ISNA(VLOOKUP(A86,'Données projet'!$A$61:$I$81,6,0)),0%,VLOOKUP(A86,'Données projet'!$A$61:$I$81,6,0)*VLOOKUP('Données projet'!$B$10,Paramètres!$A$1:$I$89,7,0))</f>
        <v>8.6000000000000007E-2</v>
      </c>
      <c r="AT86" s="16">
        <f>IF(ISNA(VLOOKUP(A86,'Données projet'!$A$61:$I$81,7,0)),0%,VLOOKUP(A86,'Données projet'!$A$61:$I$81,7,0))</f>
        <v>0.1</v>
      </c>
      <c r="AU86" s="21">
        <f>EXP(-LN(2)/35)*AU85+(1-EXP(-LN(2)/35))/(LN(2)/35)*AQ86*AR86*VLOOKUP('Données projet'!$B$10,Paramètres!$A$1:$I$89,3,0)*0.475*44/12</f>
        <v>26.620278106957642</v>
      </c>
      <c r="AV86" s="21">
        <f>EXP(-LN(2)/25)*AV85+(1-EXP(-LN(2)/25))/(LN(2)/25)*Calculateur!AQ86*Calculateur!AS86*VLOOKUP('Données projet'!$B$10,Paramètres!$A$1:$I$89,3,0)*0.475*44/12</f>
        <v>26.38477733047608</v>
      </c>
      <c r="AW86" s="21">
        <f>EXP(-LN(2)/2)*AW85+(1-EXP(-LN(2)/2))/(LN(2)/2)*AQ86*AT86*VLOOKUP('Données projet'!$B$10,Paramètres!$A$1:$I$89,3,0)*0.475*44/12</f>
        <v>4.7476656994261992</v>
      </c>
      <c r="AX86" s="21">
        <f t="shared" si="60"/>
        <v>57.752721136859925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312.64730640000039</v>
      </c>
      <c r="BF86" s="13">
        <f t="shared" si="91"/>
        <v>73.821419204446315</v>
      </c>
      <c r="BG86" s="20">
        <f t="shared" si="61"/>
        <v>673.09969709441123</v>
      </c>
      <c r="BH86" s="59">
        <f t="shared" si="62"/>
        <v>966.4330304277446</v>
      </c>
      <c r="BI86" s="59">
        <f ca="1">AVERAGE(OFFSET($BH$3,0,0,'Données projet'!$E$11+1,1))-AVERAGE(OFFSET($H$3,0,0,'Données projet'!$E$11+1,1))</f>
        <v>635.71275911100679</v>
      </c>
      <c r="BJ86" s="59">
        <f t="shared" si="92"/>
        <v>281.7776857269169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12.237499391996371</v>
      </c>
      <c r="BQ86" s="21">
        <f>EXP(-LN(2)/25)*BQ85+(1-EXP(-LN(2)/25))/(LN(2)/25)*Calculateur!BL86*Calculateur!BN86*VLOOKUP('Données projet'!$B$11,Paramètres!$A$1:$I$89,3,0)*0.475*44/12</f>
        <v>24.535379119529289</v>
      </c>
      <c r="BR86" s="21">
        <f>EXP(-LN(2)/2)*BR85+(1-EXP(-LN(2)/2))/(LN(2)/2)*BL86*BO86*VLOOKUP('Données projet'!$B$11,Paramètres!$A$1:$I$89,3,0)*0.475*44/12</f>
        <v>0.20784007321282855</v>
      </c>
      <c r="BS86" s="22">
        <f t="shared" si="63"/>
        <v>36.98071858473849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6.7444444444444462</v>
      </c>
      <c r="BY86" s="12">
        <f>IF('Données projet'!$A$114&gt;35,BY85+BX86-CG85,IF(A86&lt;'Données projet'!$A$114,$BV$205^A86,IF(A86='Données projet'!$A$114,'Données projet'!$B$114,BY85+BX86-CG85)))</f>
        <v>209.03666666666666</v>
      </c>
      <c r="BZ86" s="13">
        <f>BY86*VLOOKUP('Données projet'!$B$12,Paramètres!$A$1:$I$89,3,0)*VLOOKUP('Données projet'!$B$12,Paramètres!$A$1:$I$89,5,0)</f>
        <v>238.05095600000001</v>
      </c>
      <c r="CA86" s="13">
        <f t="shared" si="93"/>
        <v>58.019985368316512</v>
      </c>
      <c r="CB86" s="20">
        <f t="shared" si="64"/>
        <v>515.65688954981795</v>
      </c>
      <c r="CC86" s="59">
        <f t="shared" si="65"/>
        <v>808.99022288315132</v>
      </c>
      <c r="CD86" s="59">
        <f ca="1">AVERAGE(OFFSET($CC$3,0,0,'Données projet'!$E$12+1,1))-AVERAGE(OFFSET($H$3,0,0,'Données projet'!$E$12+1,1))</f>
        <v>593.28343396240075</v>
      </c>
      <c r="CE86" s="59">
        <f t="shared" si="94"/>
        <v>289.66477662068695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41.366270133037361</v>
      </c>
      <c r="CM86" s="21">
        <f>EXP(-LN(2)/2)*CM85+(1-EXP(-LN(2)/2))/(LN(2)/2)*CG86*CJ86*VLOOKUP('Données projet'!$B$12,Paramètres!$A$1:$I$89,3,0)*0.475*44/12</f>
        <v>0.98826147320459434</v>
      </c>
      <c r="CN86" s="22">
        <f t="shared" si="66"/>
        <v>42.354531606241956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1.9230769230769282</v>
      </c>
      <c r="CT86" s="12">
        <f>IF('Données projet'!$A$140&gt;35,CT85+CS86-DB85,IF(A86&lt;'Données projet'!$A$140,$CQ$205^A86,IF(A86='Données projet'!$A$140,'Données projet'!$B$140,CT85+CS86-DB85)))</f>
        <v>146.15384615384633</v>
      </c>
      <c r="CU86" s="17">
        <f>CT86*VLOOKUP('Données projet'!$B$13,Paramètres!$A$1:$I$89,3,0)*VLOOKUP('Données projet'!$B$13,Paramètres!$A$1:$I$89,5,0)</f>
        <v>152.76000000000019</v>
      </c>
      <c r="CV86" s="13">
        <f t="shared" si="95"/>
        <v>39.205138402364128</v>
      </c>
      <c r="CW86" s="20">
        <f t="shared" si="67"/>
        <v>334.33928271745117</v>
      </c>
      <c r="CX86" s="59">
        <f t="shared" si="68"/>
        <v>627.67261605078443</v>
      </c>
      <c r="CY86" s="59">
        <f ca="1">AVERAGE(OFFSET($CX$3,0,0,'Données projet'!$E$13+1,1))-AVERAGE(OFFSET($H$3,0,0,'Données projet'!$E$13+1,1))</f>
        <v>260.65406541614402</v>
      </c>
      <c r="CZ86" s="59">
        <f t="shared" si="96"/>
        <v>277.63456890196886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3.02790066113378</v>
      </c>
      <c r="DG86" s="21">
        <f>EXP(-LN(2)/25)*DG85+(1-EXP(-LN(2)/25))/(LN(2)/25)*Calculateur!DB86*Calculateur!DD86*VLOOKUP('Données projet'!$B$13,Paramètres!$A$1:$I$89,3,0)*0.475*44/12</f>
        <v>21.777754792955282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24.805655454089063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2.4358974358974308</v>
      </c>
      <c r="DO86" s="12">
        <f>IF('Données projet'!$A$166&gt;35,DO85+DN86-DW85,IF(A86&lt;'Données projet'!$A$166,$DL$205^A86,IF(A86='Données projet'!$A$166,'Données projet'!$B$166,DO85+DN86-DW85)))</f>
        <v>153.46153846153862</v>
      </c>
      <c r="DP86" s="17">
        <f>DO86*VLOOKUP('Données projet'!$B$14,Paramètres!$A$1:$I$89,3,0)*VLOOKUP('Données projet'!$B$14,Paramètres!$A$1:$I$89,5,0)</f>
        <v>100.5480000000001</v>
      </c>
      <c r="DQ86" s="13">
        <f t="shared" si="97"/>
        <v>27.092509438089852</v>
      </c>
      <c r="DR86" s="20">
        <f t="shared" si="70"/>
        <v>222.30722060467335</v>
      </c>
      <c r="DS86" s="59">
        <f t="shared" si="71"/>
        <v>515.64055393800663</v>
      </c>
      <c r="DT86" s="59">
        <f ca="1">AVERAGE(OFFSET($DS$3,0,0,'Données projet'!$E$14+1,1))-AVERAGE(OFFSET($H$3,0,0,'Données projet'!$E$14+1,1))</f>
        <v>181.4272795535777</v>
      </c>
      <c r="DU86" s="59">
        <f t="shared" si="98"/>
        <v>187.67131775419904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4.3069443550346111</v>
      </c>
      <c r="EB86" s="21">
        <f>EXP(-LN(2)/25)*EB85+(1-EXP(-LN(2)/25))/(LN(2)/25)*Calculateur!DW86*Calculateur!DY86*VLOOKUP('Données projet'!$B$14,Paramètres!$A$1:$I$89,3,0)*0.475*44/12</f>
        <v>6.0279030848585728</v>
      </c>
      <c r="EC86" s="21">
        <f>EXP(-LN(2)/2)*EC85+(1-EXP(-LN(2)/2))/(LN(2)/2)*DW86*DZ86*VLOOKUP('Données projet'!$B$14,Paramètres!$A$1:$I$89,3,0)*0.475*44/12</f>
        <v>0.69747051020408535</v>
      </c>
      <c r="ED86" s="22">
        <f t="shared" si="72"/>
        <v>11.032317950097271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1.1368683772161603E-13</v>
      </c>
      <c r="EK86" s="17">
        <f>EJ86*VLOOKUP('Données projet'!$B$15,Paramètres!$A$1:$I$89,3,0)*VLOOKUP('Données projet'!$B$15,Paramètres!$A$1:$I$89,5,0)</f>
        <v>9.2222762759774927E-14</v>
      </c>
      <c r="EL86" s="13">
        <f t="shared" si="99"/>
        <v>1.3985662224947967E-12</v>
      </c>
      <c r="EM86" s="20">
        <f t="shared" si="73"/>
        <v>2.5964574826517121E-12</v>
      </c>
      <c r="EN86" s="59">
        <f t="shared" si="74"/>
        <v>293.33333333333593</v>
      </c>
      <c r="EO86" s="59">
        <f ca="1">AVERAGE(OFFSET($EN$3,0,0,'Données projet'!$E$15+1,1))-AVERAGE(OFFSET($H$3,0,0,'Données projet'!$E$15+1,1))</f>
        <v>159.68591355116837</v>
      </c>
      <c r="EP86" s="59">
        <f t="shared" si="100"/>
        <v>284.32631786390112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6.2234910515007167</v>
      </c>
      <c r="EW86" s="21">
        <f>EXP(-LN(2)/25)*EW85+(1-EXP(-LN(2)/25))/(LN(2)/25)*Calculateur!ER86*Calculateur!ET86*VLOOKUP('Données projet'!$B$15,Paramètres!$A$1:$I$89,3,0)*0.475*44/12</f>
        <v>5.8645692968056879</v>
      </c>
      <c r="EX86" s="21">
        <f>EXP(-LN(2)/2)*EX85+(1-EXP(-LN(2)/2))/(LN(2)/2)*ER86*EU86*VLOOKUP('Données projet'!$B$15,Paramètres!$A$1:$I$89,3,0)*0.475*44/12</f>
        <v>9.83947323700707E-6</v>
      </c>
      <c r="EY86" s="22">
        <f t="shared" si="75"/>
        <v>12.088070187779641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-1.3567387213697657E-13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299.10536994156814</v>
      </c>
      <c r="FK86" s="59">
        <f t="shared" si="102"/>
        <v>292.57799203101769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38.280028795611443</v>
      </c>
      <c r="FR86" s="21">
        <f>EXP(-LN(2)/25)*FR85+(1-EXP(-LN(2)/25))/(LN(2)/25)*Calculateur!FM86*Calculateur!FO86*VLOOKUP('Données projet'!$B$16,Paramètres!$A$1:$I$89,3,0)*0.475*44/12</f>
        <v>38.98105679704129</v>
      </c>
      <c r="FS86" s="21">
        <f>EXP(-LN(2)/2)*FS85+(1-EXP(-LN(2)/2))/(LN(2)/2)*FM86*FP86*VLOOKUP('Données projet'!$B$16,Paramètres!$A$1:$I$89,3,0)*0.475*44/12</f>
        <v>18.377682893325151</v>
      </c>
      <c r="FT86" s="22">
        <f t="shared" si="78"/>
        <v>95.638768485977891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5.6843418860808015E-14</v>
      </c>
      <c r="GA86" s="17">
        <f>FZ86*VLOOKUP('Données projet'!$B$17,Paramètres!$A$1:$I$89,3,0)*VLOOKUP('Données projet'!$B$17,Paramètres!$A$1:$I$89,5,0)</f>
        <v>5.1431925385259088E-14</v>
      </c>
      <c r="GB86" s="13">
        <f t="shared" si="103"/>
        <v>8.3482866290946129E-13</v>
      </c>
      <c r="GC86" s="20">
        <f t="shared" si="79"/>
        <v>1.5435705246133045E-12</v>
      </c>
      <c r="GD86" s="59">
        <f t="shared" si="80"/>
        <v>293.33333333333485</v>
      </c>
      <c r="GE86" s="59">
        <f ca="1">AVERAGE(OFFSET($GD$3,0,0,'Données projet'!$E$17+1,1))-AVERAGE(OFFSET($H$3,0,0,'Données projet'!$E$17+1,1))</f>
        <v>204.78565758021779</v>
      </c>
      <c r="GF86" s="59">
        <f t="shared" si="104"/>
        <v>287.25131613242439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7.3544443193775972</v>
      </c>
      <c r="GM86" s="21">
        <f>EXP(-LN(2)/25)*GM85+(1-EXP(-LN(2)/25))/(LN(2)/25)*Calculateur!GH86*Calculateur!GJ86*VLOOKUP('Données projet'!$B$17,Paramètres!$A$1:$I$89,3,0)*0.475*44/12</f>
        <v>4.6085827062178231</v>
      </c>
      <c r="GN86" s="21">
        <f>EXP(-LN(2)/2)*GN85+(1-EXP(-LN(2)/2))/(LN(2)/2)*GH86*GK86*VLOOKUP('Données projet'!$B$17,Paramètres!$A$1:$I$89,3,0)*0.475*44/12</f>
        <v>2.6303461807007513E-5</v>
      </c>
      <c r="GO86" s="21">
        <f t="shared" si="81"/>
        <v>11.963053329057226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5.6843418860808015E-14</v>
      </c>
      <c r="GV86" s="17">
        <f>GU86*VLOOKUP('Données projet'!$B$18,Paramètres!$A$1:$I$89,3,0)*VLOOKUP('Données projet'!$B$18,Paramètres!$A$1:$I$89,5,0)</f>
        <v>4.4337866711430253E-14</v>
      </c>
      <c r="GW86" s="13">
        <f t="shared" si="105"/>
        <v>7.3222115536967035E-13</v>
      </c>
      <c r="GX86" s="20">
        <f t="shared" si="82"/>
        <v>1.3525069634579169E-12</v>
      </c>
      <c r="GY86" s="59">
        <f t="shared" si="83"/>
        <v>293.33333333333468</v>
      </c>
      <c r="GZ86" s="59">
        <f ca="1">AVERAGE(OFFSET($GY$3,0,0,'Données projet'!$E$18+1,1))-AVERAGE(OFFSET($H$3,0,0,'Données projet'!$E$18+1,1))</f>
        <v>288.82868507674738</v>
      </c>
      <c r="HA86" s="59">
        <f t="shared" si="106"/>
        <v>283.48738729114024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32.586830103999326</v>
      </c>
      <c r="HH86" s="21">
        <f>EXP(-LN(2)/25)*HH85+(1-EXP(-LN(2)/25))/(LN(2)/25)*Calculateur!HC86*Calculateur!HE86*VLOOKUP('Données projet'!$B$18,Paramètres!$A$1:$I$89,3,0)*0.475*44/12</f>
        <v>28.716045498018619</v>
      </c>
      <c r="HI86" s="21">
        <f>EXP(-LN(2)/2)*HI85+(1-EXP(-LN(2)/2))/(LN(2)/2)*HC86*HF86*VLOOKUP('Données projet'!$B$18,Paramètres!$A$1:$I$89,3,0)*0.475*44/12</f>
        <v>0.47465641916627693</v>
      </c>
      <c r="HJ86" s="22">
        <f t="shared" si="84"/>
        <v>61.777532021184228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349.71285006949597</v>
      </c>
      <c r="T87" s="59">
        <f t="shared" si="88"/>
        <v>258.51550516456842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141.59455776020513</v>
      </c>
      <c r="AA87" s="21">
        <f>EXP(-LN(2)/25)*AA86+(1-EXP(-LN(2)/25))/(LN(2)/25)*Calculateur!V87*Calculateur!X87*VLOOKUP('Données projet'!$B$9,Paramètres!$A$1:$I$89,3,0)*0.475*44/12</f>
        <v>46.312510916019512</v>
      </c>
      <c r="AB87" s="21">
        <f>EXP(-LN(2)/2)*AB86+(1-EXP(-LN(2)/2))/(LN(2)/2)*V87*Y87*VLOOKUP('Données projet'!$B$9,Paramètres!$A$1:$I$89,3,0)*0.475*44/12</f>
        <v>17.679160700302177</v>
      </c>
      <c r="AC87" s="22">
        <f t="shared" si="57"/>
        <v>205.58622937652683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9.2740000000000009</v>
      </c>
      <c r="AI87" s="13">
        <f>IF('Données projet'!$A$62&gt;35,AI86+AH87-AQ86,IF(A87&lt;'Données projet'!$A$62,$AF$205^A87,IF(A87='Données projet'!$A$62,'Données projet'!$B$62,AI86+AH87-AQ86)))</f>
        <v>265.40399999999988</v>
      </c>
      <c r="AJ87" s="13">
        <f>AI87*VLOOKUP('Données projet'!$B$10,Paramètres!$A$1:$I$89,3,0)*VLOOKUP('Données projet'!$B$10,Paramètres!$A$1:$I$89,5,0)</f>
        <v>252.55844639999989</v>
      </c>
      <c r="AK87" s="13">
        <f t="shared" si="89"/>
        <v>61.133468574024647</v>
      </c>
      <c r="AL87" s="20">
        <f t="shared" si="58"/>
        <v>546.34675191309282</v>
      </c>
      <c r="AM87" s="59">
        <f t="shared" si="59"/>
        <v>839.68008524642619</v>
      </c>
      <c r="AN87" s="59">
        <f ca="1">AVERAGE(OFFSET($AM$3,0,0,'Données projet'!$E$10+1,1))-AVERAGE(OFFSET($H$3,0,0,'Données projet'!$E$10+1,1))</f>
        <v>449.28947235329758</v>
      </c>
      <c r="AO87" s="59">
        <f t="shared" si="90"/>
        <v>289.36994109443964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26.098270690046601</v>
      </c>
      <c r="AV87" s="21">
        <f>EXP(-LN(2)/25)*AV86+(1-EXP(-LN(2)/25))/(LN(2)/25)*Calculateur!AQ87*Calculateur!AS87*VLOOKUP('Données projet'!$B$10,Paramètres!$A$1:$I$89,3,0)*0.475*44/12</f>
        <v>25.663284206859075</v>
      </c>
      <c r="AW87" s="21">
        <f>EXP(-LN(2)/2)*AW86+(1-EXP(-LN(2)/2))/(LN(2)/2)*AQ87*AT87*VLOOKUP('Données projet'!$B$10,Paramètres!$A$1:$I$89,3,0)*0.475*44/12</f>
        <v>3.3571066108710386</v>
      </c>
      <c r="AX87" s="21">
        <f t="shared" si="60"/>
        <v>55.118661507776714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321.28543200000041</v>
      </c>
      <c r="BF87" s="13">
        <f t="shared" si="91"/>
        <v>75.620750353808944</v>
      </c>
      <c r="BG87" s="20">
        <f t="shared" si="61"/>
        <v>691.27826759955133</v>
      </c>
      <c r="BH87" s="59">
        <f t="shared" si="62"/>
        <v>984.61160093288458</v>
      </c>
      <c r="BI87" s="59">
        <f ca="1">AVERAGE(OFFSET($BH$3,0,0,'Données projet'!$E$11+1,1))-AVERAGE(OFFSET($H$3,0,0,'Données projet'!$E$11+1,1))</f>
        <v>635.71275911100679</v>
      </c>
      <c r="BJ87" s="59">
        <f t="shared" si="92"/>
        <v>281.7776857269169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22.036678946661006</v>
      </c>
      <c r="BQ87" s="21">
        <f>EXP(-LN(2)/25)*BQ86+(1-EXP(-LN(2)/25))/(LN(2)/25)*Calculateur!BL87*Calculateur!BN87*VLOOKUP('Données projet'!$B$11,Paramètres!$A$1:$I$89,3,0)*0.475*44/12</f>
        <v>29.578527314097339</v>
      </c>
      <c r="BR87" s="21">
        <f>EXP(-LN(2)/2)*BR86+(1-EXP(-LN(2)/2))/(LN(2)/2)*BL87*BO87*VLOOKUP('Données projet'!$B$11,Paramètres!$A$1:$I$89,3,0)*0.475*44/12</f>
        <v>5.8403114480929164</v>
      </c>
      <c r="BS87" s="22">
        <f t="shared" si="63"/>
        <v>57.455517708851261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6.7444444444444462</v>
      </c>
      <c r="BY87" s="12">
        <f>IF('Données projet'!$A$114&gt;35,BY86+BX87-CG86,IF(A87&lt;'Données projet'!$A$114,$BV$205^A87,IF(A87='Données projet'!$A$114,'Données projet'!$B$114,BY86+BX87-CG86)))</f>
        <v>215.7811111111111</v>
      </c>
      <c r="BZ87" s="13">
        <f>BY87*VLOOKUP('Données projet'!$B$12,Paramètres!$A$1:$I$89,3,0)*VLOOKUP('Données projet'!$B$12,Paramètres!$A$1:$I$89,5,0)</f>
        <v>245.73152933333333</v>
      </c>
      <c r="CA87" s="13">
        <f t="shared" si="93"/>
        <v>59.67099800837255</v>
      </c>
      <c r="CB87" s="20">
        <f t="shared" si="64"/>
        <v>531.90940178680432</v>
      </c>
      <c r="CC87" s="59">
        <f t="shared" si="65"/>
        <v>825.2427351201377</v>
      </c>
      <c r="CD87" s="59">
        <f ca="1">AVERAGE(OFFSET($CC$3,0,0,'Données projet'!$E$12+1,1))-AVERAGE(OFFSET($H$3,0,0,'Données projet'!$E$12+1,1))</f>
        <v>593.28343396240075</v>
      </c>
      <c r="CE87" s="59">
        <f t="shared" si="94"/>
        <v>289.66477662068695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40.235107300891855</v>
      </c>
      <c r="CM87" s="21">
        <f>EXP(-LN(2)/2)*CM86+(1-EXP(-LN(2)/2))/(LN(2)/2)*CG87*CJ87*VLOOKUP('Données projet'!$B$12,Paramètres!$A$1:$I$89,3,0)*0.475*44/12</f>
        <v>0.69880638928837624</v>
      </c>
      <c r="CN87" s="22">
        <f t="shared" si="66"/>
        <v>40.933913690180233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1.9230769230769282</v>
      </c>
      <c r="CT87" s="12">
        <f>IF('Données projet'!$A$140&gt;35,CT86+CS87-DB86,IF(A87&lt;'Données projet'!$A$140,$CQ$205^A87,IF(A87='Données projet'!$A$140,'Données projet'!$B$140,CT86+CS87-DB86)))</f>
        <v>148.07692307692326</v>
      </c>
      <c r="CU87" s="17">
        <f>CT87*VLOOKUP('Données projet'!$B$13,Paramètres!$A$1:$I$89,3,0)*VLOOKUP('Données projet'!$B$13,Paramètres!$A$1:$I$89,5,0)</f>
        <v>154.77000000000021</v>
      </c>
      <c r="CV87" s="13">
        <f t="shared" si="95"/>
        <v>39.660602363834641</v>
      </c>
      <c r="CW87" s="20">
        <f t="shared" si="67"/>
        <v>338.63329911701231</v>
      </c>
      <c r="CX87" s="59">
        <f t="shared" si="68"/>
        <v>631.96663245034563</v>
      </c>
      <c r="CY87" s="59">
        <f ca="1">AVERAGE(OFFSET($CX$3,0,0,'Données projet'!$E$13+1,1))-AVERAGE(OFFSET($H$3,0,0,'Données projet'!$E$13+1,1))</f>
        <v>260.65406541614402</v>
      </c>
      <c r="CZ87" s="59">
        <f t="shared" si="96"/>
        <v>277.63456890196886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2.96852537600599</v>
      </c>
      <c r="DG87" s="21">
        <f>EXP(-LN(2)/25)*DG86+(1-EXP(-LN(2)/25))/(LN(2)/25)*Calculateur!DB87*Calculateur!DD87*VLOOKUP('Données projet'!$B$13,Paramètres!$A$1:$I$89,3,0)*0.475*44/12</f>
        <v>21.182240942899568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24.150766318905557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2.4358974358974308</v>
      </c>
      <c r="DO87" s="12">
        <f>IF('Données projet'!$A$166&gt;35,DO86+DN87-DW86,IF(A87&lt;'Données projet'!$A$166,$DL$205^A87,IF(A87='Données projet'!$A$166,'Données projet'!$B$166,DO86+DN87-DW86)))</f>
        <v>155.89743589743605</v>
      </c>
      <c r="DP87" s="17">
        <f>DO87*VLOOKUP('Données projet'!$B$14,Paramètres!$A$1:$I$89,3,0)*VLOOKUP('Données projet'!$B$14,Paramètres!$A$1:$I$89,5,0)</f>
        <v>102.1440000000001</v>
      </c>
      <c r="DQ87" s="13">
        <f t="shared" si="97"/>
        <v>27.472143658119798</v>
      </c>
      <c r="DR87" s="20">
        <f t="shared" si="70"/>
        <v>225.74811687122551</v>
      </c>
      <c r="DS87" s="59">
        <f t="shared" si="71"/>
        <v>519.08145020455879</v>
      </c>
      <c r="DT87" s="59">
        <f ca="1">AVERAGE(OFFSET($DS$3,0,0,'Données projet'!$E$14+1,1))-AVERAGE(OFFSET($H$3,0,0,'Données projet'!$E$14+1,1))</f>
        <v>181.4272795535777</v>
      </c>
      <c r="DU87" s="59">
        <f t="shared" si="98"/>
        <v>187.67131775419904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4.2224878032090469</v>
      </c>
      <c r="EB87" s="21">
        <f>EXP(-LN(2)/25)*EB86+(1-EXP(-LN(2)/25))/(LN(2)/25)*Calculateur!DW87*Calculateur!DY87*VLOOKUP('Données projet'!$B$14,Paramètres!$A$1:$I$89,3,0)*0.475*44/12</f>
        <v>5.8630697580094688</v>
      </c>
      <c r="EC87" s="21">
        <f>EXP(-LN(2)/2)*EC86+(1-EXP(-LN(2)/2))/(LN(2)/2)*DW87*DZ87*VLOOKUP('Données projet'!$B$14,Paramètres!$A$1:$I$89,3,0)*0.475*44/12</f>
        <v>0.49318612744294987</v>
      </c>
      <c r="ED87" s="22">
        <f t="shared" si="72"/>
        <v>10.578743688661465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1.1368683772161603E-13</v>
      </c>
      <c r="EK87" s="17">
        <f>EJ87*VLOOKUP('Données projet'!$B$15,Paramètres!$A$1:$I$89,3,0)*VLOOKUP('Données projet'!$B$15,Paramètres!$A$1:$I$89,5,0)</f>
        <v>9.2222762759774927E-14</v>
      </c>
      <c r="EL87" s="13">
        <f t="shared" si="99"/>
        <v>1.3985662224947967E-12</v>
      </c>
      <c r="EM87" s="20">
        <f t="shared" si="73"/>
        <v>2.5964574826517121E-12</v>
      </c>
      <c r="EN87" s="59">
        <f t="shared" si="74"/>
        <v>293.33333333333593</v>
      </c>
      <c r="EO87" s="59">
        <f ca="1">AVERAGE(OFFSET($EN$3,0,0,'Données projet'!$E$15+1,1))-AVERAGE(OFFSET($H$3,0,0,'Données projet'!$E$15+1,1))</f>
        <v>159.68591355116837</v>
      </c>
      <c r="EP87" s="59">
        <f t="shared" si="100"/>
        <v>284.32631786390112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6.1014521879355099</v>
      </c>
      <c r="EW87" s="21">
        <f>EXP(-LN(2)/25)*EW86+(1-EXP(-LN(2)/25))/(LN(2)/25)*Calculateur!ER87*Calculateur!ET87*VLOOKUP('Données projet'!$B$15,Paramètres!$A$1:$I$89,3,0)*0.475*44/12</f>
        <v>5.7042023409802409</v>
      </c>
      <c r="EX87" s="21">
        <f>EXP(-LN(2)/2)*EX86+(1-EXP(-LN(2)/2))/(LN(2)/2)*ER87*EU87*VLOOKUP('Données projet'!$B$15,Paramètres!$A$1:$I$89,3,0)*0.475*44/12</f>
        <v>6.9575582491912488E-6</v>
      </c>
      <c r="EY87" s="22">
        <f t="shared" si="75"/>
        <v>11.805661486473999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-1.3567387213697657E-13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299.10536994156814</v>
      </c>
      <c r="FK87" s="59">
        <f t="shared" si="102"/>
        <v>292.57799203101769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37.529380779441595</v>
      </c>
      <c r="FR87" s="21">
        <f>EXP(-LN(2)/25)*FR86+(1-EXP(-LN(2)/25))/(LN(2)/25)*Calculateur!FM87*Calculateur!FO87*VLOOKUP('Données projet'!$B$16,Paramètres!$A$1:$I$89,3,0)*0.475*44/12</f>
        <v>37.91511774900151</v>
      </c>
      <c r="FS87" s="21">
        <f>EXP(-LN(2)/2)*FS86+(1-EXP(-LN(2)/2))/(LN(2)/2)*FM87*FP87*VLOOKUP('Données projet'!$B$16,Paramètres!$A$1:$I$89,3,0)*0.475*44/12</f>
        <v>12.994984196366225</v>
      </c>
      <c r="FT87" s="22">
        <f t="shared" si="78"/>
        <v>88.439482724809324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5.6843418860808015E-14</v>
      </c>
      <c r="GA87" s="17">
        <f>FZ87*VLOOKUP('Données projet'!$B$17,Paramètres!$A$1:$I$89,3,0)*VLOOKUP('Données projet'!$B$17,Paramètres!$A$1:$I$89,5,0)</f>
        <v>5.1431925385259088E-14</v>
      </c>
      <c r="GB87" s="13">
        <f t="shared" si="103"/>
        <v>8.3482866290946129E-13</v>
      </c>
      <c r="GC87" s="20">
        <f t="shared" si="79"/>
        <v>1.5435705246133045E-12</v>
      </c>
      <c r="GD87" s="59">
        <f t="shared" si="80"/>
        <v>293.33333333333485</v>
      </c>
      <c r="GE87" s="59">
        <f ca="1">AVERAGE(OFFSET($GD$3,0,0,'Données projet'!$E$17+1,1))-AVERAGE(OFFSET($H$3,0,0,'Données projet'!$E$17+1,1))</f>
        <v>204.78565758021779</v>
      </c>
      <c r="GF87" s="59">
        <f t="shared" si="104"/>
        <v>287.25131613242439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7.2102281520427045</v>
      </c>
      <c r="GM87" s="21">
        <f>EXP(-LN(2)/25)*GM86+(1-EXP(-LN(2)/25))/(LN(2)/25)*Calculateur!GH87*Calculateur!GJ87*VLOOKUP('Données projet'!$B$17,Paramètres!$A$1:$I$89,3,0)*0.475*44/12</f>
        <v>4.4825607697614656</v>
      </c>
      <c r="GN87" s="21">
        <f>EXP(-LN(2)/2)*GN86+(1-EXP(-LN(2)/2))/(LN(2)/2)*GH87*GK87*VLOOKUP('Données projet'!$B$17,Paramètres!$A$1:$I$89,3,0)*0.475*44/12</f>
        <v>1.8599356212416371E-5</v>
      </c>
      <c r="GO87" s="21">
        <f t="shared" si="81"/>
        <v>11.692807521160381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5.6843418860808015E-14</v>
      </c>
      <c r="GV87" s="17">
        <f>GU87*VLOOKUP('Données projet'!$B$18,Paramètres!$A$1:$I$89,3,0)*VLOOKUP('Données projet'!$B$18,Paramètres!$A$1:$I$89,5,0)</f>
        <v>4.4337866711430253E-14</v>
      </c>
      <c r="GW87" s="13">
        <f t="shared" si="105"/>
        <v>7.3222115536967035E-13</v>
      </c>
      <c r="GX87" s="20">
        <f t="shared" si="82"/>
        <v>1.3525069634579169E-12</v>
      </c>
      <c r="GY87" s="59">
        <f t="shared" si="83"/>
        <v>293.33333333333468</v>
      </c>
      <c r="GZ87" s="59">
        <f ca="1">AVERAGE(OFFSET($GY$3,0,0,'Données projet'!$E$18+1,1))-AVERAGE(OFFSET($H$3,0,0,'Données projet'!$E$18+1,1))</f>
        <v>288.82868507674738</v>
      </c>
      <c r="HA87" s="59">
        <f t="shared" si="106"/>
        <v>283.48738729114024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31.947822241663669</v>
      </c>
      <c r="HH87" s="21">
        <f>EXP(-LN(2)/25)*HH86+(1-EXP(-LN(2)/25))/(LN(2)/25)*Calculateur!HC87*Calculateur!HE87*VLOOKUP('Données projet'!$B$18,Paramètres!$A$1:$I$89,3,0)*0.475*44/12</f>
        <v>27.9308037237641</v>
      </c>
      <c r="HI87" s="21">
        <f>EXP(-LN(2)/2)*HI86+(1-EXP(-LN(2)/2))/(LN(2)/2)*HC87*HF87*VLOOKUP('Données projet'!$B$18,Paramètres!$A$1:$I$89,3,0)*0.475*44/12</f>
        <v>0.33563277272619879</v>
      </c>
      <c r="HJ87" s="22">
        <f t="shared" si="84"/>
        <v>60.214258738153973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349.71285006949597</v>
      </c>
      <c r="T88" s="59">
        <f t="shared" si="88"/>
        <v>258.51550516456842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138.81797484667999</v>
      </c>
      <c r="AA88" s="21">
        <f>EXP(-LN(2)/25)*AA87+(1-EXP(-LN(2)/25))/(LN(2)/25)*Calculateur!V88*Calculateur!X88*VLOOKUP('Données projet'!$B$9,Paramètres!$A$1:$I$89,3,0)*0.475*44/12</f>
        <v>45.046092869551856</v>
      </c>
      <c r="AB88" s="21">
        <f>EXP(-LN(2)/2)*AB87+(1-EXP(-LN(2)/2))/(LN(2)/2)*V88*Y88*VLOOKUP('Données projet'!$B$9,Paramètres!$A$1:$I$89,3,0)*0.475*44/12</f>
        <v>12.501054416870382</v>
      </c>
      <c r="AC88" s="22">
        <f t="shared" si="57"/>
        <v>196.3651221331022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9.2740000000000009</v>
      </c>
      <c r="AI88" s="13">
        <f>IF('Données projet'!$A$62&gt;35,AI87+AH88-AQ87,IF(A88&lt;'Données projet'!$A$62,$AF$205^A88,IF(A88='Données projet'!$A$62,'Données projet'!$B$62,AI87+AH88-AQ87)))</f>
        <v>274.67799999999988</v>
      </c>
      <c r="AJ88" s="13">
        <f>AI88*VLOOKUP('Données projet'!$B$10,Paramètres!$A$1:$I$89,3,0)*VLOOKUP('Données projet'!$B$10,Paramètres!$A$1:$I$89,5,0)</f>
        <v>261.38358479999988</v>
      </c>
      <c r="AK88" s="13">
        <f t="shared" si="89"/>
        <v>63.017211162903877</v>
      </c>
      <c r="AL88" s="20">
        <f t="shared" si="58"/>
        <v>564.9980529687241</v>
      </c>
      <c r="AM88" s="59">
        <f t="shared" si="59"/>
        <v>858.33138630205735</v>
      </c>
      <c r="AN88" s="59">
        <f ca="1">AVERAGE(OFFSET($AM$3,0,0,'Données projet'!$E$10+1,1))-AVERAGE(OFFSET($H$3,0,0,'Données projet'!$E$10+1,1))</f>
        <v>449.28947235329758</v>
      </c>
      <c r="AO88" s="59">
        <f t="shared" si="90"/>
        <v>289.36994109443964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25.586499520188099</v>
      </c>
      <c r="AV88" s="21">
        <f>EXP(-LN(2)/25)*AV87+(1-EXP(-LN(2)/25))/(LN(2)/25)*Calculateur!AQ88*Calculateur!AS88*VLOOKUP('Données projet'!$B$10,Paramètres!$A$1:$I$89,3,0)*0.475*44/12</f>
        <v>24.96152035064905</v>
      </c>
      <c r="AW88" s="21">
        <f>EXP(-LN(2)/2)*AW87+(1-EXP(-LN(2)/2))/(LN(2)/2)*AQ88*AT88*VLOOKUP('Données projet'!$B$10,Paramètres!$A$1:$I$89,3,0)*0.475*44/12</f>
        <v>2.3738328497130996</v>
      </c>
      <c r="AX88" s="21">
        <f t="shared" si="60"/>
        <v>52.921852720550248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269.24405040000045</v>
      </c>
      <c r="BF88" s="13">
        <f t="shared" si="91"/>
        <v>64.688811534365087</v>
      </c>
      <c r="BG88" s="20">
        <f t="shared" si="61"/>
        <v>581.59973453568659</v>
      </c>
      <c r="BH88" s="59">
        <f t="shared" si="62"/>
        <v>874.93306786901985</v>
      </c>
      <c r="BI88" s="59">
        <f ca="1">AVERAGE(OFFSET($BH$3,0,0,'Données projet'!$E$11+1,1))-AVERAGE(OFFSET($H$3,0,0,'Données projet'!$E$11+1,1))</f>
        <v>635.71275911100679</v>
      </c>
      <c r="BJ88" s="59">
        <f t="shared" si="92"/>
        <v>281.7776857269169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21.604553113563949</v>
      </c>
      <c r="BQ88" s="21">
        <f>EXP(-LN(2)/25)*BQ87+(1-EXP(-LN(2)/25))/(LN(2)/25)*Calculateur!BL88*Calculateur!BN88*VLOOKUP('Données projet'!$B$11,Paramètres!$A$1:$I$89,3,0)*0.475*44/12</f>
        <v>28.7697009292262</v>
      </c>
      <c r="BR88" s="21">
        <f>EXP(-LN(2)/2)*BR87+(1-EXP(-LN(2)/2))/(LN(2)/2)*BL88*BO88*VLOOKUP('Données projet'!$B$11,Paramètres!$A$1:$I$89,3,0)*0.475*44/12</f>
        <v>4.1297238291879266</v>
      </c>
      <c r="BS88" s="22">
        <f t="shared" si="63"/>
        <v>54.503977871978073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6.7444444444444462</v>
      </c>
      <c r="BY88" s="12">
        <f>IF('Données projet'!$A$114&gt;35,BY87+BX88-CG87,IF(A88&lt;'Données projet'!$A$114,$BV$205^A88,IF(A88='Données projet'!$A$114,'Données projet'!$B$114,BY87+BX88-CG87)))</f>
        <v>222.52555555555554</v>
      </c>
      <c r="BZ88" s="13">
        <f>BY88*VLOOKUP('Données projet'!$B$12,Paramètres!$A$1:$I$89,3,0)*VLOOKUP('Données projet'!$B$12,Paramètres!$A$1:$I$89,5,0)</f>
        <v>253.41210266666667</v>
      </c>
      <c r="CA88" s="13">
        <f t="shared" si="93"/>
        <v>61.316013827679889</v>
      </c>
      <c r="CB88" s="20">
        <f t="shared" si="64"/>
        <v>548.15146956098692</v>
      </c>
      <c r="CC88" s="59">
        <f t="shared" si="65"/>
        <v>841.48480289432018</v>
      </c>
      <c r="CD88" s="59">
        <f ca="1">AVERAGE(OFFSET($CC$3,0,0,'Données projet'!$E$12+1,1))-AVERAGE(OFFSET($H$3,0,0,'Données projet'!$E$12+1,1))</f>
        <v>593.28343396240075</v>
      </c>
      <c r="CE88" s="59">
        <f t="shared" si="94"/>
        <v>289.66477662068695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39.134876175876634</v>
      </c>
      <c r="CM88" s="21">
        <f>EXP(-LN(2)/2)*CM87+(1-EXP(-LN(2)/2))/(LN(2)/2)*CG88*CJ88*VLOOKUP('Données projet'!$B$12,Paramètres!$A$1:$I$89,3,0)*0.475*44/12</f>
        <v>0.49413073660229723</v>
      </c>
      <c r="CN88" s="22">
        <f t="shared" si="66"/>
        <v>39.629006912478928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150</v>
      </c>
      <c r="CR88" s="12">
        <f>VLOOKUP(A88,'Données projet'!$A$139:$I$159,9,0)</f>
        <v>1.9230769230769282</v>
      </c>
      <c r="CS88" s="12">
        <f t="array" ref="CS88">INDEX(CR:CR,MIN(IF(ISNUMBER(CR88:CR284),ROW(CR88:CR284),"")))</f>
        <v>1.9230769230769282</v>
      </c>
      <c r="CT88" s="12">
        <f>IF('Données projet'!$A$140&gt;35,CT87+CS88-DB87,IF(A88&lt;'Données projet'!$A$140,$CQ$205^A88,IF(A88='Données projet'!$A$140,'Données projet'!$B$140,CT87+CS88-DB87)))</f>
        <v>150.0000000000002</v>
      </c>
      <c r="CU88" s="17">
        <f>CT88*VLOOKUP('Données projet'!$B$13,Paramètres!$A$1:$I$89,3,0)*VLOOKUP('Données projet'!$B$13,Paramètres!$A$1:$I$89,5,0)</f>
        <v>156.78000000000023</v>
      </c>
      <c r="CV88" s="13">
        <f t="shared" si="95"/>
        <v>40.115378305457973</v>
      </c>
      <c r="CW88" s="20">
        <f t="shared" si="67"/>
        <v>342.92611721533967</v>
      </c>
      <c r="CX88" s="59">
        <f t="shared" si="68"/>
        <v>636.25945054867293</v>
      </c>
      <c r="CY88" s="59">
        <f ca="1">AVERAGE(OFFSET($CX$3,0,0,'Données projet'!$E$13+1,1))-AVERAGE(OFFSET($H$3,0,0,'Données projet'!$E$13+1,1))</f>
        <v>260.65406541614402</v>
      </c>
      <c r="CZ88" s="59">
        <f t="shared" si="96"/>
        <v>277.63456890196886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7.6923076923076916</v>
      </c>
      <c r="DC88" s="16">
        <f>IF(ISNA(VLOOKUP(A88,'Données projet'!$A$139:$I$159,5,0)),0%,VLOOKUP(A88,'Données projet'!$A$139:$I$159,5,0)*VLOOKUP('Données projet'!$B$13,Paramètres!$A$1:$I$89,7,0))</f>
        <v>4.3000000000000003E-2</v>
      </c>
      <c r="DD88" s="16">
        <f>IF(ISNA(VLOOKUP(A88,'Données projet'!$A$139:$I$159,6,0)),0%,VLOOKUP(A88,'Données projet'!$A$139:$I$159,6,0)*VLOOKUP('Données projet'!$B$13,Paramètres!$A$1:$I$89,7,0))</f>
        <v>0.215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3.2924976236163395</v>
      </c>
      <c r="DG88" s="21">
        <f>EXP(-LN(2)/25)*DG87+(1-EXP(-LN(2)/25))/(LN(2)/25)*Calculateur!DB88*Calculateur!DD88*VLOOKUP('Données projet'!$B$13,Paramètres!$A$1:$I$89,3,0)*0.475*44/12</f>
        <v>22.506403543656816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25.798901167273154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158.33333333333331</v>
      </c>
      <c r="DM88" s="12">
        <f>VLOOKUP(A88,'Données projet'!$A$165:$I$185,9,0)</f>
        <v>2.4358974358974308</v>
      </c>
      <c r="DN88" s="12">
        <f t="array" ref="DN88">INDEX(DM:DM,MIN(IF(ISNUMBER(DM88:DM284),ROW(DM88:DM284),"")))</f>
        <v>2.4358974358974308</v>
      </c>
      <c r="DO88" s="12">
        <f>IF('Données projet'!$A$166&gt;35,DO87+DN88-DW87,IF(A88&lt;'Données projet'!$A$166,$DL$205^A88,IF(A88='Données projet'!$A$166,'Données projet'!$B$166,DO87+DN88-DW87)))</f>
        <v>158.33333333333348</v>
      </c>
      <c r="DP88" s="17">
        <f>DO88*VLOOKUP('Données projet'!$B$14,Paramètres!$A$1:$I$89,3,0)*VLOOKUP('Données projet'!$B$14,Paramètres!$A$1:$I$89,5,0)</f>
        <v>103.74000000000009</v>
      </c>
      <c r="DQ88" s="13">
        <f t="shared" si="97"/>
        <v>27.851088016239402</v>
      </c>
      <c r="DR88" s="20">
        <f t="shared" si="70"/>
        <v>229.18781162828375</v>
      </c>
      <c r="DS88" s="59">
        <f t="shared" si="71"/>
        <v>522.5211449616171</v>
      </c>
      <c r="DT88" s="59">
        <f ca="1">AVERAGE(OFFSET($DS$3,0,0,'Données projet'!$E$14+1,1))-AVERAGE(OFFSET($H$3,0,0,'Données projet'!$E$14+1,1))</f>
        <v>181.4272795535777</v>
      </c>
      <c r="DU88" s="59">
        <f t="shared" si="98"/>
        <v>187.67131775419904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9.615384615384615</v>
      </c>
      <c r="DX88" s="16">
        <f>IF(ISNA(VLOOKUP(A88,'Données projet'!$A$165:$I$185,5,0)),0%,VLOOKUP(A88,'Données projet'!$A$165:$I$185,5,0)*VLOOKUP('Données projet'!$B$14,Paramètres!$A$1:$I$89,7,0))</f>
        <v>0.1075</v>
      </c>
      <c r="DY88" s="16">
        <f>IF(ISNA(VLOOKUP(A88,'Données projet'!$A$165:$I$185,6,0)),0%,VLOOKUP(A88,'Données projet'!$A$165:$I$185,6,0)*VLOOKUP('Données projet'!$B$14,Paramètres!$A$1:$I$89,7,0))</f>
        <v>0.1075</v>
      </c>
      <c r="DZ88" s="16">
        <f>IF(ISNA(VLOOKUP(A88,'Données projet'!$A$165:$I$185,7,0)),0%,VLOOKUP(A88,'Données projet'!$A$165:$I$185,7,0))</f>
        <v>0.25</v>
      </c>
      <c r="EA88" s="21">
        <f>EXP(-LN(2)/35)*EA87+(1-EXP(-LN(2)/35))/(LN(2)/35)*DW88*DX88*VLOOKUP('Données projet'!$B$14,Paramètres!$A$1:$I$89,3,0)*0.475*44/12</f>
        <v>4.8883672073900613</v>
      </c>
      <c r="EB88" s="21">
        <f>EXP(-LN(2)/25)*EB87+(1-EXP(-LN(2)/25))/(LN(2)/25)*Calculateur!DW88*Calculateur!DY88*VLOOKUP('Données projet'!$B$14,Paramètres!$A$1:$I$89,3,0)*0.475*44/12</f>
        <v>6.4484757839907392</v>
      </c>
      <c r="EC88" s="21">
        <f>EXP(-LN(2)/2)*EC87+(1-EXP(-LN(2)/2))/(LN(2)/2)*DW88*DZ88*VLOOKUP('Données projet'!$B$14,Paramètres!$A$1:$I$89,3,0)*0.475*44/12</f>
        <v>1.8347901456055289</v>
      </c>
      <c r="ED88" s="22">
        <f t="shared" si="72"/>
        <v>13.17163313698633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1.1368683772161603E-13</v>
      </c>
      <c r="EK88" s="17">
        <f>EJ88*VLOOKUP('Données projet'!$B$15,Paramètres!$A$1:$I$89,3,0)*VLOOKUP('Données projet'!$B$15,Paramètres!$A$1:$I$89,5,0)</f>
        <v>9.2222762759774927E-14</v>
      </c>
      <c r="EL88" s="13">
        <f t="shared" si="99"/>
        <v>1.3985662224947967E-12</v>
      </c>
      <c r="EM88" s="20">
        <f t="shared" si="73"/>
        <v>2.5964574826517121E-12</v>
      </c>
      <c r="EN88" s="59">
        <f t="shared" si="74"/>
        <v>293.33333333333593</v>
      </c>
      <c r="EO88" s="59">
        <f ca="1">AVERAGE(OFFSET($EN$3,0,0,'Données projet'!$E$15+1,1))-AVERAGE(OFFSET($H$3,0,0,'Données projet'!$E$15+1,1))</f>
        <v>159.68591355116837</v>
      </c>
      <c r="EP88" s="59">
        <f t="shared" si="100"/>
        <v>284.32631786390112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5.9818064320484599</v>
      </c>
      <c r="EW88" s="21">
        <f>EXP(-LN(2)/25)*EW87+(1-EXP(-LN(2)/25))/(LN(2)/25)*Calculateur!ER88*Calculateur!ET88*VLOOKUP('Données projet'!$B$15,Paramètres!$A$1:$I$89,3,0)*0.475*44/12</f>
        <v>5.548220627995172</v>
      </c>
      <c r="EX88" s="21">
        <f>EXP(-LN(2)/2)*EX87+(1-EXP(-LN(2)/2))/(LN(2)/2)*ER88*EU88*VLOOKUP('Données projet'!$B$15,Paramètres!$A$1:$I$89,3,0)*0.475*44/12</f>
        <v>4.919736618503535E-6</v>
      </c>
      <c r="EY88" s="22">
        <f t="shared" si="75"/>
        <v>11.530031979780251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-1.3567387213697657E-13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299.10536994156814</v>
      </c>
      <c r="FK88" s="59">
        <f t="shared" si="102"/>
        <v>292.57799203101769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36.793452513018757</v>
      </c>
      <c r="FR88" s="21">
        <f>EXP(-LN(2)/25)*FR87+(1-EXP(-LN(2)/25))/(LN(2)/25)*Calculateur!FM88*Calculateur!FO88*VLOOKUP('Données projet'!$B$16,Paramètres!$A$1:$I$89,3,0)*0.475*44/12</f>
        <v>36.878326860285675</v>
      </c>
      <c r="FS88" s="21">
        <f>EXP(-LN(2)/2)*FS87+(1-EXP(-LN(2)/2))/(LN(2)/2)*FM88*FP88*VLOOKUP('Données projet'!$B$16,Paramètres!$A$1:$I$89,3,0)*0.475*44/12</f>
        <v>9.1888414466625754</v>
      </c>
      <c r="FT88" s="22">
        <f t="shared" si="78"/>
        <v>82.860620819967011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5.6843418860808015E-14</v>
      </c>
      <c r="GA88" s="17">
        <f>FZ88*VLOOKUP('Données projet'!$B$17,Paramètres!$A$1:$I$89,3,0)*VLOOKUP('Données projet'!$B$17,Paramètres!$A$1:$I$89,5,0)</f>
        <v>5.1431925385259088E-14</v>
      </c>
      <c r="GB88" s="13">
        <f t="shared" si="103"/>
        <v>8.3482866290946129E-13</v>
      </c>
      <c r="GC88" s="20">
        <f t="shared" si="79"/>
        <v>1.5435705246133045E-12</v>
      </c>
      <c r="GD88" s="59">
        <f t="shared" si="80"/>
        <v>293.33333333333485</v>
      </c>
      <c r="GE88" s="59">
        <f ca="1">AVERAGE(OFFSET($GD$3,0,0,'Données projet'!$E$17+1,1))-AVERAGE(OFFSET($H$3,0,0,'Données projet'!$E$17+1,1))</f>
        <v>204.78565758021779</v>
      </c>
      <c r="GF88" s="59">
        <f t="shared" si="104"/>
        <v>287.25131613242439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7.0688399757860729</v>
      </c>
      <c r="GM88" s="21">
        <f>EXP(-LN(2)/25)*GM87+(1-EXP(-LN(2)/25))/(LN(2)/25)*Calculateur!GH88*Calculateur!GJ88*VLOOKUP('Données projet'!$B$17,Paramètres!$A$1:$I$89,3,0)*0.475*44/12</f>
        <v>4.3599849097847123</v>
      </c>
      <c r="GN88" s="21">
        <f>EXP(-LN(2)/2)*GN87+(1-EXP(-LN(2)/2))/(LN(2)/2)*GH88*GK88*VLOOKUP('Données projet'!$B$17,Paramètres!$A$1:$I$89,3,0)*0.475*44/12</f>
        <v>1.3151730903503757E-5</v>
      </c>
      <c r="GO88" s="21">
        <f t="shared" si="81"/>
        <v>11.42883803730169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5.6843418860808015E-14</v>
      </c>
      <c r="GV88" s="17">
        <f>GU88*VLOOKUP('Données projet'!$B$18,Paramètres!$A$1:$I$89,3,0)*VLOOKUP('Données projet'!$B$18,Paramètres!$A$1:$I$89,5,0)</f>
        <v>4.4337866711430253E-14</v>
      </c>
      <c r="GW88" s="13">
        <f t="shared" si="105"/>
        <v>7.3222115536967035E-13</v>
      </c>
      <c r="GX88" s="20">
        <f t="shared" si="82"/>
        <v>1.3525069634579169E-12</v>
      </c>
      <c r="GY88" s="59">
        <f t="shared" si="83"/>
        <v>293.33333333333468</v>
      </c>
      <c r="GZ88" s="59">
        <f ca="1">AVERAGE(OFFSET($GY$3,0,0,'Données projet'!$E$18+1,1))-AVERAGE(OFFSET($H$3,0,0,'Données projet'!$E$18+1,1))</f>
        <v>288.82868507674738</v>
      </c>
      <c r="HA88" s="59">
        <f t="shared" si="106"/>
        <v>283.48738729114024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31.321344933752105</v>
      </c>
      <c r="HH88" s="21">
        <f>EXP(-LN(2)/25)*HH87+(1-EXP(-LN(2)/25))/(LN(2)/25)*Calculateur!HC88*Calculateur!HE88*VLOOKUP('Données projet'!$B$18,Paramètres!$A$1:$I$89,3,0)*0.475*44/12</f>
        <v>27.16703442712064</v>
      </c>
      <c r="HI88" s="21">
        <f>EXP(-LN(2)/2)*HI87+(1-EXP(-LN(2)/2))/(LN(2)/2)*HC88*HF88*VLOOKUP('Données projet'!$B$18,Paramètres!$A$1:$I$89,3,0)*0.475*44/12</f>
        <v>0.23732820958313849</v>
      </c>
      <c r="HJ88" s="22">
        <f t="shared" si="84"/>
        <v>58.725707570455882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349.71285006949597</v>
      </c>
      <c r="T89" s="59">
        <f t="shared" si="88"/>
        <v>258.51550516456842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136.09583903054073</v>
      </c>
      <c r="AA89" s="21">
        <f>EXP(-LN(2)/25)*AA88+(1-EXP(-LN(2)/25))/(LN(2)/25)*Calculateur!V89*Calculateur!X89*VLOOKUP('Données projet'!$B$9,Paramètres!$A$1:$I$89,3,0)*0.475*44/12</f>
        <v>43.814305091162893</v>
      </c>
      <c r="AB89" s="21">
        <f>EXP(-LN(2)/2)*AB88+(1-EXP(-LN(2)/2))/(LN(2)/2)*V89*Y89*VLOOKUP('Données projet'!$B$9,Paramètres!$A$1:$I$89,3,0)*0.475*44/12</f>
        <v>8.8395803501510883</v>
      </c>
      <c r="AC89" s="22">
        <f t="shared" si="57"/>
        <v>188.74972447185473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9.2740000000000009</v>
      </c>
      <c r="AI89" s="13">
        <f>IF('Données projet'!$A$62&gt;35,AI88+AH89-AQ88,IF(A89&lt;'Données projet'!$A$62,$AF$205^A89,IF(A89='Données projet'!$A$62,'Données projet'!$B$62,AI88+AH89-AQ88)))</f>
        <v>283.95199999999988</v>
      </c>
      <c r="AJ89" s="13">
        <f>AI89*VLOOKUP('Données projet'!$B$10,Paramètres!$A$1:$I$89,3,0)*VLOOKUP('Données projet'!$B$10,Paramètres!$A$1:$I$89,5,0)</f>
        <v>270.20872319999989</v>
      </c>
      <c r="AK89" s="13">
        <f t="shared" si="89"/>
        <v>64.893563626315952</v>
      </c>
      <c r="AL89" s="20">
        <f t="shared" si="58"/>
        <v>583.63648288916681</v>
      </c>
      <c r="AM89" s="59">
        <f t="shared" si="59"/>
        <v>876.96981622250019</v>
      </c>
      <c r="AN89" s="59">
        <f ca="1">AVERAGE(OFFSET($AM$3,0,0,'Données projet'!$E$10+1,1))-AVERAGE(OFFSET($H$3,0,0,'Données projet'!$E$10+1,1))</f>
        <v>449.28947235329758</v>
      </c>
      <c r="AO89" s="59">
        <f t="shared" si="90"/>
        <v>289.36994109443964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25.084763870820932</v>
      </c>
      <c r="AV89" s="21">
        <f>EXP(-LN(2)/25)*AV88+(1-EXP(-LN(2)/25))/(LN(2)/25)*Calculateur!AQ89*Calculateur!AS89*VLOOKUP('Données projet'!$B$10,Paramètres!$A$1:$I$89,3,0)*0.475*44/12</f>
        <v>24.278946263991248</v>
      </c>
      <c r="AW89" s="21">
        <f>EXP(-LN(2)/2)*AW88+(1-EXP(-LN(2)/2))/(LN(2)/2)*AQ89*AT89*VLOOKUP('Données projet'!$B$10,Paramètres!$A$1:$I$89,3,0)*0.475*44/12</f>
        <v>1.6785533054355193</v>
      </c>
      <c r="AX89" s="21">
        <f t="shared" si="60"/>
        <v>51.042263440247702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277.54378080000043</v>
      </c>
      <c r="BF89" s="13">
        <f t="shared" si="91"/>
        <v>66.447673279805883</v>
      </c>
      <c r="BG89" s="20">
        <f t="shared" si="61"/>
        <v>599.11844918899601</v>
      </c>
      <c r="BH89" s="59">
        <f t="shared" si="62"/>
        <v>892.45178252232927</v>
      </c>
      <c r="BI89" s="59">
        <f ca="1">AVERAGE(OFFSET($BH$3,0,0,'Données projet'!$E$11+1,1))-AVERAGE(OFFSET($H$3,0,0,'Données projet'!$E$11+1,1))</f>
        <v>635.71275911100679</v>
      </c>
      <c r="BJ89" s="59">
        <f t="shared" si="92"/>
        <v>281.7776857269169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21.180901004483189</v>
      </c>
      <c r="BQ89" s="21">
        <f>EXP(-LN(2)/25)*BQ88+(1-EXP(-LN(2)/25))/(LN(2)/25)*Calculateur!BL89*Calculateur!BN89*VLOOKUP('Données projet'!$B$11,Paramètres!$A$1:$I$89,3,0)*0.475*44/12</f>
        <v>27.982991944383691</v>
      </c>
      <c r="BR89" s="21">
        <f>EXP(-LN(2)/2)*BR88+(1-EXP(-LN(2)/2))/(LN(2)/2)*BL89*BO89*VLOOKUP('Données projet'!$B$11,Paramètres!$A$1:$I$89,3,0)*0.475*44/12</f>
        <v>2.9201557240464586</v>
      </c>
      <c r="BS89" s="22">
        <f t="shared" si="63"/>
        <v>52.08404867291334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>
        <f>VLOOKUP(A89,'Données projet'!$A$113:$I$133,2,0)</f>
        <v>229.27</v>
      </c>
      <c r="BW89" s="12">
        <f>VLOOKUP(A89,'Données projet'!$A$113:$I$133,9,0)</f>
        <v>6.7444444444444462</v>
      </c>
      <c r="BX89" s="12">
        <f t="array" ref="BX89">INDEX(BW:BW,MIN(IF(ISNUMBER(BW89:BW285),ROW(BW89:BW285),"")))</f>
        <v>6.7444444444444462</v>
      </c>
      <c r="BY89" s="12">
        <f>IF('Données projet'!$A$114&gt;35,BY88+BX89-CG88,IF(A89&lt;'Données projet'!$A$114,$BV$205^A89,IF(A89='Données projet'!$A$114,'Données projet'!$B$114,BY88+BX89-CG88)))</f>
        <v>229.26999999999998</v>
      </c>
      <c r="BZ89" s="13">
        <f>BY89*VLOOKUP('Données projet'!$B$12,Paramètres!$A$1:$I$89,3,0)*VLOOKUP('Données projet'!$B$12,Paramètres!$A$1:$I$89,5,0)</f>
        <v>261.09267599999998</v>
      </c>
      <c r="CA89" s="13">
        <f t="shared" si="93"/>
        <v>62.955235443390585</v>
      </c>
      <c r="CB89" s="20">
        <f t="shared" si="64"/>
        <v>564.38344576390512</v>
      </c>
      <c r="CC89" s="59">
        <f t="shared" si="65"/>
        <v>857.71677909723849</v>
      </c>
      <c r="CD89" s="59">
        <f ca="1">AVERAGE(OFFSET($CC$3,0,0,'Données projet'!$E$12+1,1))-AVERAGE(OFFSET($H$3,0,0,'Données projet'!$E$12+1,1))</f>
        <v>593.28343396240075</v>
      </c>
      <c r="CE89" s="59">
        <f t="shared" si="94"/>
        <v>289.66477662068695</v>
      </c>
      <c r="CF89" s="15">
        <f>IF(ISNA(VLOOKUP(A89,'Données projet'!$A$113:$I$133,3,0)),0,VLOOKUP(A89,'Données projet'!$A$113:$I$133,3,0))</f>
        <v>4</v>
      </c>
      <c r="CG89" s="15">
        <f>IF(ISNA(VLOOKUP(A89,'Données projet'!$A$113:$I$133,4,0)),0,VLOOKUP(A89,'Données projet'!$A$113:$I$133,4,0))</f>
        <v>37.54000000000002</v>
      </c>
      <c r="CH89" s="16">
        <f>IF(ISNA(VLOOKUP(A89,'Données projet'!$A$113:$I$133,5,0)),0%,VLOOKUP(A89,'Données projet'!$A$113:$I$133,5,0)*VLOOKUP('Données projet'!$B$12,Paramètres!$A$1:$I$89,7,0))</f>
        <v>0.15049999999999999</v>
      </c>
      <c r="CI89" s="16">
        <f>IF(ISNA(VLOOKUP(A89,'Données projet'!$A$113:$I$133,6,0)),0%,VLOOKUP(A89,'Données projet'!$A$113:$I$133,6,0)*VLOOKUP('Données projet'!$B$12,Paramètres!$A$1:$I$89,7,0))</f>
        <v>8.6000000000000007E-2</v>
      </c>
      <c r="CJ89" s="16">
        <f>IF(ISNA(VLOOKUP(A89,'Données projet'!$A$113:$I$133,7,0)),0%,VLOOKUP(A89,'Données projet'!$A$113:$I$133,7,0))</f>
        <v>0.1</v>
      </c>
      <c r="CK89" s="21">
        <f>EXP(-LN(2)/35)*CK88+(1-EXP(-LN(2)/35))/(LN(2)/35)*CG89*CH89*VLOOKUP('Données projet'!$B$12,Paramètres!$A$1:$I$89,3,0)*0.475*44/12</f>
        <v>7.1125500761748128</v>
      </c>
      <c r="CL89" s="21">
        <f>EXP(-LN(2)/25)*CL88+(1-EXP(-LN(2)/25))/(LN(2)/25)*Calculateur!CG89*Calculateur!CI89*VLOOKUP('Données projet'!$B$12,Paramètres!$A$1:$I$89,3,0)*0.475*44/12</f>
        <v>42.113042503936946</v>
      </c>
      <c r="CM89" s="21">
        <f>EXP(-LN(2)/2)*CM88+(1-EXP(-LN(2)/2))/(LN(2)/2)*CG89*CJ89*VLOOKUP('Données projet'!$B$12,Paramètres!$A$1:$I$89,3,0)*0.475*44/12</f>
        <v>4.383032837267911</v>
      </c>
      <c r="CN89" s="22">
        <f t="shared" si="66"/>
        <v>53.60862541737967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1.7948717948717898</v>
      </c>
      <c r="CT89" s="12">
        <f>IF('Données projet'!$A$140&gt;35,CT88+CS89-DB88,IF(A89&lt;'Données projet'!$A$140,$CQ$205^A89,IF(A89='Données projet'!$A$140,'Données projet'!$B$140,CT88+CS89-DB88)))</f>
        <v>144.10256410256432</v>
      </c>
      <c r="CU89" s="17">
        <f>CT89*VLOOKUP('Données projet'!$B$13,Paramètres!$A$1:$I$89,3,0)*VLOOKUP('Données projet'!$B$13,Paramètres!$A$1:$I$89,5,0)</f>
        <v>150.61600000000024</v>
      </c>
      <c r="CV89" s="13">
        <f t="shared" si="95"/>
        <v>38.718540424004793</v>
      </c>
      <c r="CW89" s="20">
        <f t="shared" si="67"/>
        <v>329.75765790514214</v>
      </c>
      <c r="CX89" s="59">
        <f t="shared" si="68"/>
        <v>623.09099123847545</v>
      </c>
      <c r="CY89" s="59">
        <f ca="1">AVERAGE(OFFSET($CX$3,0,0,'Données projet'!$E$13+1,1))-AVERAGE(OFFSET($H$3,0,0,'Données projet'!$E$13+1,1))</f>
        <v>260.65406541614402</v>
      </c>
      <c r="CZ89" s="59">
        <f t="shared" si="96"/>
        <v>277.63456890196886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3.2279337534424775</v>
      </c>
      <c r="DG89" s="21">
        <f>EXP(-LN(2)/25)*DG88+(1-EXP(-LN(2)/25))/(LN(2)/25)*Calculateur!DB89*Calculateur!DD89*VLOOKUP('Données projet'!$B$13,Paramètres!$A$1:$I$89,3,0)*0.475*44/12</f>
        <v>21.890964755195196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25.118898508637674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2.3076923076923093</v>
      </c>
      <c r="DO89" s="12">
        <f>IF('Données projet'!$A$166&gt;35,DO88+DN89-DW88,IF(A89&lt;'Données projet'!$A$166,$DL$205^A89,IF(A89='Données projet'!$A$166,'Données projet'!$B$166,DO88+DN89-DW88)))</f>
        <v>151.02564102564119</v>
      </c>
      <c r="DP89" s="17">
        <f>DO89*VLOOKUP('Données projet'!$B$14,Paramètres!$A$1:$I$89,3,0)*VLOOKUP('Données projet'!$B$14,Paramètres!$A$1:$I$89,5,0)</f>
        <v>98.952000000000112</v>
      </c>
      <c r="DQ89" s="13">
        <f t="shared" si="97"/>
        <v>26.712173119037399</v>
      </c>
      <c r="DR89" s="20">
        <f t="shared" si="70"/>
        <v>218.86510151565699</v>
      </c>
      <c r="DS89" s="59">
        <f t="shared" si="71"/>
        <v>512.19843484899025</v>
      </c>
      <c r="DT89" s="59">
        <f ca="1">AVERAGE(OFFSET($DS$3,0,0,'Données projet'!$E$14+1,1))-AVERAGE(OFFSET($H$3,0,0,'Données projet'!$E$14+1,1))</f>
        <v>181.4272795535777</v>
      </c>
      <c r="DU89" s="59">
        <f t="shared" si="98"/>
        <v>187.67131775419904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4.792509308062729</v>
      </c>
      <c r="EB89" s="21">
        <f>EXP(-LN(2)/25)*EB88+(1-EXP(-LN(2)/25))/(LN(2)/25)*Calculateur!DW89*Calculateur!DY89*VLOOKUP('Données projet'!$B$14,Paramètres!$A$1:$I$89,3,0)*0.475*44/12</f>
        <v>6.2721418745669091</v>
      </c>
      <c r="EC89" s="21">
        <f>EXP(-LN(2)/2)*EC88+(1-EXP(-LN(2)/2))/(LN(2)/2)*DW89*DZ89*VLOOKUP('Données projet'!$B$14,Paramètres!$A$1:$I$89,3,0)*0.475*44/12</f>
        <v>1.2973925540119224</v>
      </c>
      <c r="ED89" s="22">
        <f t="shared" si="72"/>
        <v>12.362043736641562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1.1368683772161603E-13</v>
      </c>
      <c r="EK89" s="17">
        <f>EJ89*VLOOKUP('Données projet'!$B$15,Paramètres!$A$1:$I$89,3,0)*VLOOKUP('Données projet'!$B$15,Paramètres!$A$1:$I$89,5,0)</f>
        <v>9.2222762759774927E-14</v>
      </c>
      <c r="EL89" s="13">
        <f t="shared" si="99"/>
        <v>1.3985662224947967E-12</v>
      </c>
      <c r="EM89" s="20">
        <f t="shared" si="73"/>
        <v>2.5964574826517121E-12</v>
      </c>
      <c r="EN89" s="59">
        <f t="shared" si="74"/>
        <v>293.33333333333593</v>
      </c>
      <c r="EO89" s="59">
        <f ca="1">AVERAGE(OFFSET($EN$3,0,0,'Données projet'!$E$15+1,1))-AVERAGE(OFFSET($H$3,0,0,'Données projet'!$E$15+1,1))</f>
        <v>159.68591355116837</v>
      </c>
      <c r="EP89" s="59">
        <f t="shared" si="100"/>
        <v>284.32631786390112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5.8645068564576492</v>
      </c>
      <c r="EW89" s="21">
        <f>EXP(-LN(2)/25)*EW88+(1-EXP(-LN(2)/25))/(LN(2)/25)*Calculateur!ER89*Calculateur!ET89*VLOOKUP('Données projet'!$B$15,Paramètres!$A$1:$I$89,3,0)*0.475*44/12</f>
        <v>5.3965042431544017</v>
      </c>
      <c r="EX89" s="21">
        <f>EXP(-LN(2)/2)*EX88+(1-EXP(-LN(2)/2))/(LN(2)/2)*ER89*EU89*VLOOKUP('Données projet'!$B$15,Paramètres!$A$1:$I$89,3,0)*0.475*44/12</f>
        <v>3.4787791245956244E-6</v>
      </c>
      <c r="EY89" s="22">
        <f t="shared" si="75"/>
        <v>11.261014578391176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-1.3567387213697657E-13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299.10536994156814</v>
      </c>
      <c r="FK89" s="59">
        <f t="shared" si="102"/>
        <v>292.57799203101769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36.071955351028549</v>
      </c>
      <c r="FR89" s="21">
        <f>EXP(-LN(2)/25)*FR88+(1-EXP(-LN(2)/25))/(LN(2)/25)*Calculateur!FM89*Calculateur!FO89*VLOOKUP('Données projet'!$B$16,Paramètres!$A$1:$I$89,3,0)*0.475*44/12</f>
        <v>35.869887072944238</v>
      </c>
      <c r="FS89" s="21">
        <f>EXP(-LN(2)/2)*FS88+(1-EXP(-LN(2)/2))/(LN(2)/2)*FM89*FP89*VLOOKUP('Données projet'!$B$16,Paramètres!$A$1:$I$89,3,0)*0.475*44/12</f>
        <v>6.4974920981831126</v>
      </c>
      <c r="FT89" s="22">
        <f t="shared" si="78"/>
        <v>78.439334522155903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5.6843418860808015E-14</v>
      </c>
      <c r="GA89" s="17">
        <f>FZ89*VLOOKUP('Données projet'!$B$17,Paramètres!$A$1:$I$89,3,0)*VLOOKUP('Données projet'!$B$17,Paramètres!$A$1:$I$89,5,0)</f>
        <v>5.1431925385259088E-14</v>
      </c>
      <c r="GB89" s="13">
        <f t="shared" si="103"/>
        <v>8.3482866290946129E-13</v>
      </c>
      <c r="GC89" s="20">
        <f t="shared" si="79"/>
        <v>1.5435705246133045E-12</v>
      </c>
      <c r="GD89" s="59">
        <f t="shared" si="80"/>
        <v>293.33333333333485</v>
      </c>
      <c r="GE89" s="59">
        <f ca="1">AVERAGE(OFFSET($GD$3,0,0,'Données projet'!$E$17+1,1))-AVERAGE(OFFSET($H$3,0,0,'Données projet'!$E$17+1,1))</f>
        <v>204.78565758021779</v>
      </c>
      <c r="GF89" s="59">
        <f t="shared" si="104"/>
        <v>287.25131613242439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6.9302243354275612</v>
      </c>
      <c r="GM89" s="21">
        <f>EXP(-LN(2)/25)*GM88+(1-EXP(-LN(2)/25))/(LN(2)/25)*Calculateur!GH89*Calculateur!GJ89*VLOOKUP('Données projet'!$B$17,Paramètres!$A$1:$I$89,3,0)*0.475*44/12</f>
        <v>4.2407608931450076</v>
      </c>
      <c r="GN89" s="21">
        <f>EXP(-LN(2)/2)*GN88+(1-EXP(-LN(2)/2))/(LN(2)/2)*GH89*GK89*VLOOKUP('Données projet'!$B$17,Paramètres!$A$1:$I$89,3,0)*0.475*44/12</f>
        <v>9.2996781062081855E-6</v>
      </c>
      <c r="GO89" s="21">
        <f t="shared" si="81"/>
        <v>11.170994528250676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5.6843418860808015E-14</v>
      </c>
      <c r="GV89" s="17">
        <f>GU89*VLOOKUP('Données projet'!$B$18,Paramètres!$A$1:$I$89,3,0)*VLOOKUP('Données projet'!$B$18,Paramètres!$A$1:$I$89,5,0)</f>
        <v>4.4337866711430253E-14</v>
      </c>
      <c r="GW89" s="13">
        <f t="shared" si="105"/>
        <v>7.3222115536967035E-13</v>
      </c>
      <c r="GX89" s="20">
        <f t="shared" si="82"/>
        <v>1.3525069634579169E-12</v>
      </c>
      <c r="GY89" s="59">
        <f t="shared" si="83"/>
        <v>293.33333333333468</v>
      </c>
      <c r="GZ89" s="59">
        <f ca="1">AVERAGE(OFFSET($GY$3,0,0,'Données projet'!$E$18+1,1))-AVERAGE(OFFSET($H$3,0,0,'Données projet'!$E$18+1,1))</f>
        <v>288.82868507674738</v>
      </c>
      <c r="HA89" s="59">
        <f t="shared" si="106"/>
        <v>283.48738729114024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30.707152463735259</v>
      </c>
      <c r="HH89" s="21">
        <f>EXP(-LN(2)/25)*HH88+(1-EXP(-LN(2)/25))/(LN(2)/25)*Calculateur!HC89*Calculateur!HE89*VLOOKUP('Données projet'!$B$18,Paramètres!$A$1:$I$89,3,0)*0.475*44/12</f>
        <v>26.424150442058778</v>
      </c>
      <c r="HI89" s="21">
        <f>EXP(-LN(2)/2)*HI88+(1-EXP(-LN(2)/2))/(LN(2)/2)*HC89*HF89*VLOOKUP('Données projet'!$B$18,Paramètres!$A$1:$I$89,3,0)*0.475*44/12</f>
        <v>0.16781638636309942</v>
      </c>
      <c r="HJ89" s="22">
        <f t="shared" si="84"/>
        <v>57.299119292157137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349.71285006949597</v>
      </c>
      <c r="T90" s="59">
        <f t="shared" si="88"/>
        <v>258.51550516456842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133.42708263741704</v>
      </c>
      <c r="AA90" s="21">
        <f>EXP(-LN(2)/25)*AA89+(1-EXP(-LN(2)/25))/(LN(2)/25)*Calculateur!V90*Calculateur!X90*VLOOKUP('Données projet'!$B$9,Paramètres!$A$1:$I$89,3,0)*0.475*44/12</f>
        <v>42.61620061435088</v>
      </c>
      <c r="AB90" s="21">
        <f>EXP(-LN(2)/2)*AB89+(1-EXP(-LN(2)/2))/(LN(2)/2)*V90*Y90*VLOOKUP('Données projet'!$B$9,Paramètres!$A$1:$I$89,3,0)*0.475*44/12</f>
        <v>6.2505272084351908</v>
      </c>
      <c r="AC90" s="22">
        <f t="shared" si="57"/>
        <v>182.2938104602031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9.2740000000000009</v>
      </c>
      <c r="AI90" s="13">
        <f>IF('Données projet'!$A$62&gt;35,AI89+AH90-AQ89,IF(A90&lt;'Données projet'!$A$62,$AF$205^A90,IF(A90='Données projet'!$A$62,'Données projet'!$B$62,AI89+AH90-AQ89)))</f>
        <v>293.22599999999989</v>
      </c>
      <c r="AJ90" s="13">
        <f>AI90*VLOOKUP('Données projet'!$B$10,Paramètres!$A$1:$I$89,3,0)*VLOOKUP('Données projet'!$B$10,Paramètres!$A$1:$I$89,5,0)</f>
        <v>279.03386159999991</v>
      </c>
      <c r="AK90" s="13">
        <f t="shared" si="89"/>
        <v>66.762795009518257</v>
      </c>
      <c r="AL90" s="20">
        <f t="shared" si="58"/>
        <v>602.2625102615774</v>
      </c>
      <c r="AM90" s="59">
        <f t="shared" si="59"/>
        <v>895.59584359491078</v>
      </c>
      <c r="AN90" s="59">
        <f ca="1">AVERAGE(OFFSET($AM$3,0,0,'Données projet'!$E$10+1,1))-AVERAGE(OFFSET($H$3,0,0,'Données projet'!$E$10+1,1))</f>
        <v>449.28947235329758</v>
      </c>
      <c r="AO90" s="59">
        <f t="shared" si="90"/>
        <v>289.36994109443964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24.592866951509325</v>
      </c>
      <c r="AV90" s="21">
        <f>EXP(-LN(2)/25)*AV89+(1-EXP(-LN(2)/25))/(LN(2)/25)*Calculateur!AQ90*Calculateur!AS90*VLOOKUP('Données projet'!$B$10,Paramètres!$A$1:$I$89,3,0)*0.475*44/12</f>
        <v>23.615037201628112</v>
      </c>
      <c r="AW90" s="21">
        <f>EXP(-LN(2)/2)*AW89+(1-EXP(-LN(2)/2))/(LN(2)/2)*AQ90*AT90*VLOOKUP('Données projet'!$B$10,Paramètres!$A$1:$I$89,3,0)*0.475*44/12</f>
        <v>1.1869164248565498</v>
      </c>
      <c r="AX90" s="21">
        <f t="shared" si="60"/>
        <v>49.394820577993983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285.84351120000042</v>
      </c>
      <c r="BF90" s="13">
        <f t="shared" si="91"/>
        <v>68.200422369637309</v>
      </c>
      <c r="BG90" s="20">
        <f t="shared" si="61"/>
        <v>616.62651763378562</v>
      </c>
      <c r="BH90" s="59">
        <f t="shared" si="62"/>
        <v>909.95985096711888</v>
      </c>
      <c r="BI90" s="59">
        <f ca="1">AVERAGE(OFFSET($BH$3,0,0,'Données projet'!$E$11+1,1))-AVERAGE(OFFSET($H$3,0,0,'Données projet'!$E$11+1,1))</f>
        <v>635.71275911100679</v>
      </c>
      <c r="BJ90" s="59">
        <f t="shared" si="92"/>
        <v>281.7776857269169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20.765556454859233</v>
      </c>
      <c r="BQ90" s="21">
        <f>EXP(-LN(2)/25)*BQ89+(1-EXP(-LN(2)/25))/(LN(2)/25)*Calculateur!BL90*Calculateur!BN90*VLOOKUP('Données projet'!$B$11,Paramètres!$A$1:$I$89,3,0)*0.475*44/12</f>
        <v>27.217795558102928</v>
      </c>
      <c r="BR90" s="21">
        <f>EXP(-LN(2)/2)*BR89+(1-EXP(-LN(2)/2))/(LN(2)/2)*BL90*BO90*VLOOKUP('Données projet'!$B$11,Paramètres!$A$1:$I$89,3,0)*0.475*44/12</f>
        <v>2.0648619145939637</v>
      </c>
      <c r="BS90" s="22">
        <f t="shared" si="63"/>
        <v>50.04821392755612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6.7600000000000007</v>
      </c>
      <c r="BY90" s="12">
        <f>IF('Données projet'!$A$114&gt;35,BY89+BX90-CG89,IF(A90&lt;'Données projet'!$A$114,$BV$205^A90,IF(A90='Données projet'!$A$114,'Données projet'!$B$114,BY89+BX90-CG89)))</f>
        <v>198.48999999999995</v>
      </c>
      <c r="BZ90" s="13">
        <f>BY90*VLOOKUP('Données projet'!$B$12,Paramètres!$A$1:$I$89,3,0)*VLOOKUP('Données projet'!$B$12,Paramètres!$A$1:$I$89,5,0)</f>
        <v>226.04041199999995</v>
      </c>
      <c r="CA90" s="13">
        <f t="shared" si="93"/>
        <v>55.425662660889152</v>
      </c>
      <c r="CB90" s="20">
        <f t="shared" si="64"/>
        <v>490.22008003438185</v>
      </c>
      <c r="CC90" s="59">
        <f t="shared" si="65"/>
        <v>783.55341336771517</v>
      </c>
      <c r="CD90" s="59">
        <f ca="1">AVERAGE(OFFSET($CC$3,0,0,'Données projet'!$E$12+1,1))-AVERAGE(OFFSET($H$3,0,0,'Données projet'!$E$12+1,1))</f>
        <v>593.28343396240075</v>
      </c>
      <c r="CE90" s="59">
        <f t="shared" si="94"/>
        <v>289.66477662068695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6.9730773074082073</v>
      </c>
      <c r="CL90" s="21">
        <f>EXP(-LN(2)/25)*CL89+(1-EXP(-LN(2)/25))/(LN(2)/25)*Calculateur!CG90*Calculateur!CI90*VLOOKUP('Données projet'!$B$12,Paramètres!$A$1:$I$89,3,0)*0.475*44/12</f>
        <v>40.961459142038137</v>
      </c>
      <c r="CM90" s="21">
        <f>EXP(-LN(2)/2)*CM89+(1-EXP(-LN(2)/2))/(LN(2)/2)*CG90*CJ90*VLOOKUP('Données projet'!$B$12,Paramètres!$A$1:$I$89,3,0)*0.475*44/12</f>
        <v>3.0992722413954534</v>
      </c>
      <c r="CN90" s="22">
        <f t="shared" si="66"/>
        <v>51.033808690841795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1.7948717948717898</v>
      </c>
      <c r="CT90" s="12">
        <f>IF('Données projet'!$A$140&gt;35,CT89+CS90-DB89,IF(A90&lt;'Données projet'!$A$140,$CQ$205^A90,IF(A90='Données projet'!$A$140,'Données projet'!$B$140,CT89+CS90-DB89)))</f>
        <v>145.89743589743611</v>
      </c>
      <c r="CU90" s="17">
        <f>CT90*VLOOKUP('Données projet'!$B$13,Paramètres!$A$1:$I$89,3,0)*VLOOKUP('Données projet'!$B$13,Paramètres!$A$1:$I$89,5,0)</f>
        <v>152.49200000000025</v>
      </c>
      <c r="CV90" s="13">
        <f t="shared" si="95"/>
        <v>39.144357350259668</v>
      </c>
      <c r="CW90" s="20">
        <f t="shared" si="67"/>
        <v>333.76665571836935</v>
      </c>
      <c r="CX90" s="59">
        <f t="shared" si="68"/>
        <v>627.09998905170266</v>
      </c>
      <c r="CY90" s="59">
        <f ca="1">AVERAGE(OFFSET($CX$3,0,0,'Données projet'!$E$13+1,1))-AVERAGE(OFFSET($H$3,0,0,'Données projet'!$E$13+1,1))</f>
        <v>260.65406541614402</v>
      </c>
      <c r="CZ90" s="59">
        <f t="shared" si="96"/>
        <v>277.63456890196886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3.1646359413826528</v>
      </c>
      <c r="DG90" s="21">
        <f>EXP(-LN(2)/25)*DG89+(1-EXP(-LN(2)/25))/(LN(2)/25)*Calculateur!DB90*Calculateur!DD90*VLOOKUP('Données projet'!$B$13,Paramètres!$A$1:$I$89,3,0)*0.475*44/12</f>
        <v>21.29235517276858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24.456991114151233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2.3076923076923093</v>
      </c>
      <c r="DO90" s="12">
        <f>IF('Données projet'!$A$166&gt;35,DO89+DN90-DW89,IF(A90&lt;'Données projet'!$A$166,$DL$205^A90,IF(A90='Données projet'!$A$166,'Données projet'!$B$166,DO89+DN90-DW89)))</f>
        <v>153.33333333333351</v>
      </c>
      <c r="DP90" s="17">
        <f>DO90*VLOOKUP('Données projet'!$B$14,Paramètres!$A$1:$I$89,3,0)*VLOOKUP('Données projet'!$B$14,Paramètres!$A$1:$I$89,5,0)</f>
        <v>100.46400000000013</v>
      </c>
      <c r="DQ90" s="13">
        <f t="shared" si="97"/>
        <v>27.072509349827502</v>
      </c>
      <c r="DR90" s="20">
        <f t="shared" si="70"/>
        <v>222.12608711761644</v>
      </c>
      <c r="DS90" s="59">
        <f t="shared" si="71"/>
        <v>515.45942045094978</v>
      </c>
      <c r="DT90" s="59">
        <f ca="1">AVERAGE(OFFSET($DS$3,0,0,'Données projet'!$E$14+1,1))-AVERAGE(OFFSET($H$3,0,0,'Données projet'!$E$14+1,1))</f>
        <v>181.4272795535777</v>
      </c>
      <c r="DU90" s="59">
        <f t="shared" si="98"/>
        <v>187.67131775419904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4.6985311236736607</v>
      </c>
      <c r="EB90" s="21">
        <f>EXP(-LN(2)/25)*EB89+(1-EXP(-LN(2)/25))/(LN(2)/25)*Calculateur!DW90*Calculateur!DY90*VLOOKUP('Données projet'!$B$14,Paramètres!$A$1:$I$89,3,0)*0.475*44/12</f>
        <v>6.1006298251692712</v>
      </c>
      <c r="EC90" s="21">
        <f>EXP(-LN(2)/2)*EC89+(1-EXP(-LN(2)/2))/(LN(2)/2)*DW90*DZ90*VLOOKUP('Données projet'!$B$14,Paramètres!$A$1:$I$89,3,0)*0.475*44/12</f>
        <v>0.91739507280276456</v>
      </c>
      <c r="ED90" s="22">
        <f t="shared" si="72"/>
        <v>11.716556021645696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1.1368683772161603E-13</v>
      </c>
      <c r="EK90" s="17">
        <f>EJ90*VLOOKUP('Données projet'!$B$15,Paramètres!$A$1:$I$89,3,0)*VLOOKUP('Données projet'!$B$15,Paramètres!$A$1:$I$89,5,0)</f>
        <v>9.2222762759774927E-14</v>
      </c>
      <c r="EL90" s="13">
        <f t="shared" si="99"/>
        <v>1.3985662224947967E-12</v>
      </c>
      <c r="EM90" s="20">
        <f t="shared" si="73"/>
        <v>2.5964574826517121E-12</v>
      </c>
      <c r="EN90" s="59">
        <f t="shared" si="74"/>
        <v>293.33333333333593</v>
      </c>
      <c r="EO90" s="59">
        <f ca="1">AVERAGE(OFFSET($EN$3,0,0,'Données projet'!$E$15+1,1))-AVERAGE(OFFSET($H$3,0,0,'Données projet'!$E$15+1,1))</f>
        <v>159.68591355116837</v>
      </c>
      <c r="EP90" s="59">
        <f t="shared" si="100"/>
        <v>284.32631786390112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5.7495074539984978</v>
      </c>
      <c r="EW90" s="21">
        <f>EXP(-LN(2)/25)*EW89+(1-EXP(-LN(2)/25))/(LN(2)/25)*Calculateur!ER90*Calculateur!ET90*VLOOKUP('Données projet'!$B$15,Paramètres!$A$1:$I$89,3,0)*0.475*44/12</f>
        <v>5.2489365508355199</v>
      </c>
      <c r="EX90" s="21">
        <f>EXP(-LN(2)/2)*EX89+(1-EXP(-LN(2)/2))/(LN(2)/2)*ER90*EU90*VLOOKUP('Données projet'!$B$15,Paramètres!$A$1:$I$89,3,0)*0.475*44/12</f>
        <v>2.4598683092517675E-6</v>
      </c>
      <c r="EY90" s="22">
        <f t="shared" si="75"/>
        <v>10.998446464702326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-1.3567387213697657E-13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299.10536994156814</v>
      </c>
      <c r="FK90" s="59">
        <f t="shared" si="102"/>
        <v>292.57799203101769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35.364606308315153</v>
      </c>
      <c r="FR90" s="21">
        <f>EXP(-LN(2)/25)*FR89+(1-EXP(-LN(2)/25))/(LN(2)/25)*Calculateur!FM90*Calculateur!FO90*VLOOKUP('Données projet'!$B$16,Paramètres!$A$1:$I$89,3,0)*0.475*44/12</f>
        <v>34.8890231246192</v>
      </c>
      <c r="FS90" s="21">
        <f>EXP(-LN(2)/2)*FS89+(1-EXP(-LN(2)/2))/(LN(2)/2)*FM90*FP90*VLOOKUP('Données projet'!$B$16,Paramètres!$A$1:$I$89,3,0)*0.475*44/12</f>
        <v>4.5944207233312877</v>
      </c>
      <c r="FT90" s="22">
        <f t="shared" si="78"/>
        <v>74.848050156265643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5.6843418860808015E-14</v>
      </c>
      <c r="GA90" s="17">
        <f>FZ90*VLOOKUP('Données projet'!$B$17,Paramètres!$A$1:$I$89,3,0)*VLOOKUP('Données projet'!$B$17,Paramètres!$A$1:$I$89,5,0)</f>
        <v>5.1431925385259088E-14</v>
      </c>
      <c r="GB90" s="13">
        <f t="shared" si="103"/>
        <v>8.3482866290946129E-13</v>
      </c>
      <c r="GC90" s="20">
        <f t="shared" si="79"/>
        <v>1.5435705246133045E-12</v>
      </c>
      <c r="GD90" s="59">
        <f t="shared" si="80"/>
        <v>293.33333333333485</v>
      </c>
      <c r="GE90" s="59">
        <f ca="1">AVERAGE(OFFSET($GD$3,0,0,'Données projet'!$E$17+1,1))-AVERAGE(OFFSET($H$3,0,0,'Données projet'!$E$17+1,1))</f>
        <v>204.78565758021779</v>
      </c>
      <c r="GF90" s="59">
        <f t="shared" si="104"/>
        <v>287.25131613242439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6.7943268632292879</v>
      </c>
      <c r="GM90" s="21">
        <f>EXP(-LN(2)/25)*GM89+(1-EXP(-LN(2)/25))/(LN(2)/25)*Calculateur!GH90*Calculateur!GJ90*VLOOKUP('Données projet'!$B$17,Paramètres!$A$1:$I$89,3,0)*0.475*44/12</f>
        <v>4.1247970635100346</v>
      </c>
      <c r="GN90" s="21">
        <f>EXP(-LN(2)/2)*GN89+(1-EXP(-LN(2)/2))/(LN(2)/2)*GH90*GK90*VLOOKUP('Données projet'!$B$17,Paramètres!$A$1:$I$89,3,0)*0.475*44/12</f>
        <v>6.5758654517518783E-6</v>
      </c>
      <c r="GO90" s="21">
        <f t="shared" si="81"/>
        <v>10.919130502604775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5.6843418860808015E-14</v>
      </c>
      <c r="GV90" s="17">
        <f>GU90*VLOOKUP('Données projet'!$B$18,Paramètres!$A$1:$I$89,3,0)*VLOOKUP('Données projet'!$B$18,Paramètres!$A$1:$I$89,5,0)</f>
        <v>4.4337866711430253E-14</v>
      </c>
      <c r="GW90" s="13">
        <f t="shared" si="105"/>
        <v>7.3222115536967035E-13</v>
      </c>
      <c r="GX90" s="20">
        <f t="shared" si="82"/>
        <v>1.3525069634579169E-12</v>
      </c>
      <c r="GY90" s="59">
        <f t="shared" si="83"/>
        <v>293.33333333333468</v>
      </c>
      <c r="GZ90" s="59">
        <f ca="1">AVERAGE(OFFSET($GY$3,0,0,'Données projet'!$E$18+1,1))-AVERAGE(OFFSET($H$3,0,0,'Données projet'!$E$18+1,1))</f>
        <v>288.82868507674738</v>
      </c>
      <c r="HA90" s="59">
        <f t="shared" si="106"/>
        <v>283.48738729114024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30.105003933435029</v>
      </c>
      <c r="HH90" s="21">
        <f>EXP(-LN(2)/25)*HH89+(1-EXP(-LN(2)/25))/(LN(2)/25)*Calculateur!HC90*Calculateur!HE90*VLOOKUP('Données projet'!$B$18,Paramètres!$A$1:$I$89,3,0)*0.475*44/12</f>
        <v>25.701580658635002</v>
      </c>
      <c r="HI90" s="21">
        <f>EXP(-LN(2)/2)*HI89+(1-EXP(-LN(2)/2))/(LN(2)/2)*HC90*HF90*VLOOKUP('Données projet'!$B$18,Paramètres!$A$1:$I$89,3,0)*0.475*44/12</f>
        <v>0.11866410479156927</v>
      </c>
      <c r="HJ90" s="22">
        <f t="shared" si="84"/>
        <v>55.925248696861601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349.71285006949597</v>
      </c>
      <c r="T91" s="59">
        <f t="shared" si="88"/>
        <v>258.51550516456842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130.81065892938184</v>
      </c>
      <c r="AA91" s="21">
        <f>EXP(-LN(2)/25)*AA90+(1-EXP(-LN(2)/25))/(LN(2)/25)*Calculateur!V91*Calculateur!X91*VLOOKUP('Données projet'!$B$9,Paramètres!$A$1:$I$89,3,0)*0.475*44/12</f>
        <v>41.450858367462864</v>
      </c>
      <c r="AB91" s="21">
        <f>EXP(-LN(2)/2)*AB90+(1-EXP(-LN(2)/2))/(LN(2)/2)*V91*Y91*VLOOKUP('Données projet'!$B$9,Paramètres!$A$1:$I$89,3,0)*0.475*44/12</f>
        <v>4.4197901750755442</v>
      </c>
      <c r="AC91" s="22">
        <f t="shared" si="57"/>
        <v>176.68130747192026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9.2740000000000009</v>
      </c>
      <c r="AI91" s="13">
        <f>IF('Données projet'!$A$62&gt;35,AI90+AH91-AQ90,IF(A91&lt;'Données projet'!$A$62,$AF$205^A91,IF(A91='Données projet'!$A$62,'Données projet'!$B$62,AI90+AH91-AQ90)))</f>
        <v>302.49999999999989</v>
      </c>
      <c r="AJ91" s="13">
        <f>AI91*VLOOKUP('Données projet'!$B$10,Paramètres!$A$1:$I$89,3,0)*VLOOKUP('Données projet'!$B$10,Paramètres!$A$1:$I$89,5,0)</f>
        <v>287.85899999999987</v>
      </c>
      <c r="AK91" s="13">
        <f t="shared" si="89"/>
        <v>68.625156372854391</v>
      </c>
      <c r="AL91" s="20">
        <f t="shared" si="58"/>
        <v>620.87657234938786</v>
      </c>
      <c r="AM91" s="59">
        <f t="shared" si="59"/>
        <v>914.20990568272123</v>
      </c>
      <c r="AN91" s="59">
        <f ca="1">AVERAGE(OFFSET($AM$3,0,0,'Données projet'!$E$10+1,1))-AVERAGE(OFFSET($H$3,0,0,'Données projet'!$E$10+1,1))</f>
        <v>449.28947235329758</v>
      </c>
      <c r="AO91" s="59">
        <f t="shared" si="90"/>
        <v>289.36994109443964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24.110615830757926</v>
      </c>
      <c r="AV91" s="21">
        <f>EXP(-LN(2)/25)*AV90+(1-EXP(-LN(2)/25))/(LN(2)/25)*Calculateur!AQ91*Calculateur!AS91*VLOOKUP('Données projet'!$B$10,Paramètres!$A$1:$I$89,3,0)*0.475*44/12</f>
        <v>22.969282767488757</v>
      </c>
      <c r="AW91" s="21">
        <f>EXP(-LN(2)/2)*AW90+(1-EXP(-LN(2)/2))/(LN(2)/2)*AQ91*AT91*VLOOKUP('Données projet'!$B$10,Paramètres!$A$1:$I$89,3,0)*0.475*44/12</f>
        <v>0.83927665271775964</v>
      </c>
      <c r="AX91" s="21">
        <f t="shared" si="60"/>
        <v>47.919175250964443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294.14324160000047</v>
      </c>
      <c r="BF91" s="13">
        <f t="shared" si="91"/>
        <v>69.947256671789191</v>
      </c>
      <c r="BG91" s="20">
        <f t="shared" si="61"/>
        <v>634.12428449003357</v>
      </c>
      <c r="BH91" s="59">
        <f t="shared" si="62"/>
        <v>927.45761782336695</v>
      </c>
      <c r="BI91" s="59">
        <f ca="1">AVERAGE(OFFSET($BH$3,0,0,'Données projet'!$E$11+1,1))-AVERAGE(OFFSET($H$3,0,0,'Données projet'!$E$11+1,1))</f>
        <v>635.71275911100679</v>
      </c>
      <c r="BJ91" s="59">
        <f t="shared" si="92"/>
        <v>281.7776857269169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20.358356558518242</v>
      </c>
      <c r="BQ91" s="21">
        <f>EXP(-LN(2)/25)*BQ90+(1-EXP(-LN(2)/25))/(LN(2)/25)*Calculateur!BL91*Calculateur!BN91*VLOOKUP('Données projet'!$B$11,Paramètres!$A$1:$I$89,3,0)*0.475*44/12</f>
        <v>26.473523507244941</v>
      </c>
      <c r="BR91" s="21">
        <f>EXP(-LN(2)/2)*BR90+(1-EXP(-LN(2)/2))/(LN(2)/2)*BL91*BO91*VLOOKUP('Données projet'!$B$11,Paramètres!$A$1:$I$89,3,0)*0.475*44/12</f>
        <v>1.4600778620232295</v>
      </c>
      <c r="BS91" s="22">
        <f t="shared" si="63"/>
        <v>48.291957927786413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6.7600000000000007</v>
      </c>
      <c r="BY91" s="12">
        <f>IF('Données projet'!$A$114&gt;35,BY90+BX91-CG90,IF(A91&lt;'Données projet'!$A$114,$BV$205^A91,IF(A91='Données projet'!$A$114,'Données projet'!$B$114,BY90+BX91-CG90)))</f>
        <v>205.24999999999994</v>
      </c>
      <c r="BZ91" s="13">
        <f>BY91*VLOOKUP('Données projet'!$B$12,Paramètres!$A$1:$I$89,3,0)*VLOOKUP('Données projet'!$B$12,Paramètres!$A$1:$I$89,5,0)</f>
        <v>233.73869999999994</v>
      </c>
      <c r="CA91" s="13">
        <f t="shared" si="93"/>
        <v>57.090315684407514</v>
      </c>
      <c r="CB91" s="20">
        <f t="shared" si="64"/>
        <v>506.52720231700965</v>
      </c>
      <c r="CC91" s="59">
        <f t="shared" si="65"/>
        <v>799.86053565034297</v>
      </c>
      <c r="CD91" s="59">
        <f ca="1">AVERAGE(OFFSET($CC$3,0,0,'Données projet'!$E$12+1,1))-AVERAGE(OFFSET($H$3,0,0,'Données projet'!$E$12+1,1))</f>
        <v>593.28343396240075</v>
      </c>
      <c r="CE91" s="59">
        <f t="shared" si="94"/>
        <v>289.66477662068695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6.8363395145671255</v>
      </c>
      <c r="CL91" s="21">
        <f>EXP(-LN(2)/25)*CL90+(1-EXP(-LN(2)/25))/(LN(2)/25)*Calculateur!CG91*Calculateur!CI91*VLOOKUP('Données projet'!$B$12,Paramètres!$A$1:$I$89,3,0)*0.475*44/12</f>
        <v>39.841365887729587</v>
      </c>
      <c r="CM91" s="21">
        <f>EXP(-LN(2)/2)*CM90+(1-EXP(-LN(2)/2))/(LN(2)/2)*CG91*CJ91*VLOOKUP('Données projet'!$B$12,Paramètres!$A$1:$I$89,3,0)*0.475*44/12</f>
        <v>2.1915164186339555</v>
      </c>
      <c r="CN91" s="22">
        <f t="shared" si="66"/>
        <v>48.869221820930662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1.7948717948717898</v>
      </c>
      <c r="CT91" s="12">
        <f>IF('Données projet'!$A$140&gt;35,CT90+CS91-DB90,IF(A91&lt;'Données projet'!$A$140,$CQ$205^A91,IF(A91='Données projet'!$A$140,'Données projet'!$B$140,CT90+CS91-DB90)))</f>
        <v>147.69230769230791</v>
      </c>
      <c r="CU91" s="17">
        <f>CT91*VLOOKUP('Données projet'!$B$13,Paramètres!$A$1:$I$89,3,0)*VLOOKUP('Données projet'!$B$13,Paramètres!$A$1:$I$89,5,0)</f>
        <v>154.36800000000022</v>
      </c>
      <c r="CV91" s="13">
        <f t="shared" si="95"/>
        <v>39.5695649327875</v>
      </c>
      <c r="CW91" s="20">
        <f t="shared" si="67"/>
        <v>337.77459225793865</v>
      </c>
      <c r="CX91" s="59">
        <f t="shared" si="68"/>
        <v>631.10792559127196</v>
      </c>
      <c r="CY91" s="59">
        <f ca="1">AVERAGE(OFFSET($CX$3,0,0,'Données projet'!$E$13+1,1))-AVERAGE(OFFSET($H$3,0,0,'Données projet'!$E$13+1,1))</f>
        <v>260.65406541614402</v>
      </c>
      <c r="CZ91" s="59">
        <f t="shared" si="96"/>
        <v>277.63456890196886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3.1025793608094681</v>
      </c>
      <c r="DG91" s="21">
        <f>EXP(-LN(2)/25)*DG90+(1-EXP(-LN(2)/25))/(LN(2)/25)*Calculateur!DB91*Calculateur!DD91*VLOOKUP('Données projet'!$B$13,Paramètres!$A$1:$I$89,3,0)*0.475*44/12</f>
        <v>20.710114600852929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23.812693961662397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2.3076923076923093</v>
      </c>
      <c r="DO91" s="12">
        <f>IF('Données projet'!$A$166&gt;35,DO90+DN91-DW90,IF(A91&lt;'Données projet'!$A$166,$DL$205^A91,IF(A91='Données projet'!$A$166,'Données projet'!$B$166,DO90+DN91-DW90)))</f>
        <v>155.64102564102583</v>
      </c>
      <c r="DP91" s="17">
        <f>DO91*VLOOKUP('Données projet'!$B$14,Paramètres!$A$1:$I$89,3,0)*VLOOKUP('Données projet'!$B$14,Paramètres!$A$1:$I$89,5,0)</f>
        <v>101.97600000000014</v>
      </c>
      <c r="DQ91" s="13">
        <f t="shared" si="97"/>
        <v>27.432214856814799</v>
      </c>
      <c r="DR91" s="20">
        <f t="shared" si="70"/>
        <v>225.38597420895266</v>
      </c>
      <c r="DS91" s="59">
        <f t="shared" si="71"/>
        <v>518.71930754228595</v>
      </c>
      <c r="DT91" s="59">
        <f ca="1">AVERAGE(OFFSET($DS$3,0,0,'Données projet'!$E$14+1,1))-AVERAGE(OFFSET($H$3,0,0,'Données projet'!$E$14+1,1))</f>
        <v>181.4272795535777</v>
      </c>
      <c r="DU91" s="59">
        <f t="shared" si="98"/>
        <v>187.67131775419904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4.6063957941594289</v>
      </c>
      <c r="EB91" s="21">
        <f>EXP(-LN(2)/25)*EB90+(1-EXP(-LN(2)/25))/(LN(2)/25)*Calculateur!DW91*Calculateur!DY91*VLOOKUP('Données projet'!$B$14,Paramètres!$A$1:$I$89,3,0)*0.475*44/12</f>
        <v>5.9338077817818382</v>
      </c>
      <c r="EC91" s="21">
        <f>EXP(-LN(2)/2)*EC90+(1-EXP(-LN(2)/2))/(LN(2)/2)*DW91*DZ91*VLOOKUP('Données projet'!$B$14,Paramètres!$A$1:$I$89,3,0)*0.475*44/12</f>
        <v>0.64869627700596133</v>
      </c>
      <c r="ED91" s="22">
        <f t="shared" si="72"/>
        <v>11.188899852947227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1.1368683772161603E-13</v>
      </c>
      <c r="EK91" s="17">
        <f>EJ91*VLOOKUP('Données projet'!$B$15,Paramètres!$A$1:$I$89,3,0)*VLOOKUP('Données projet'!$B$15,Paramètres!$A$1:$I$89,5,0)</f>
        <v>9.2222762759774927E-14</v>
      </c>
      <c r="EL91" s="13">
        <f t="shared" si="99"/>
        <v>1.3985662224947967E-12</v>
      </c>
      <c r="EM91" s="20">
        <f t="shared" si="73"/>
        <v>2.5964574826517121E-12</v>
      </c>
      <c r="EN91" s="59">
        <f t="shared" si="74"/>
        <v>293.33333333333593</v>
      </c>
      <c r="EO91" s="59">
        <f ca="1">AVERAGE(OFFSET($EN$3,0,0,'Données projet'!$E$15+1,1))-AVERAGE(OFFSET($H$3,0,0,'Données projet'!$E$15+1,1))</f>
        <v>159.68591355116837</v>
      </c>
      <c r="EP91" s="59">
        <f t="shared" si="100"/>
        <v>284.32631786390112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5.6367631196788608</v>
      </c>
      <c r="EW91" s="21">
        <f>EXP(-LN(2)/25)*EW90+(1-EXP(-LN(2)/25))/(LN(2)/25)*Calculateur!ER91*Calculateur!ET91*VLOOKUP('Données projet'!$B$15,Paramètres!$A$1:$I$89,3,0)*0.475*44/12</f>
        <v>5.1054041048233456</v>
      </c>
      <c r="EX91" s="21">
        <f>EXP(-LN(2)/2)*EX90+(1-EXP(-LN(2)/2))/(LN(2)/2)*ER91*EU91*VLOOKUP('Données projet'!$B$15,Paramètres!$A$1:$I$89,3,0)*0.475*44/12</f>
        <v>1.7393895622978122E-6</v>
      </c>
      <c r="EY91" s="22">
        <f t="shared" si="75"/>
        <v>10.742168963891769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-1.3567387213697657E-13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299.10536994156814</v>
      </c>
      <c r="FK91" s="59">
        <f t="shared" si="102"/>
        <v>292.57799203101769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34.671127948889051</v>
      </c>
      <c r="FR91" s="21">
        <f>EXP(-LN(2)/25)*FR90+(1-EXP(-LN(2)/25))/(LN(2)/25)*Calculateur!FM91*Calculateur!FO91*VLOOKUP('Données projet'!$B$16,Paramètres!$A$1:$I$89,3,0)*0.475*44/12</f>
        <v>33.934980952542503</v>
      </c>
      <c r="FS91" s="21">
        <f>EXP(-LN(2)/2)*FS90+(1-EXP(-LN(2)/2))/(LN(2)/2)*FM91*FP91*VLOOKUP('Données projet'!$B$16,Paramètres!$A$1:$I$89,3,0)*0.475*44/12</f>
        <v>3.2487460490915563</v>
      </c>
      <c r="FT91" s="22">
        <f t="shared" si="78"/>
        <v>71.854854950523105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5.6843418860808015E-14</v>
      </c>
      <c r="GA91" s="17">
        <f>FZ91*VLOOKUP('Données projet'!$B$17,Paramètres!$A$1:$I$89,3,0)*VLOOKUP('Données projet'!$B$17,Paramètres!$A$1:$I$89,5,0)</f>
        <v>5.1431925385259088E-14</v>
      </c>
      <c r="GB91" s="13">
        <f t="shared" si="103"/>
        <v>8.3482866290946129E-13</v>
      </c>
      <c r="GC91" s="20">
        <f t="shared" si="79"/>
        <v>1.5435705246133045E-12</v>
      </c>
      <c r="GD91" s="59">
        <f t="shared" si="80"/>
        <v>293.33333333333485</v>
      </c>
      <c r="GE91" s="59">
        <f ca="1">AVERAGE(OFFSET($GD$3,0,0,'Données projet'!$E$17+1,1))-AVERAGE(OFFSET($H$3,0,0,'Données projet'!$E$17+1,1))</f>
        <v>204.78565758021779</v>
      </c>
      <c r="GF91" s="59">
        <f t="shared" si="104"/>
        <v>287.25131613242439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6.6610942575715493</v>
      </c>
      <c r="GM91" s="21">
        <f>EXP(-LN(2)/25)*GM90+(1-EXP(-LN(2)/25))/(LN(2)/25)*Calculateur!GH91*Calculateur!GJ91*VLOOKUP('Données projet'!$B$17,Paramètres!$A$1:$I$89,3,0)*0.475*44/12</f>
        <v>4.0120042708947024</v>
      </c>
      <c r="GN91" s="21">
        <f>EXP(-LN(2)/2)*GN90+(1-EXP(-LN(2)/2))/(LN(2)/2)*GH91*GK91*VLOOKUP('Données projet'!$B$17,Paramètres!$A$1:$I$89,3,0)*0.475*44/12</f>
        <v>4.6498390531040928E-6</v>
      </c>
      <c r="GO91" s="21">
        <f t="shared" si="81"/>
        <v>10.673103178305304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5.6843418860808015E-14</v>
      </c>
      <c r="GV91" s="17">
        <f>GU91*VLOOKUP('Données projet'!$B$18,Paramètres!$A$1:$I$89,3,0)*VLOOKUP('Données projet'!$B$18,Paramètres!$A$1:$I$89,5,0)</f>
        <v>4.4337866711430253E-14</v>
      </c>
      <c r="GW91" s="13">
        <f t="shared" si="105"/>
        <v>7.3222115536967035E-13</v>
      </c>
      <c r="GX91" s="20">
        <f t="shared" si="82"/>
        <v>1.3525069634579169E-12</v>
      </c>
      <c r="GY91" s="59">
        <f t="shared" si="83"/>
        <v>293.33333333333468</v>
      </c>
      <c r="GZ91" s="59">
        <f ca="1">AVERAGE(OFFSET($GY$3,0,0,'Données projet'!$E$18+1,1))-AVERAGE(OFFSET($H$3,0,0,'Données projet'!$E$18+1,1))</f>
        <v>288.82868507674738</v>
      </c>
      <c r="HA91" s="59">
        <f t="shared" si="106"/>
        <v>283.48738729114024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29.514663168539645</v>
      </c>
      <c r="HH91" s="21">
        <f>EXP(-LN(2)/25)*HH90+(1-EXP(-LN(2)/25))/(LN(2)/25)*Calculateur!HC91*Calculateur!HE91*VLOOKUP('Données projet'!$B$18,Paramètres!$A$1:$I$89,3,0)*0.475*44/12</f>
        <v>24.998769583937243</v>
      </c>
      <c r="HI91" s="21">
        <f>EXP(-LN(2)/2)*HI90+(1-EXP(-LN(2)/2))/(LN(2)/2)*HC91*HF91*VLOOKUP('Données projet'!$B$18,Paramètres!$A$1:$I$89,3,0)*0.475*44/12</f>
        <v>8.3908193181549726E-2</v>
      </c>
      <c r="HJ91" s="22">
        <f t="shared" si="84"/>
        <v>54.597340945658438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349.71285006949597</v>
      </c>
      <c r="T92" s="59">
        <f t="shared" si="88"/>
        <v>258.51550516456842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128.24554169440034</v>
      </c>
      <c r="AA92" s="21">
        <f>EXP(-LN(2)/25)*AA91+(1-EXP(-LN(2)/25))/(LN(2)/25)*Calculateur!V92*Calculateur!X92*VLOOKUP('Données projet'!$B$9,Paramètres!$A$1:$I$89,3,0)*0.475*44/12</f>
        <v>40.317382465598691</v>
      </c>
      <c r="AB92" s="21">
        <f>EXP(-LN(2)/2)*AB91+(1-EXP(-LN(2)/2))/(LN(2)/2)*V92*Y92*VLOOKUP('Données projet'!$B$9,Paramètres!$A$1:$I$89,3,0)*0.475*44/12</f>
        <v>3.1252636042175954</v>
      </c>
      <c r="AC92" s="22">
        <f t="shared" si="57"/>
        <v>171.68818776421662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9.2740000000000009</v>
      </c>
      <c r="AI92" s="13">
        <f>IF('Données projet'!$A$62&gt;35,AI91+AH92-AQ91,IF(A92&lt;'Données projet'!$A$62,$AF$205^A92,IF(A92='Données projet'!$A$62,'Données projet'!$B$62,AI91+AH92-AQ91)))</f>
        <v>311.77399999999989</v>
      </c>
      <c r="AJ92" s="13">
        <f>AI92*VLOOKUP('Données projet'!$B$10,Paramètres!$A$1:$I$89,3,0)*VLOOKUP('Données projet'!$B$10,Paramètres!$A$1:$I$89,5,0)</f>
        <v>296.68413839999988</v>
      </c>
      <c r="AK92" s="13">
        <f t="shared" si="89"/>
        <v>70.480882508102439</v>
      </c>
      <c r="AL92" s="20">
        <f t="shared" si="58"/>
        <v>639.47907808161142</v>
      </c>
      <c r="AM92" s="59">
        <f t="shared" si="59"/>
        <v>932.81241141494479</v>
      </c>
      <c r="AN92" s="59">
        <f ca="1">AVERAGE(OFFSET($AM$3,0,0,'Données projet'!$E$10+1,1))-AVERAGE(OFFSET($H$3,0,0,'Données projet'!$E$10+1,1))</f>
        <v>449.28947235329758</v>
      </c>
      <c r="AO92" s="59">
        <f t="shared" si="90"/>
        <v>289.36994109443964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23.637821360340322</v>
      </c>
      <c r="AV92" s="21">
        <f>EXP(-LN(2)/25)*AV91+(1-EXP(-LN(2)/25))/(LN(2)/25)*Calculateur!AQ92*Calculateur!AS92*VLOOKUP('Données projet'!$B$10,Paramètres!$A$1:$I$89,3,0)*0.475*44/12</f>
        <v>22.341186522309695</v>
      </c>
      <c r="AW92" s="21">
        <f>EXP(-LN(2)/2)*AW91+(1-EXP(-LN(2)/2))/(LN(2)/2)*AQ92*AT92*VLOOKUP('Données projet'!$B$10,Paramètres!$A$1:$I$89,3,0)*0.475*44/12</f>
        <v>0.5934582124282749</v>
      </c>
      <c r="AX92" s="21">
        <f t="shared" si="60"/>
        <v>46.57246609507829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302.44297200000045</v>
      </c>
      <c r="BF92" s="13">
        <f t="shared" si="91"/>
        <v>71.688362252626035</v>
      </c>
      <c r="BG92" s="20">
        <f t="shared" si="61"/>
        <v>651.61207382332452</v>
      </c>
      <c r="BH92" s="59">
        <f t="shared" si="62"/>
        <v>944.94540715665789</v>
      </c>
      <c r="BI92" s="59">
        <f ca="1">AVERAGE(OFFSET($BH$3,0,0,'Données projet'!$E$11+1,1))-AVERAGE(OFFSET($H$3,0,0,'Données projet'!$E$11+1,1))</f>
        <v>635.71275911100679</v>
      </c>
      <c r="BJ92" s="59">
        <f t="shared" si="92"/>
        <v>281.7776857269169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19.959141603777088</v>
      </c>
      <c r="BQ92" s="21">
        <f>EXP(-LN(2)/25)*BQ91+(1-EXP(-LN(2)/25))/(LN(2)/25)*Calculateur!BL92*Calculateur!BN92*VLOOKUP('Données projet'!$B$11,Paramètres!$A$1:$I$89,3,0)*0.475*44/12</f>
        <v>25.749603614757234</v>
      </c>
      <c r="BR92" s="21">
        <f>EXP(-LN(2)/2)*BR91+(1-EXP(-LN(2)/2))/(LN(2)/2)*BL92*BO92*VLOOKUP('Données projet'!$B$11,Paramètres!$A$1:$I$89,3,0)*0.475*44/12</f>
        <v>1.0324309572969819</v>
      </c>
      <c r="BS92" s="22">
        <f t="shared" si="63"/>
        <v>46.741176175831299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6.7600000000000007</v>
      </c>
      <c r="BY92" s="12">
        <f>IF('Données projet'!$A$114&gt;35,BY91+BX92-CG91,IF(A92&lt;'Données projet'!$A$114,$BV$205^A92,IF(A92='Données projet'!$A$114,'Données projet'!$B$114,BY91+BX92-CG91)))</f>
        <v>212.00999999999993</v>
      </c>
      <c r="BZ92" s="13">
        <f>BY92*VLOOKUP('Données projet'!$B$12,Paramètres!$A$1:$I$89,3,0)*VLOOKUP('Données projet'!$B$12,Paramètres!$A$1:$I$89,5,0)</f>
        <v>241.43698799999993</v>
      </c>
      <c r="CA92" s="13">
        <f t="shared" si="93"/>
        <v>58.748597951768716</v>
      </c>
      <c r="CB92" s="20">
        <f t="shared" si="64"/>
        <v>522.82322886599707</v>
      </c>
      <c r="CC92" s="59">
        <f t="shared" si="65"/>
        <v>816.15656219933044</v>
      </c>
      <c r="CD92" s="59">
        <f ca="1">AVERAGE(OFFSET($CC$3,0,0,'Données projet'!$E$12+1,1))-AVERAGE(OFFSET($H$3,0,0,'Données projet'!$E$12+1,1))</f>
        <v>593.28343396240075</v>
      </c>
      <c r="CE92" s="59">
        <f t="shared" si="94"/>
        <v>289.66477662068695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6.7022830664418391</v>
      </c>
      <c r="CL92" s="21">
        <f>EXP(-LN(2)/25)*CL91+(1-EXP(-LN(2)/25))/(LN(2)/25)*Calculateur!CG92*Calculateur!CI92*VLOOKUP('Données projet'!$B$12,Paramètres!$A$1:$I$89,3,0)*0.475*44/12</f>
        <v>38.751901642363251</v>
      </c>
      <c r="CM92" s="21">
        <f>EXP(-LN(2)/2)*CM91+(1-EXP(-LN(2)/2))/(LN(2)/2)*CG92*CJ92*VLOOKUP('Données projet'!$B$12,Paramètres!$A$1:$I$89,3,0)*0.475*44/12</f>
        <v>1.5496361206977267</v>
      </c>
      <c r="CN92" s="22">
        <f t="shared" si="66"/>
        <v>47.003820829502814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1.7948717948717898</v>
      </c>
      <c r="CT92" s="12">
        <f>IF('Données projet'!$A$140&gt;35,CT91+CS92-DB91,IF(A92&lt;'Données projet'!$A$140,$CQ$205^A92,IF(A92='Données projet'!$A$140,'Données projet'!$B$140,CT91+CS92-DB91)))</f>
        <v>149.4871794871797</v>
      </c>
      <c r="CU92" s="17">
        <f>CT92*VLOOKUP('Données projet'!$B$13,Paramètres!$A$1:$I$89,3,0)*VLOOKUP('Données projet'!$B$13,Paramètres!$A$1:$I$89,5,0)</f>
        <v>156.24400000000026</v>
      </c>
      <c r="CV92" s="13">
        <f t="shared" si="95"/>
        <v>39.994171433339119</v>
      </c>
      <c r="CW92" s="20">
        <f t="shared" si="67"/>
        <v>341.78148191306605</v>
      </c>
      <c r="CX92" s="59">
        <f t="shared" si="68"/>
        <v>635.1148152463993</v>
      </c>
      <c r="CY92" s="59">
        <f ca="1">AVERAGE(OFFSET($CX$3,0,0,'Données projet'!$E$13+1,1))-AVERAGE(OFFSET($H$3,0,0,'Données projet'!$E$13+1,1))</f>
        <v>260.65406541614402</v>
      </c>
      <c r="CZ92" s="59">
        <f t="shared" si="96"/>
        <v>277.63456890196886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3.041739671930547</v>
      </c>
      <c r="DG92" s="21">
        <f>EXP(-LN(2)/25)*DG91+(1-EXP(-LN(2)/25))/(LN(2)/25)*Calculateur!DB92*Calculateur!DD92*VLOOKUP('Données projet'!$B$13,Paramètres!$A$1:$I$89,3,0)*0.475*44/12</f>
        <v>20.143795427995013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23.185535099925559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2.3076923076923093</v>
      </c>
      <c r="DO92" s="12">
        <f>IF('Données projet'!$A$166&gt;35,DO91+DN92-DW91,IF(A92&lt;'Données projet'!$A$166,$DL$205^A92,IF(A92='Données projet'!$A$166,'Données projet'!$B$166,DO91+DN92-DW91)))</f>
        <v>157.94871794871815</v>
      </c>
      <c r="DP92" s="17">
        <f>DO92*VLOOKUP('Données projet'!$B$14,Paramètres!$A$1:$I$89,3,0)*VLOOKUP('Données projet'!$B$14,Paramètres!$A$1:$I$89,5,0)</f>
        <v>103.48800000000014</v>
      </c>
      <c r="DQ92" s="13">
        <f t="shared" si="97"/>
        <v>27.791300072062182</v>
      </c>
      <c r="DR92" s="20">
        <f t="shared" si="70"/>
        <v>228.64478095884184</v>
      </c>
      <c r="DS92" s="59">
        <f t="shared" si="71"/>
        <v>521.97811429217518</v>
      </c>
      <c r="DT92" s="59">
        <f ca="1">AVERAGE(OFFSET($DS$3,0,0,'Données projet'!$E$14+1,1))-AVERAGE(OFFSET($H$3,0,0,'Données projet'!$E$14+1,1))</f>
        <v>181.4272795535777</v>
      </c>
      <c r="DU92" s="59">
        <f t="shared" si="98"/>
        <v>187.67131775419904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4.5160671822599694</v>
      </c>
      <c r="EB92" s="21">
        <f>EXP(-LN(2)/25)*EB91+(1-EXP(-LN(2)/25))/(LN(2)/25)*Calculateur!DW92*Calculateur!DY92*VLOOKUP('Données projet'!$B$14,Paramètres!$A$1:$I$89,3,0)*0.475*44/12</f>
        <v>5.7715474959436248</v>
      </c>
      <c r="EC92" s="21">
        <f>EXP(-LN(2)/2)*EC91+(1-EXP(-LN(2)/2))/(LN(2)/2)*DW92*DZ92*VLOOKUP('Données projet'!$B$14,Paramètres!$A$1:$I$89,3,0)*0.475*44/12</f>
        <v>0.45869753640138233</v>
      </c>
      <c r="ED92" s="22">
        <f t="shared" si="72"/>
        <v>10.746312214604977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1.1368683772161603E-13</v>
      </c>
      <c r="EK92" s="17">
        <f>EJ92*VLOOKUP('Données projet'!$B$15,Paramètres!$A$1:$I$89,3,0)*VLOOKUP('Données projet'!$B$15,Paramètres!$A$1:$I$89,5,0)</f>
        <v>9.2222762759774927E-14</v>
      </c>
      <c r="EL92" s="13">
        <f t="shared" si="99"/>
        <v>1.3985662224947967E-12</v>
      </c>
      <c r="EM92" s="20">
        <f t="shared" si="73"/>
        <v>2.5964574826517121E-12</v>
      </c>
      <c r="EN92" s="59">
        <f t="shared" si="74"/>
        <v>293.33333333333593</v>
      </c>
      <c r="EO92" s="59">
        <f ca="1">AVERAGE(OFFSET($EN$3,0,0,'Données projet'!$E$15+1,1))-AVERAGE(OFFSET($H$3,0,0,'Données projet'!$E$15+1,1))</f>
        <v>159.68591355116837</v>
      </c>
      <c r="EP92" s="59">
        <f t="shared" si="100"/>
        <v>284.32631786390112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5.5262296329879783</v>
      </c>
      <c r="EW92" s="21">
        <f>EXP(-LN(2)/25)*EW91+(1-EXP(-LN(2)/25))/(LN(2)/25)*Calculateur!ER92*Calculateur!ET92*VLOOKUP('Données projet'!$B$15,Paramètres!$A$1:$I$89,3,0)*0.475*44/12</f>
        <v>4.9657965610954182</v>
      </c>
      <c r="EX92" s="21">
        <f>EXP(-LN(2)/2)*EX91+(1-EXP(-LN(2)/2))/(LN(2)/2)*ER92*EU92*VLOOKUP('Données projet'!$B$15,Paramètres!$A$1:$I$89,3,0)*0.475*44/12</f>
        <v>1.2299341546258837E-6</v>
      </c>
      <c r="EY92" s="22">
        <f t="shared" si="75"/>
        <v>10.492027424017552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-1.3567387213697657E-13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299.10536994156814</v>
      </c>
      <c r="FK92" s="59">
        <f t="shared" si="102"/>
        <v>292.57799203101769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33.991248277111261</v>
      </c>
      <c r="FR92" s="21">
        <f>EXP(-LN(2)/25)*FR91+(1-EXP(-LN(2)/25))/(LN(2)/25)*Calculateur!FM92*Calculateur!FO92*VLOOKUP('Données projet'!$B$16,Paramètres!$A$1:$I$89,3,0)*0.475*44/12</f>
        <v>33.007027113832137</v>
      </c>
      <c r="FS92" s="21">
        <f>EXP(-LN(2)/2)*FS91+(1-EXP(-LN(2)/2))/(LN(2)/2)*FM92*FP92*VLOOKUP('Données projet'!$B$16,Paramètres!$A$1:$I$89,3,0)*0.475*44/12</f>
        <v>2.2972103616656439</v>
      </c>
      <c r="FT92" s="22">
        <f t="shared" si="78"/>
        <v>69.295485752609054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5.6843418860808015E-14</v>
      </c>
      <c r="GA92" s="17">
        <f>FZ92*VLOOKUP('Données projet'!$B$17,Paramètres!$A$1:$I$89,3,0)*VLOOKUP('Données projet'!$B$17,Paramètres!$A$1:$I$89,5,0)</f>
        <v>5.1431925385259088E-14</v>
      </c>
      <c r="GB92" s="13">
        <f t="shared" si="103"/>
        <v>8.3482866290946129E-13</v>
      </c>
      <c r="GC92" s="20">
        <f t="shared" si="79"/>
        <v>1.5435705246133045E-12</v>
      </c>
      <c r="GD92" s="59">
        <f t="shared" si="80"/>
        <v>293.33333333333485</v>
      </c>
      <c r="GE92" s="59">
        <f ca="1">AVERAGE(OFFSET($GD$3,0,0,'Données projet'!$E$17+1,1))-AVERAGE(OFFSET($H$3,0,0,'Données projet'!$E$17+1,1))</f>
        <v>204.78565758021779</v>
      </c>
      <c r="GF92" s="59">
        <f t="shared" si="104"/>
        <v>287.25131613242439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6.5304742620468934</v>
      </c>
      <c r="GM92" s="21">
        <f>EXP(-LN(2)/25)*GM91+(1-EXP(-LN(2)/25))/(LN(2)/25)*Calculateur!GH92*Calculateur!GJ92*VLOOKUP('Données projet'!$B$17,Paramètres!$A$1:$I$89,3,0)*0.475*44/12</f>
        <v>3.9022958031249515</v>
      </c>
      <c r="GN92" s="21">
        <f>EXP(-LN(2)/2)*GN91+(1-EXP(-LN(2)/2))/(LN(2)/2)*GH92*GK92*VLOOKUP('Données projet'!$B$17,Paramètres!$A$1:$I$89,3,0)*0.475*44/12</f>
        <v>3.2879327258759391E-6</v>
      </c>
      <c r="GO92" s="21">
        <f t="shared" si="81"/>
        <v>10.432773353104571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5.6843418860808015E-14</v>
      </c>
      <c r="GV92" s="17">
        <f>GU92*VLOOKUP('Données projet'!$B$18,Paramètres!$A$1:$I$89,3,0)*VLOOKUP('Données projet'!$B$18,Paramètres!$A$1:$I$89,5,0)</f>
        <v>4.4337866711430253E-14</v>
      </c>
      <c r="GW92" s="13">
        <f t="shared" si="105"/>
        <v>7.3222115536967035E-13</v>
      </c>
      <c r="GX92" s="20">
        <f t="shared" si="82"/>
        <v>1.3525069634579169E-12</v>
      </c>
      <c r="GY92" s="59">
        <f t="shared" si="83"/>
        <v>293.33333333333468</v>
      </c>
      <c r="GZ92" s="59">
        <f ca="1">AVERAGE(OFFSET($GY$3,0,0,'Données projet'!$E$18+1,1))-AVERAGE(OFFSET($H$3,0,0,'Données projet'!$E$18+1,1))</f>
        <v>288.82868507674738</v>
      </c>
      <c r="HA92" s="59">
        <f t="shared" si="106"/>
        <v>283.48738729114024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28.93589862597155</v>
      </c>
      <c r="HH92" s="21">
        <f>EXP(-LN(2)/25)*HH91+(1-EXP(-LN(2)/25))/(LN(2)/25)*Calculateur!HC92*Calculateur!HE92*VLOOKUP('Données projet'!$B$18,Paramètres!$A$1:$I$89,3,0)*0.475*44/12</f>
        <v>24.315176915036322</v>
      </c>
      <c r="HI92" s="21">
        <f>EXP(-LN(2)/2)*HI91+(1-EXP(-LN(2)/2))/(LN(2)/2)*HC92*HF92*VLOOKUP('Données projet'!$B$18,Paramètres!$A$1:$I$89,3,0)*0.475*44/12</f>
        <v>5.9332052395784644E-2</v>
      </c>
      <c r="HJ92" s="22">
        <f t="shared" si="84"/>
        <v>53.310407593403653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349.71285006949597</v>
      </c>
      <c r="T93" s="59">
        <f t="shared" si="88"/>
        <v>258.51550516456842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125.7307248438298</v>
      </c>
      <c r="AA93" s="21">
        <f>EXP(-LN(2)/25)*AA92+(1-EXP(-LN(2)/25))/(LN(2)/25)*Calculateur!V93*Calculateur!X93*VLOOKUP('Données projet'!$B$9,Paramètres!$A$1:$I$89,3,0)*0.475*44/12</f>
        <v>39.214901521877898</v>
      </c>
      <c r="AB93" s="21">
        <f>EXP(-LN(2)/2)*AB92+(1-EXP(-LN(2)/2))/(LN(2)/2)*V93*Y93*VLOOKUP('Données projet'!$B$9,Paramètres!$A$1:$I$89,3,0)*0.475*44/12</f>
        <v>2.2098950875377721</v>
      </c>
      <c r="AC93" s="22">
        <f t="shared" si="57"/>
        <v>167.15552145324548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9.2740000000000009</v>
      </c>
      <c r="AI93" s="13">
        <f>IF('Données projet'!$A$62&gt;35,AI92+AH93-AQ92,IF(A93&lt;'Données projet'!$A$62,$AF$205^A93,IF(A93='Données projet'!$A$62,'Données projet'!$B$62,AI92+AH93-AQ92)))</f>
        <v>321.04799999999989</v>
      </c>
      <c r="AJ93" s="13">
        <f>AI93*VLOOKUP('Données projet'!$B$10,Paramètres!$A$1:$I$89,3,0)*VLOOKUP('Données projet'!$B$10,Paramètres!$A$1:$I$89,5,0)</f>
        <v>305.5092767999999</v>
      </c>
      <c r="AK93" s="13">
        <f t="shared" si="89"/>
        <v>72.330193444868527</v>
      </c>
      <c r="AL93" s="20">
        <f t="shared" si="58"/>
        <v>658.07041067647913</v>
      </c>
      <c r="AM93" s="59">
        <f t="shared" si="59"/>
        <v>951.4037440098125</v>
      </c>
      <c r="AN93" s="59">
        <f ca="1">AVERAGE(OFFSET($AM$3,0,0,'Données projet'!$E$10+1,1))-AVERAGE(OFFSET($H$3,0,0,'Données projet'!$E$10+1,1))</f>
        <v>449.28947235329758</v>
      </c>
      <c r="AO93" s="59">
        <f t="shared" si="90"/>
        <v>289.36994109443964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23.174298101111454</v>
      </c>
      <c r="AV93" s="21">
        <f>EXP(-LN(2)/25)*AV92+(1-EXP(-LN(2)/25))/(LN(2)/25)*Calculateur!AQ93*Calculateur!AS93*VLOOKUP('Données projet'!$B$10,Paramètres!$A$1:$I$89,3,0)*0.475*44/12</f>
        <v>21.730265601985199</v>
      </c>
      <c r="AW93" s="21">
        <f>EXP(-LN(2)/2)*AW92+(1-EXP(-LN(2)/2))/(LN(2)/2)*AQ93*AT93*VLOOKUP('Données projet'!$B$10,Paramètres!$A$1:$I$89,3,0)*0.475*44/12</f>
        <v>0.41963832635887982</v>
      </c>
      <c r="AX93" s="21">
        <f t="shared" si="60"/>
        <v>45.324202029455535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310.74270240000044</v>
      </c>
      <c r="BF93" s="13">
        <f t="shared" si="91"/>
        <v>73.423914385133031</v>
      </c>
      <c r="BG93" s="20">
        <f t="shared" si="61"/>
        <v>669.09019090077402</v>
      </c>
      <c r="BH93" s="59">
        <f t="shared" si="62"/>
        <v>962.42352423410739</v>
      </c>
      <c r="BI93" s="59">
        <f ca="1">AVERAGE(OFFSET($BH$3,0,0,'Données projet'!$E$11+1,1))-AVERAGE(OFFSET($H$3,0,0,'Données projet'!$E$11+1,1))</f>
        <v>635.71275911100679</v>
      </c>
      <c r="BJ93" s="59">
        <f t="shared" si="92"/>
        <v>281.7776857269169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19.567755010801328</v>
      </c>
      <c r="BQ93" s="21">
        <f>EXP(-LN(2)/25)*BQ92+(1-EXP(-LN(2)/25))/(LN(2)/25)*Calculateur!BL93*Calculateur!BN93*VLOOKUP('Données projet'!$B$11,Paramètres!$A$1:$I$89,3,0)*0.475*44/12</f>
        <v>25.045479349798896</v>
      </c>
      <c r="BR93" s="21">
        <f>EXP(-LN(2)/2)*BR92+(1-EXP(-LN(2)/2))/(LN(2)/2)*BL93*BO93*VLOOKUP('Données projet'!$B$11,Paramètres!$A$1:$I$89,3,0)*0.475*44/12</f>
        <v>0.73003893101161477</v>
      </c>
      <c r="BS93" s="22">
        <f t="shared" si="63"/>
        <v>45.343273291611837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6.7600000000000007</v>
      </c>
      <c r="BY93" s="12">
        <f>IF('Données projet'!$A$114&gt;35,BY92+BX93-CG92,IF(A93&lt;'Données projet'!$A$114,$BV$205^A93,IF(A93='Données projet'!$A$114,'Données projet'!$B$114,BY92+BX93-CG92)))</f>
        <v>218.76999999999992</v>
      </c>
      <c r="BZ93" s="13">
        <f>BY93*VLOOKUP('Données projet'!$B$12,Paramètres!$A$1:$I$89,3,0)*VLOOKUP('Données projet'!$B$12,Paramètres!$A$1:$I$89,5,0)</f>
        <v>249.13527599999992</v>
      </c>
      <c r="CA93" s="13">
        <f t="shared" si="93"/>
        <v>60.4007358986577</v>
      </c>
      <c r="CB93" s="20">
        <f t="shared" si="64"/>
        <v>539.10855405682867</v>
      </c>
      <c r="CC93" s="59">
        <f t="shared" si="65"/>
        <v>832.44188739016204</v>
      </c>
      <c r="CD93" s="59">
        <f ca="1">AVERAGE(OFFSET($CC$3,0,0,'Données projet'!$E$12+1,1))-AVERAGE(OFFSET($H$3,0,0,'Données projet'!$E$12+1,1))</f>
        <v>593.28343396240075</v>
      </c>
      <c r="CE93" s="59">
        <f t="shared" si="94"/>
        <v>289.66477662068695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6.5708553834979302</v>
      </c>
      <c r="CL93" s="21">
        <f>EXP(-LN(2)/25)*CL92+(1-EXP(-LN(2)/25))/(LN(2)/25)*Calculateur!CG93*Calculateur!CI93*VLOOKUP('Données projet'!$B$12,Paramètres!$A$1:$I$89,3,0)*0.475*44/12</f>
        <v>37.692228854078891</v>
      </c>
      <c r="CM93" s="21">
        <f>EXP(-LN(2)/2)*CM92+(1-EXP(-LN(2)/2))/(LN(2)/2)*CG93*CJ93*VLOOKUP('Données projet'!$B$12,Paramètres!$A$1:$I$89,3,0)*0.475*44/12</f>
        <v>1.0957582093169778</v>
      </c>
      <c r="CN93" s="22">
        <f t="shared" si="66"/>
        <v>45.358842446893796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151.28205128205127</v>
      </c>
      <c r="CR93" s="12">
        <f>VLOOKUP(A93,'Données projet'!$A$139:$I$159,9,0)</f>
        <v>1.7948717948717898</v>
      </c>
      <c r="CS93" s="12">
        <f t="array" ref="CS93">INDEX(CR:CR,MIN(IF(ISNUMBER(CR93:CR289),ROW(CR93:CR289),"")))</f>
        <v>1.7948717948717898</v>
      </c>
      <c r="CT93" s="12">
        <f>IF('Données projet'!$A$140&gt;35,CT92+CS93-DB92,IF(A93&lt;'Données projet'!$A$140,$CQ$205^A93,IF(A93='Données projet'!$A$140,'Données projet'!$B$140,CT92+CS93-DB92)))</f>
        <v>151.2820512820515</v>
      </c>
      <c r="CU93" s="17">
        <f>CT93*VLOOKUP('Données projet'!$B$13,Paramètres!$A$1:$I$89,3,0)*VLOOKUP('Données projet'!$B$13,Paramètres!$A$1:$I$89,5,0)</f>
        <v>158.12000000000023</v>
      </c>
      <c r="CV93" s="13">
        <f t="shared" si="95"/>
        <v>40.418184903854872</v>
      </c>
      <c r="CW93" s="20">
        <f t="shared" si="67"/>
        <v>345.78733870754758</v>
      </c>
      <c r="CX93" s="59">
        <f t="shared" si="68"/>
        <v>639.12067204088089</v>
      </c>
      <c r="CY93" s="59">
        <f ca="1">AVERAGE(OFFSET($CX$3,0,0,'Données projet'!$E$13+1,1))-AVERAGE(OFFSET($H$3,0,0,'Données projet'!$E$13+1,1))</f>
        <v>260.65406541614402</v>
      </c>
      <c r="CZ93" s="59">
        <f t="shared" si="96"/>
        <v>277.63456890196886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151.28205128205127</v>
      </c>
      <c r="DC93" s="16">
        <f>IF(ISNA(VLOOKUP(A93,'Données projet'!$A$139:$I$159,5,0)),0%,VLOOKUP(A93,'Données projet'!$A$139:$I$159,5,0)*VLOOKUP('Données projet'!$B$13,Paramètres!$A$1:$I$89,7,0))</f>
        <v>8.6000000000000007E-2</v>
      </c>
      <c r="DD93" s="16">
        <f>IF(ISNA(VLOOKUP(A93,'Données projet'!$A$139:$I$159,6,0)),0%,VLOOKUP(A93,'Données projet'!$A$139:$I$159,6,0)*VLOOKUP('Données projet'!$B$13,Paramètres!$A$1:$I$89,7,0))</f>
        <v>0.17200000000000001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18.014632983652504</v>
      </c>
      <c r="DG93" s="21">
        <f>EXP(-LN(2)/25)*DG92+(1-EXP(-LN(2)/25))/(LN(2)/25)*Calculateur!DB93*Calculateur!DD93*VLOOKUP('Données projet'!$B$13,Paramètres!$A$1:$I$89,3,0)*0.475*44/12</f>
        <v>49.53966455009288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67.554297533745384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160.25641025641025</v>
      </c>
      <c r="DM93" s="12">
        <f>VLOOKUP(A93,'Données projet'!$A$165:$I$185,9,0)</f>
        <v>2.3076923076923093</v>
      </c>
      <c r="DN93" s="12">
        <f t="array" ref="DN93">INDEX(DM:DM,MIN(IF(ISNUMBER(DM93:DM289),ROW(DM93:DM289),"")))</f>
        <v>2.3076923076923093</v>
      </c>
      <c r="DO93" s="12">
        <f>IF('Données projet'!$A$166&gt;35,DO92+DN93-DW92,IF(A93&lt;'Données projet'!$A$166,$DL$205^A93,IF(A93='Données projet'!$A$166,'Données projet'!$B$166,DO92+DN93-DW92)))</f>
        <v>160.25641025641048</v>
      </c>
      <c r="DP93" s="17">
        <f>DO93*VLOOKUP('Données projet'!$B$14,Paramètres!$A$1:$I$89,3,0)*VLOOKUP('Données projet'!$B$14,Paramètres!$A$1:$I$89,5,0)</f>
        <v>105.00000000000013</v>
      </c>
      <c r="DQ93" s="13">
        <f t="shared" si="97"/>
        <v>28.14977510529809</v>
      </c>
      <c r="DR93" s="20">
        <f t="shared" si="70"/>
        <v>231.90252497506103</v>
      </c>
      <c r="DS93" s="59">
        <f t="shared" si="71"/>
        <v>525.23585830839431</v>
      </c>
      <c r="DT93" s="59">
        <f ca="1">AVERAGE(OFFSET($DS$3,0,0,'Données projet'!$E$14+1,1))-AVERAGE(OFFSET($H$3,0,0,'Données projet'!$E$14+1,1))</f>
        <v>181.4272795535777</v>
      </c>
      <c r="DU93" s="59">
        <f t="shared" si="98"/>
        <v>187.67131775419904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160.25641025641025</v>
      </c>
      <c r="DX93" s="16">
        <f>IF(ISNA(VLOOKUP(A93,'Données projet'!$A$165:$I$185,5,0)),0%,VLOOKUP(A93,'Données projet'!$A$165:$I$185,5,0)*VLOOKUP('Données projet'!$B$14,Paramètres!$A$1:$I$89,7,0))</f>
        <v>0.1075</v>
      </c>
      <c r="DY93" s="16">
        <f>IF(ISNA(VLOOKUP(A93,'Données projet'!$A$165:$I$185,6,0)),0%,VLOOKUP(A93,'Données projet'!$A$165:$I$185,6,0)*VLOOKUP('Données projet'!$B$14,Paramètres!$A$1:$I$89,7,0))</f>
        <v>0.1075</v>
      </c>
      <c r="DZ93" s="16">
        <f>IF(ISNA(VLOOKUP(A93,'Données projet'!$A$165:$I$185,7,0)),0%,VLOOKUP(A93,'Données projet'!$A$165:$I$185,7,0))</f>
        <v>0.25</v>
      </c>
      <c r="EA93" s="21">
        <f>EXP(-LN(2)/35)*EA92+(1-EXP(-LN(2)/35))/(LN(2)/35)*DW93*DX93*VLOOKUP('Données projet'!$B$14,Paramètres!$A$1:$I$89,3,0)*0.475*44/12</f>
        <v>16.905506768323022</v>
      </c>
      <c r="EB93" s="21">
        <f>EXP(-LN(2)/25)*EB92+(1-EXP(-LN(2)/25))/(LN(2)/25)*Calculateur!DW93*Calculateur!DY93*VLOOKUP('Données projet'!$B$14,Paramètres!$A$1:$I$89,3,0)*0.475*44/12</f>
        <v>18.042590506812513</v>
      </c>
      <c r="EC93" s="21">
        <f>EXP(-LN(2)/2)*EC92+(1-EXP(-LN(2)/2))/(LN(2)/2)*DW93*DZ93*VLOOKUP('Données projet'!$B$14,Paramètres!$A$1:$I$89,3,0)*0.475*44/12</f>
        <v>25.091929646894421</v>
      </c>
      <c r="ED93" s="22">
        <f t="shared" si="72"/>
        <v>60.040026922029959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1.1368683772161603E-13</v>
      </c>
      <c r="EK93" s="17">
        <f>EJ93*VLOOKUP('Données projet'!$B$15,Paramètres!$A$1:$I$89,3,0)*VLOOKUP('Données projet'!$B$15,Paramètres!$A$1:$I$89,5,0)</f>
        <v>9.2222762759774927E-14</v>
      </c>
      <c r="EL93" s="13">
        <f t="shared" si="99"/>
        <v>1.3985662224947967E-12</v>
      </c>
      <c r="EM93" s="20">
        <f t="shared" si="73"/>
        <v>2.5964574826517121E-12</v>
      </c>
      <c r="EN93" s="59">
        <f t="shared" si="74"/>
        <v>293.33333333333593</v>
      </c>
      <c r="EO93" s="59">
        <f ca="1">AVERAGE(OFFSET($EN$3,0,0,'Données projet'!$E$15+1,1))-AVERAGE(OFFSET($H$3,0,0,'Données projet'!$E$15+1,1))</f>
        <v>159.68591355116837</v>
      </c>
      <c r="EP93" s="59">
        <f t="shared" si="100"/>
        <v>284.32631786390112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5.4178636405523344</v>
      </c>
      <c r="EW93" s="21">
        <f>EXP(-LN(2)/25)*EW92+(1-EXP(-LN(2)/25))/(LN(2)/25)*Calculateur!ER93*Calculateur!ET93*VLOOKUP('Données projet'!$B$15,Paramètres!$A$1:$I$89,3,0)*0.475*44/12</f>
        <v>4.8300065929923726</v>
      </c>
      <c r="EX93" s="21">
        <f>EXP(-LN(2)/2)*EX92+(1-EXP(-LN(2)/2))/(LN(2)/2)*ER93*EU93*VLOOKUP('Données projet'!$B$15,Paramètres!$A$1:$I$89,3,0)*0.475*44/12</f>
        <v>8.696947811489061E-7</v>
      </c>
      <c r="EY93" s="22">
        <f t="shared" si="75"/>
        <v>10.247871103239488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-1.3567387213697657E-13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299.10536994156814</v>
      </c>
      <c r="FK93" s="59">
        <f t="shared" si="102"/>
        <v>292.57799203101769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33.324700631011382</v>
      </c>
      <c r="FR93" s="21">
        <f>EXP(-LN(2)/25)*FR92+(1-EXP(-LN(2)/25))/(LN(2)/25)*Calculateur!FM93*Calculateur!FO93*VLOOKUP('Données projet'!$B$16,Paramètres!$A$1:$I$89,3,0)*0.475*44/12</f>
        <v>32.104448221640283</v>
      </c>
      <c r="FS93" s="21">
        <f>EXP(-LN(2)/2)*FS92+(1-EXP(-LN(2)/2))/(LN(2)/2)*FM93*FP93*VLOOKUP('Données projet'!$B$16,Paramètres!$A$1:$I$89,3,0)*0.475*44/12</f>
        <v>1.6243730245457781</v>
      </c>
      <c r="FT93" s="22">
        <f t="shared" si="78"/>
        <v>67.05352187719744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5.6843418860808015E-14</v>
      </c>
      <c r="GA93" s="17">
        <f>FZ93*VLOOKUP('Données projet'!$B$17,Paramètres!$A$1:$I$89,3,0)*VLOOKUP('Données projet'!$B$17,Paramètres!$A$1:$I$89,5,0)</f>
        <v>5.1431925385259088E-14</v>
      </c>
      <c r="GB93" s="13">
        <f t="shared" si="103"/>
        <v>8.3482866290946129E-13</v>
      </c>
      <c r="GC93" s="20">
        <f t="shared" si="79"/>
        <v>1.5435705246133045E-12</v>
      </c>
      <c r="GD93" s="59">
        <f t="shared" si="80"/>
        <v>293.33333333333485</v>
      </c>
      <c r="GE93" s="59">
        <f ca="1">AVERAGE(OFFSET($GD$3,0,0,'Données projet'!$E$17+1,1))-AVERAGE(OFFSET($H$3,0,0,'Données projet'!$E$17+1,1))</f>
        <v>204.78565758021779</v>
      </c>
      <c r="GF93" s="59">
        <f t="shared" si="104"/>
        <v>287.25131613242439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6.4024156449641456</v>
      </c>
      <c r="GM93" s="21">
        <f>EXP(-LN(2)/25)*GM92+(1-EXP(-LN(2)/25))/(LN(2)/25)*Calculateur!GH93*Calculateur!GJ93*VLOOKUP('Données projet'!$B$17,Paramètres!$A$1:$I$89,3,0)*0.475*44/12</f>
        <v>3.7955873191756822</v>
      </c>
      <c r="GN93" s="21">
        <f>EXP(-LN(2)/2)*GN92+(1-EXP(-LN(2)/2))/(LN(2)/2)*GH93*GK93*VLOOKUP('Données projet'!$B$17,Paramètres!$A$1:$I$89,3,0)*0.475*44/12</f>
        <v>2.3249195265520464E-6</v>
      </c>
      <c r="GO93" s="21">
        <f t="shared" si="81"/>
        <v>10.198005289059354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5.6843418860808015E-14</v>
      </c>
      <c r="GV93" s="17">
        <f>GU93*VLOOKUP('Données projet'!$B$18,Paramètres!$A$1:$I$89,3,0)*VLOOKUP('Données projet'!$B$18,Paramètres!$A$1:$I$89,5,0)</f>
        <v>4.4337866711430253E-14</v>
      </c>
      <c r="GW93" s="13">
        <f t="shared" si="105"/>
        <v>7.3222115536967035E-13</v>
      </c>
      <c r="GX93" s="20">
        <f t="shared" si="82"/>
        <v>1.3525069634579169E-12</v>
      </c>
      <c r="GY93" s="59">
        <f t="shared" si="83"/>
        <v>293.33333333333468</v>
      </c>
      <c r="GZ93" s="59">
        <f ca="1">AVERAGE(OFFSET($GY$3,0,0,'Données projet'!$E$18+1,1))-AVERAGE(OFFSET($H$3,0,0,'Données projet'!$E$18+1,1))</f>
        <v>288.82868507674738</v>
      </c>
      <c r="HA93" s="59">
        <f t="shared" si="106"/>
        <v>283.48738729114024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28.368483303071699</v>
      </c>
      <c r="HH93" s="21">
        <f>EXP(-LN(2)/25)*HH92+(1-EXP(-LN(2)/25))/(LN(2)/25)*Calculateur!HC93*Calculateur!HE93*VLOOKUP('Données projet'!$B$18,Paramètres!$A$1:$I$89,3,0)*0.475*44/12</f>
        <v>23.650277123615073</v>
      </c>
      <c r="HI93" s="21">
        <f>EXP(-LN(2)/2)*HI92+(1-EXP(-LN(2)/2))/(LN(2)/2)*HC93*HF93*VLOOKUP('Données projet'!$B$18,Paramètres!$A$1:$I$89,3,0)*0.475*44/12</f>
        <v>4.195409659077487E-2</v>
      </c>
      <c r="HJ93" s="22">
        <f t="shared" si="84"/>
        <v>52.060714523277539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349.71285006949597</v>
      </c>
      <c r="T94" s="59">
        <f t="shared" si="88"/>
        <v>258.51550516456842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123.26522201781214</v>
      </c>
      <c r="AA94" s="21">
        <f>EXP(-LN(2)/25)*AA93+(1-EXP(-LN(2)/25))/(LN(2)/25)*Calculateur!V94*Calculateur!X94*VLOOKUP('Données projet'!$B$9,Paramètres!$A$1:$I$89,3,0)*0.475*44/12</f>
        <v>38.142567977540104</v>
      </c>
      <c r="AB94" s="21">
        <f>EXP(-LN(2)/2)*AB93+(1-EXP(-LN(2)/2))/(LN(2)/2)*V94*Y94*VLOOKUP('Données projet'!$B$9,Paramètres!$A$1:$I$89,3,0)*0.475*44/12</f>
        <v>1.5626318021087977</v>
      </c>
      <c r="AC94" s="22">
        <f t="shared" si="57"/>
        <v>162.97042179746103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9.2740000000000009</v>
      </c>
      <c r="AI94" s="13">
        <f>IF('Données projet'!$A$62&gt;35,AI93+AH94-AQ93,IF(A94&lt;'Données projet'!$A$62,$AF$205^A94,IF(A94='Données projet'!$A$62,'Données projet'!$B$62,AI93+AH94-AQ93)))</f>
        <v>330.32199999999989</v>
      </c>
      <c r="AJ94" s="13">
        <f>AI94*VLOOKUP('Données projet'!$B$10,Paramètres!$A$1:$I$89,3,0)*VLOOKUP('Données projet'!$B$10,Paramètres!$A$1:$I$89,5,0)</f>
        <v>314.33441519999985</v>
      </c>
      <c r="AK94" s="13">
        <f t="shared" si="89"/>
        <v>74.173295778029868</v>
      </c>
      <c r="AL94" s="20">
        <f t="shared" si="58"/>
        <v>676.65092995340171</v>
      </c>
      <c r="AM94" s="59">
        <f t="shared" si="59"/>
        <v>969.98426328673509</v>
      </c>
      <c r="AN94" s="59">
        <f ca="1">AVERAGE(OFFSET($AM$3,0,0,'Données projet'!$E$10+1,1))-AVERAGE(OFFSET($H$3,0,0,'Données projet'!$E$10+1,1))</f>
        <v>449.28947235329758</v>
      </c>
      <c r="AO94" s="59">
        <f t="shared" si="90"/>
        <v>289.36994109443964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22.719864250274792</v>
      </c>
      <c r="AV94" s="21">
        <f>EXP(-LN(2)/25)*AV93+(1-EXP(-LN(2)/25))/(LN(2)/25)*Calculateur!AQ94*Calculateur!AS94*VLOOKUP('Données projet'!$B$10,Paramètres!$A$1:$I$89,3,0)*0.475*44/12</f>
        <v>21.136050346353912</v>
      </c>
      <c r="AW94" s="21">
        <f>EXP(-LN(2)/2)*AW93+(1-EXP(-LN(2)/2))/(LN(2)/2)*AQ94*AT94*VLOOKUP('Données projet'!$B$10,Paramètres!$A$1:$I$89,3,0)*0.475*44/12</f>
        <v>0.29672910621413745</v>
      </c>
      <c r="AX94" s="21">
        <f t="shared" si="60"/>
        <v>44.152643702842845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319.04243280000043</v>
      </c>
      <c r="BF94" s="13">
        <f t="shared" si="91"/>
        <v>75.154078446360543</v>
      </c>
      <c r="BG94" s="20">
        <f t="shared" si="61"/>
        <v>686.55892375407859</v>
      </c>
      <c r="BH94" s="59">
        <f t="shared" si="62"/>
        <v>979.89225708741196</v>
      </c>
      <c r="BI94" s="59">
        <f ca="1">AVERAGE(OFFSET($BH$3,0,0,'Données projet'!$E$11+1,1))-AVERAGE(OFFSET($H$3,0,0,'Données projet'!$E$11+1,1))</f>
        <v>635.71275911100679</v>
      </c>
      <c r="BJ94" s="59">
        <f t="shared" si="92"/>
        <v>281.7776857269169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19.184043270191573</v>
      </c>
      <c r="BQ94" s="21">
        <f>EXP(-LN(2)/25)*BQ93+(1-EXP(-LN(2)/25))/(LN(2)/25)*Calculateur!BL94*Calculateur!BN94*VLOOKUP('Données projet'!$B$11,Paramètres!$A$1:$I$89,3,0)*0.475*44/12</f>
        <v>24.360609399894127</v>
      </c>
      <c r="BR94" s="21">
        <f>EXP(-LN(2)/2)*BR93+(1-EXP(-LN(2)/2))/(LN(2)/2)*BL94*BO94*VLOOKUP('Données projet'!$B$11,Paramètres!$A$1:$I$89,3,0)*0.475*44/12</f>
        <v>0.51621547864849093</v>
      </c>
      <c r="BS94" s="22">
        <f t="shared" si="63"/>
        <v>44.060868148734187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6.7600000000000007</v>
      </c>
      <c r="BY94" s="12">
        <f>IF('Données projet'!$A$114&gt;35,BY93+BX94-CG93,IF(A94&lt;'Données projet'!$A$114,$BV$205^A94,IF(A94='Données projet'!$A$114,'Données projet'!$B$114,BY93+BX94-CG93)))</f>
        <v>225.52999999999992</v>
      </c>
      <c r="BZ94" s="13">
        <f>BY94*VLOOKUP('Données projet'!$B$12,Paramètres!$A$1:$I$89,3,0)*VLOOKUP('Données projet'!$B$12,Paramètres!$A$1:$I$89,5,0)</f>
        <v>256.83356399999991</v>
      </c>
      <c r="CA94" s="13">
        <f t="shared" si="93"/>
        <v>62.046941172045024</v>
      </c>
      <c r="CB94" s="20">
        <f t="shared" si="64"/>
        <v>555.38354650797817</v>
      </c>
      <c r="CC94" s="59">
        <f t="shared" si="65"/>
        <v>848.71687984131154</v>
      </c>
      <c r="CD94" s="59">
        <f ca="1">AVERAGE(OFFSET($CC$3,0,0,'Données projet'!$E$12+1,1))-AVERAGE(OFFSET($H$3,0,0,'Données projet'!$E$12+1,1))</f>
        <v>593.28343396240075</v>
      </c>
      <c r="CE94" s="59">
        <f t="shared" si="94"/>
        <v>289.66477662068695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6.4420049172535796</v>
      </c>
      <c r="CL94" s="21">
        <f>EXP(-LN(2)/25)*CL93+(1-EXP(-LN(2)/25))/(LN(2)/25)*Calculateur!CG94*Calculateur!CI94*VLOOKUP('Données projet'!$B$12,Paramètres!$A$1:$I$89,3,0)*0.475*44/12</f>
        <v>36.661532873915938</v>
      </c>
      <c r="CM94" s="21">
        <f>EXP(-LN(2)/2)*CM93+(1-EXP(-LN(2)/2))/(LN(2)/2)*CG94*CJ94*VLOOKUP('Données projet'!$B$12,Paramètres!$A$1:$I$89,3,0)*0.475*44/12</f>
        <v>0.77481806034886336</v>
      </c>
      <c r="CN94" s="22">
        <f t="shared" si="66"/>
        <v>43.878355851518378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2.2737367544323206E-13</v>
      </c>
      <c r="CU94" s="17">
        <f>CT94*VLOOKUP('Données projet'!$B$13,Paramètres!$A$1:$I$89,3,0)*VLOOKUP('Données projet'!$B$13,Paramètres!$A$1:$I$89,5,0)</f>
        <v>2.3765096557326618E-13</v>
      </c>
      <c r="CV94" s="13">
        <f t="shared" si="95"/>
        <v>3.2279907425805489E-12</v>
      </c>
      <c r="CW94" s="20">
        <f t="shared" si="67"/>
        <v>6.0359926417012276E-12</v>
      </c>
      <c r="CX94" s="59">
        <f t="shared" si="68"/>
        <v>293.33333333333934</v>
      </c>
      <c r="CY94" s="59">
        <f ca="1">AVERAGE(OFFSET($CX$3,0,0,'Données projet'!$E$13+1,1))-AVERAGE(OFFSET($H$3,0,0,'Données projet'!$E$13+1,1))</f>
        <v>260.65406541614402</v>
      </c>
      <c r="CZ94" s="59">
        <f t="shared" si="96"/>
        <v>277.63456890196886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17.661377018684238</v>
      </c>
      <c r="DG94" s="21">
        <f>EXP(-LN(2)/25)*DG93+(1-EXP(-LN(2)/25))/(LN(2)/25)*Calculateur!DB94*Calculateur!DD94*VLOOKUP('Données projet'!$B$13,Paramètres!$A$1:$I$89,3,0)*0.475*44/12</f>
        <v>48.184999817792857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65.846376836477091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2.2737367544323206E-13</v>
      </c>
      <c r="DP94" s="17">
        <f>DO94*VLOOKUP('Données projet'!$B$14,Paramètres!$A$1:$I$89,3,0)*VLOOKUP('Données projet'!$B$14,Paramètres!$A$1:$I$89,5,0)</f>
        <v>1.4897523215040565E-13</v>
      </c>
      <c r="DQ94" s="13">
        <f t="shared" si="97"/>
        <v>2.136562777003313E-12</v>
      </c>
      <c r="DR94" s="20">
        <f t="shared" si="70"/>
        <v>3.9806453659427267E-12</v>
      </c>
      <c r="DS94" s="59">
        <f t="shared" si="71"/>
        <v>293.33333333333729</v>
      </c>
      <c r="DT94" s="59">
        <f ca="1">AVERAGE(OFFSET($DS$3,0,0,'Données projet'!$E$14+1,1))-AVERAGE(OFFSET($H$3,0,0,'Données projet'!$E$14+1,1))</f>
        <v>181.4272795535777</v>
      </c>
      <c r="DU94" s="59">
        <f t="shared" si="98"/>
        <v>187.67131775419904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16.574000091937176</v>
      </c>
      <c r="EB94" s="21">
        <f>EXP(-LN(2)/25)*EB93+(1-EXP(-LN(2)/25))/(LN(2)/25)*Calculateur!DW94*Calculateur!DY94*VLOOKUP('Données projet'!$B$14,Paramètres!$A$1:$I$89,3,0)*0.475*44/12</f>
        <v>17.549214920585126</v>
      </c>
      <c r="EC94" s="21">
        <f>EXP(-LN(2)/2)*EC93+(1-EXP(-LN(2)/2))/(LN(2)/2)*DW94*DZ94*VLOOKUP('Données projet'!$B$14,Paramètres!$A$1:$I$89,3,0)*0.475*44/12</f>
        <v>17.742673606374819</v>
      </c>
      <c r="ED94" s="22">
        <f t="shared" si="72"/>
        <v>51.865888618897117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1.1368683772161603E-13</v>
      </c>
      <c r="EK94" s="17">
        <f>EJ94*VLOOKUP('Données projet'!$B$15,Paramètres!$A$1:$I$89,3,0)*VLOOKUP('Données projet'!$B$15,Paramètres!$A$1:$I$89,5,0)</f>
        <v>9.2222762759774927E-14</v>
      </c>
      <c r="EL94" s="13">
        <f t="shared" si="99"/>
        <v>1.3985662224947967E-12</v>
      </c>
      <c r="EM94" s="20">
        <f t="shared" si="73"/>
        <v>2.5964574826517121E-12</v>
      </c>
      <c r="EN94" s="59">
        <f t="shared" si="74"/>
        <v>293.33333333333593</v>
      </c>
      <c r="EO94" s="59">
        <f ca="1">AVERAGE(OFFSET($EN$3,0,0,'Données projet'!$E$15+1,1))-AVERAGE(OFFSET($H$3,0,0,'Données projet'!$E$15+1,1))</f>
        <v>159.68591355116837</v>
      </c>
      <c r="EP94" s="59">
        <f t="shared" si="100"/>
        <v>284.32631786390112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5.3116226391316248</v>
      </c>
      <c r="EW94" s="21">
        <f>EXP(-LN(2)/25)*EW93+(1-EXP(-LN(2)/25))/(LN(2)/25)*Calculateur!ER94*Calculateur!ET94*VLOOKUP('Données projet'!$B$15,Paramètres!$A$1:$I$89,3,0)*0.475*44/12</f>
        <v>4.6979298087079888</v>
      </c>
      <c r="EX94" s="21">
        <f>EXP(-LN(2)/2)*EX93+(1-EXP(-LN(2)/2))/(LN(2)/2)*ER94*EU94*VLOOKUP('Données projet'!$B$15,Paramètres!$A$1:$I$89,3,0)*0.475*44/12</f>
        <v>6.1496707731294187E-7</v>
      </c>
      <c r="EY94" s="22">
        <f t="shared" si="75"/>
        <v>10.009553062806692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-1.3567387213697657E-13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299.10536994156814</v>
      </c>
      <c r="FK94" s="59">
        <f t="shared" si="102"/>
        <v>292.57799203101769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32.671223577697603</v>
      </c>
      <c r="FR94" s="21">
        <f>EXP(-LN(2)/25)*FR93+(1-EXP(-LN(2)/25))/(LN(2)/25)*Calculateur!FM94*Calculateur!FO94*VLOOKUP('Données projet'!$B$16,Paramètres!$A$1:$I$89,3,0)*0.475*44/12</f>
        <v>31.226550396719972</v>
      </c>
      <c r="FS94" s="21">
        <f>EXP(-LN(2)/2)*FS93+(1-EXP(-LN(2)/2))/(LN(2)/2)*FM94*FP94*VLOOKUP('Données projet'!$B$16,Paramètres!$A$1:$I$89,3,0)*0.475*44/12</f>
        <v>1.1486051808328219</v>
      </c>
      <c r="FT94" s="22">
        <f t="shared" si="78"/>
        <v>65.046379155250392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5.6843418860808015E-14</v>
      </c>
      <c r="GA94" s="17">
        <f>FZ94*VLOOKUP('Données projet'!$B$17,Paramètres!$A$1:$I$89,3,0)*VLOOKUP('Données projet'!$B$17,Paramètres!$A$1:$I$89,5,0)</f>
        <v>5.1431925385259088E-14</v>
      </c>
      <c r="GB94" s="13">
        <f t="shared" si="103"/>
        <v>8.3482866290946129E-13</v>
      </c>
      <c r="GC94" s="20">
        <f t="shared" si="79"/>
        <v>1.5435705246133045E-12</v>
      </c>
      <c r="GD94" s="59">
        <f t="shared" si="80"/>
        <v>293.33333333333485</v>
      </c>
      <c r="GE94" s="59">
        <f ca="1">AVERAGE(OFFSET($GD$3,0,0,'Données projet'!$E$17+1,1))-AVERAGE(OFFSET($H$3,0,0,'Données projet'!$E$17+1,1))</f>
        <v>204.78565758021779</v>
      </c>
      <c r="GF94" s="59">
        <f t="shared" si="104"/>
        <v>287.25131613242439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6.2768681792543468</v>
      </c>
      <c r="GM94" s="21">
        <f>EXP(-LN(2)/25)*GM93+(1-EXP(-LN(2)/25))/(LN(2)/25)*Calculateur!GH94*Calculateur!GJ94*VLOOKUP('Données projet'!$B$17,Paramètres!$A$1:$I$89,3,0)*0.475*44/12</f>
        <v>3.6917967843315611</v>
      </c>
      <c r="GN94" s="21">
        <f>EXP(-LN(2)/2)*GN93+(1-EXP(-LN(2)/2))/(LN(2)/2)*GH94*GK94*VLOOKUP('Données projet'!$B$17,Paramètres!$A$1:$I$89,3,0)*0.475*44/12</f>
        <v>1.6439663629379696E-6</v>
      </c>
      <c r="GO94" s="21">
        <f t="shared" si="81"/>
        <v>9.9686666075522705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5.6843418860808015E-14</v>
      </c>
      <c r="GV94" s="17">
        <f>GU94*VLOOKUP('Données projet'!$B$18,Paramètres!$A$1:$I$89,3,0)*VLOOKUP('Données projet'!$B$18,Paramètres!$A$1:$I$89,5,0)</f>
        <v>4.4337866711430253E-14</v>
      </c>
      <c r="GW94" s="13">
        <f t="shared" si="105"/>
        <v>7.3222115536967035E-13</v>
      </c>
      <c r="GX94" s="20">
        <f t="shared" si="82"/>
        <v>1.3525069634579169E-12</v>
      </c>
      <c r="GY94" s="59">
        <f t="shared" si="83"/>
        <v>293.33333333333468</v>
      </c>
      <c r="GZ94" s="59">
        <f ca="1">AVERAGE(OFFSET($GY$3,0,0,'Données projet'!$E$18+1,1))-AVERAGE(OFFSET($H$3,0,0,'Données projet'!$E$18+1,1))</f>
        <v>288.82868507674738</v>
      </c>
      <c r="HA94" s="59">
        <f t="shared" si="106"/>
        <v>283.48738729114024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27.812194648564741</v>
      </c>
      <c r="HH94" s="21">
        <f>EXP(-LN(2)/25)*HH93+(1-EXP(-LN(2)/25))/(LN(2)/25)*Calculateur!HC94*Calculateur!HE94*VLOOKUP('Données projet'!$B$18,Paramètres!$A$1:$I$89,3,0)*0.475*44/12</f>
        <v>23.003559051955797</v>
      </c>
      <c r="HI94" s="21">
        <f>EXP(-LN(2)/2)*HI93+(1-EXP(-LN(2)/2))/(LN(2)/2)*HC94*HF94*VLOOKUP('Données projet'!$B$18,Paramètres!$A$1:$I$89,3,0)*0.475*44/12</f>
        <v>2.9666026197892326E-2</v>
      </c>
      <c r="HJ94" s="22">
        <f t="shared" si="84"/>
        <v>50.845419726718433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349.71285006949597</v>
      </c>
      <c r="T95" s="59">
        <f t="shared" si="88"/>
        <v>258.51550516456842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120.84806619840442</v>
      </c>
      <c r="AA95" s="21">
        <f>EXP(-LN(2)/25)*AA94+(1-EXP(-LN(2)/25))/(LN(2)/25)*Calculateur!V95*Calculateur!X95*VLOOKUP('Données projet'!$B$9,Paramètres!$A$1:$I$89,3,0)*0.475*44/12</f>
        <v>37.099557450363797</v>
      </c>
      <c r="AB95" s="21">
        <f>EXP(-LN(2)/2)*AB94+(1-EXP(-LN(2)/2))/(LN(2)/2)*V95*Y95*VLOOKUP('Données projet'!$B$9,Paramètres!$A$1:$I$89,3,0)*0.475*44/12</f>
        <v>1.104947543768886</v>
      </c>
      <c r="AC95" s="22">
        <f t="shared" si="57"/>
        <v>159.0525711925371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9.2740000000000009</v>
      </c>
      <c r="AI95" s="13">
        <f>IF('Données projet'!$A$62&gt;35,AI94+AH95-AQ94,IF(A95&lt;'Données projet'!$A$62,$AF$205^A95,IF(A95='Données projet'!$A$62,'Données projet'!$B$62,AI94+AH95-AQ94)))</f>
        <v>339.59599999999989</v>
      </c>
      <c r="AJ95" s="13">
        <f>AI95*VLOOKUP('Données projet'!$B$10,Paramètres!$A$1:$I$89,3,0)*VLOOKUP('Données projet'!$B$10,Paramètres!$A$1:$I$89,5,0)</f>
        <v>323.15955359999992</v>
      </c>
      <c r="AK95" s="13">
        <f t="shared" si="89"/>
        <v>76.010383841911221</v>
      </c>
      <c r="AL95" s="20">
        <f t="shared" si="58"/>
        <v>695.22097437799528</v>
      </c>
      <c r="AM95" s="59">
        <f t="shared" si="59"/>
        <v>988.55430771132865</v>
      </c>
      <c r="AN95" s="59">
        <f ca="1">AVERAGE(OFFSET($AM$3,0,0,'Données projet'!$E$10+1,1))-AVERAGE(OFFSET($H$3,0,0,'Données projet'!$E$10+1,1))</f>
        <v>449.28947235329758</v>
      </c>
      <c r="AO95" s="59">
        <f t="shared" si="90"/>
        <v>289.36994109443964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22.274341570075759</v>
      </c>
      <c r="AV95" s="21">
        <f>EXP(-LN(2)/25)*AV94+(1-EXP(-LN(2)/25))/(LN(2)/25)*Calculateur!AQ95*Calculateur!AS95*VLOOKUP('Données projet'!$B$10,Paramètres!$A$1:$I$89,3,0)*0.475*44/12</f>
        <v>20.558083938136285</v>
      </c>
      <c r="AW95" s="21">
        <f>EXP(-LN(2)/2)*AW94+(1-EXP(-LN(2)/2))/(LN(2)/2)*AQ95*AT95*VLOOKUP('Données projet'!$B$10,Paramètres!$A$1:$I$89,3,0)*0.475*44/12</f>
        <v>0.20981916317943991</v>
      </c>
      <c r="AX95" s="21">
        <f t="shared" si="60"/>
        <v>43.042244671391479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327.34216320000047</v>
      </c>
      <c r="BF95" s="13">
        <f t="shared" si="91"/>
        <v>76.87901071885527</v>
      </c>
      <c r="BG95" s="20">
        <f t="shared" si="61"/>
        <v>704.01854457534034</v>
      </c>
      <c r="BH95" s="59">
        <f t="shared" si="62"/>
        <v>997.35187790867371</v>
      </c>
      <c r="BI95" s="59">
        <f ca="1">AVERAGE(OFFSET($BH$3,0,0,'Données projet'!$E$11+1,1))-AVERAGE(OFFSET($H$3,0,0,'Données projet'!$E$11+1,1))</f>
        <v>635.71275911100679</v>
      </c>
      <c r="BJ95" s="59">
        <f t="shared" si="92"/>
        <v>281.7776857269169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18.807855882774124</v>
      </c>
      <c r="BQ95" s="21">
        <f>EXP(-LN(2)/25)*BQ94+(1-EXP(-LN(2)/25))/(LN(2)/25)*Calculateur!BL95*Calculateur!BN95*VLOOKUP('Données projet'!$B$11,Paramètres!$A$1:$I$89,3,0)*0.475*44/12</f>
        <v>23.694467254785252</v>
      </c>
      <c r="BR95" s="21">
        <f>EXP(-LN(2)/2)*BR94+(1-EXP(-LN(2)/2))/(LN(2)/2)*BL95*BO95*VLOOKUP('Données projet'!$B$11,Paramètres!$A$1:$I$89,3,0)*0.475*44/12</f>
        <v>0.36501946550580738</v>
      </c>
      <c r="BS95" s="22">
        <f t="shared" si="63"/>
        <v>42.867342603065183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6.7600000000000007</v>
      </c>
      <c r="BY95" s="12">
        <f>IF('Données projet'!$A$114&gt;35,BY94+BX95-CG94,IF(A95&lt;'Données projet'!$A$114,$BV$205^A95,IF(A95='Données projet'!$A$114,'Données projet'!$B$114,BY94+BX95-CG94)))</f>
        <v>232.28999999999991</v>
      </c>
      <c r="BZ95" s="13">
        <f>BY95*VLOOKUP('Données projet'!$B$12,Paramètres!$A$1:$I$89,3,0)*VLOOKUP('Données projet'!$B$12,Paramètres!$A$1:$I$89,5,0)</f>
        <v>264.5318519999999</v>
      </c>
      <c r="CA95" s="13">
        <f t="shared" si="93"/>
        <v>63.687412010040255</v>
      </c>
      <c r="CB95" s="20">
        <f t="shared" si="64"/>
        <v>571.64855148415324</v>
      </c>
      <c r="CC95" s="59">
        <f t="shared" si="65"/>
        <v>864.98188481748662</v>
      </c>
      <c r="CD95" s="59">
        <f ca="1">AVERAGE(OFFSET($CC$3,0,0,'Données projet'!$E$12+1,1))-AVERAGE(OFFSET($H$3,0,0,'Données projet'!$E$12+1,1))</f>
        <v>593.28343396240075</v>
      </c>
      <c r="CE95" s="59">
        <f t="shared" si="94"/>
        <v>289.66477662068695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6.3156811300612565</v>
      </c>
      <c r="CL95" s="21">
        <f>EXP(-LN(2)/25)*CL94+(1-EXP(-LN(2)/25))/(LN(2)/25)*Calculateur!CG95*Calculateur!CI95*VLOOKUP('Données projet'!$B$12,Paramètres!$A$1:$I$89,3,0)*0.475*44/12</f>
        <v>35.659021329532486</v>
      </c>
      <c r="CM95" s="21">
        <f>EXP(-LN(2)/2)*CM94+(1-EXP(-LN(2)/2))/(LN(2)/2)*CG95*CJ95*VLOOKUP('Données projet'!$B$12,Paramètres!$A$1:$I$89,3,0)*0.475*44/12</f>
        <v>0.54787910465848888</v>
      </c>
      <c r="CN95" s="22">
        <f t="shared" si="66"/>
        <v>42.522581564252235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2.2737367544323206E-13</v>
      </c>
      <c r="CU95" s="17">
        <f>CT95*VLOOKUP('Données projet'!$B$13,Paramètres!$A$1:$I$89,3,0)*VLOOKUP('Données projet'!$B$13,Paramètres!$A$1:$I$89,5,0)</f>
        <v>2.3765096557326618E-13</v>
      </c>
      <c r="CV95" s="13">
        <f t="shared" si="95"/>
        <v>3.2279907425805489E-12</v>
      </c>
      <c r="CW95" s="20">
        <f t="shared" si="67"/>
        <v>6.0359926417012276E-12</v>
      </c>
      <c r="CX95" s="59">
        <f t="shared" si="68"/>
        <v>293.33333333333934</v>
      </c>
      <c r="CY95" s="59">
        <f ca="1">AVERAGE(OFFSET($CX$3,0,0,'Données projet'!$E$13+1,1))-AVERAGE(OFFSET($H$3,0,0,'Données projet'!$E$13+1,1))</f>
        <v>260.65406541614402</v>
      </c>
      <c r="CZ95" s="59">
        <f t="shared" si="96"/>
        <v>277.63456890196886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17.315048187724138</v>
      </c>
      <c r="DG95" s="21">
        <f>EXP(-LN(2)/25)*DG94+(1-EXP(-LN(2)/25))/(LN(2)/25)*Calculateur!DB95*Calculateur!DD95*VLOOKUP('Données projet'!$B$13,Paramètres!$A$1:$I$89,3,0)*0.475*44/12</f>
        <v>46.867378463836296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64.182426651560434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2.2737367544323206E-13</v>
      </c>
      <c r="DP95" s="17">
        <f>DO95*VLOOKUP('Données projet'!$B$14,Paramètres!$A$1:$I$89,3,0)*VLOOKUP('Données projet'!$B$14,Paramètres!$A$1:$I$89,5,0)</f>
        <v>1.4897523215040565E-13</v>
      </c>
      <c r="DQ95" s="13">
        <f t="shared" si="97"/>
        <v>2.136562777003313E-12</v>
      </c>
      <c r="DR95" s="20">
        <f t="shared" si="70"/>
        <v>3.9806453659427267E-12</v>
      </c>
      <c r="DS95" s="59">
        <f t="shared" si="71"/>
        <v>293.33333333333729</v>
      </c>
      <c r="DT95" s="59">
        <f ca="1">AVERAGE(OFFSET($DS$3,0,0,'Données projet'!$E$14+1,1))-AVERAGE(OFFSET($H$3,0,0,'Données projet'!$E$14+1,1))</f>
        <v>181.4272795535777</v>
      </c>
      <c r="DU95" s="59">
        <f t="shared" si="98"/>
        <v>187.67131775419904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16.24899405927615</v>
      </c>
      <c r="EB95" s="21">
        <f>EXP(-LN(2)/25)*EB94+(1-EXP(-LN(2)/25))/(LN(2)/25)*Calculateur!DW95*Calculateur!DY95*VLOOKUP('Données projet'!$B$14,Paramètres!$A$1:$I$89,3,0)*0.475*44/12</f>
        <v>17.06933071570862</v>
      </c>
      <c r="EC95" s="21">
        <f>EXP(-LN(2)/2)*EC94+(1-EXP(-LN(2)/2))/(LN(2)/2)*DW95*DZ95*VLOOKUP('Données projet'!$B$14,Paramètres!$A$1:$I$89,3,0)*0.475*44/12</f>
        <v>12.545964823447212</v>
      </c>
      <c r="ED95" s="22">
        <f t="shared" si="72"/>
        <v>45.864289598431988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1.1368683772161603E-13</v>
      </c>
      <c r="EK95" s="17">
        <f>EJ95*VLOOKUP('Données projet'!$B$15,Paramètres!$A$1:$I$89,3,0)*VLOOKUP('Données projet'!$B$15,Paramètres!$A$1:$I$89,5,0)</f>
        <v>9.2222762759774927E-14</v>
      </c>
      <c r="EL95" s="13">
        <f t="shared" si="99"/>
        <v>1.3985662224947967E-12</v>
      </c>
      <c r="EM95" s="20">
        <f t="shared" si="73"/>
        <v>2.5964574826517121E-12</v>
      </c>
      <c r="EN95" s="59">
        <f t="shared" si="74"/>
        <v>293.33333333333593</v>
      </c>
      <c r="EO95" s="59">
        <f ca="1">AVERAGE(OFFSET($EN$3,0,0,'Données projet'!$E$15+1,1))-AVERAGE(OFFSET($H$3,0,0,'Données projet'!$E$15+1,1))</f>
        <v>159.68591355116837</v>
      </c>
      <c r="EP95" s="59">
        <f t="shared" si="100"/>
        <v>284.32631786390112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5.2074649589481625</v>
      </c>
      <c r="EW95" s="21">
        <f>EXP(-LN(2)/25)*EW94+(1-EXP(-LN(2)/25))/(LN(2)/25)*Calculateur!ER95*Calculateur!ET95*VLOOKUP('Données projet'!$B$15,Paramètres!$A$1:$I$89,3,0)*0.475*44/12</f>
        <v>4.5694646710354778</v>
      </c>
      <c r="EX95" s="21">
        <f>EXP(-LN(2)/2)*EX94+(1-EXP(-LN(2)/2))/(LN(2)/2)*ER95*EU95*VLOOKUP('Données projet'!$B$15,Paramètres!$A$1:$I$89,3,0)*0.475*44/12</f>
        <v>4.3484739057445305E-7</v>
      </c>
      <c r="EY95" s="22">
        <f t="shared" si="75"/>
        <v>9.7769300648310313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-1.3567387213697657E-13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299.10536994156814</v>
      </c>
      <c r="FK95" s="59">
        <f t="shared" si="102"/>
        <v>292.57799203101769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32.030560810817661</v>
      </c>
      <c r="FR95" s="21">
        <f>EXP(-LN(2)/25)*FR94+(1-EXP(-LN(2)/25))/(LN(2)/25)*Calculateur!FM95*Calculateur!FO95*VLOOKUP('Données projet'!$B$16,Paramètres!$A$1:$I$89,3,0)*0.475*44/12</f>
        <v>30.372658733988747</v>
      </c>
      <c r="FS95" s="21">
        <f>EXP(-LN(2)/2)*FS94+(1-EXP(-LN(2)/2))/(LN(2)/2)*FM95*FP95*VLOOKUP('Données projet'!$B$16,Paramètres!$A$1:$I$89,3,0)*0.475*44/12</f>
        <v>0.81218651227288907</v>
      </c>
      <c r="FT95" s="22">
        <f t="shared" si="78"/>
        <v>63.215406057079292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5.6843418860808015E-14</v>
      </c>
      <c r="GA95" s="17">
        <f>FZ95*VLOOKUP('Données projet'!$B$17,Paramètres!$A$1:$I$89,3,0)*VLOOKUP('Données projet'!$B$17,Paramètres!$A$1:$I$89,5,0)</f>
        <v>5.1431925385259088E-14</v>
      </c>
      <c r="GB95" s="13">
        <f t="shared" si="103"/>
        <v>8.3482866290946129E-13</v>
      </c>
      <c r="GC95" s="20">
        <f t="shared" si="79"/>
        <v>1.5435705246133045E-12</v>
      </c>
      <c r="GD95" s="59">
        <f t="shared" si="80"/>
        <v>293.33333333333485</v>
      </c>
      <c r="GE95" s="59">
        <f ca="1">AVERAGE(OFFSET($GD$3,0,0,'Données projet'!$E$17+1,1))-AVERAGE(OFFSET($H$3,0,0,'Données projet'!$E$17+1,1))</f>
        <v>204.78565758021779</v>
      </c>
      <c r="GF95" s="59">
        <f t="shared" si="104"/>
        <v>287.25131613242439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6.1537826227707244</v>
      </c>
      <c r="GM95" s="21">
        <f>EXP(-LN(2)/25)*GM94+(1-EXP(-LN(2)/25))/(LN(2)/25)*Calculateur!GH95*Calculateur!GJ95*VLOOKUP('Données projet'!$B$17,Paramètres!$A$1:$I$89,3,0)*0.475*44/12</f>
        <v>3.5908444071208594</v>
      </c>
      <c r="GN95" s="21">
        <f>EXP(-LN(2)/2)*GN94+(1-EXP(-LN(2)/2))/(LN(2)/2)*GH95*GK95*VLOOKUP('Données projet'!$B$17,Paramètres!$A$1:$I$89,3,0)*0.475*44/12</f>
        <v>1.1624597632760232E-6</v>
      </c>
      <c r="GO95" s="21">
        <f t="shared" si="81"/>
        <v>9.7446281923513478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5.6843418860808015E-14</v>
      </c>
      <c r="GV95" s="17">
        <f>GU95*VLOOKUP('Données projet'!$B$18,Paramètres!$A$1:$I$89,3,0)*VLOOKUP('Données projet'!$B$18,Paramètres!$A$1:$I$89,5,0)</f>
        <v>4.4337866711430253E-14</v>
      </c>
      <c r="GW95" s="13">
        <f t="shared" si="105"/>
        <v>7.3222115536967035E-13</v>
      </c>
      <c r="GX95" s="20">
        <f t="shared" si="82"/>
        <v>1.3525069634579169E-12</v>
      </c>
      <c r="GY95" s="59">
        <f t="shared" si="83"/>
        <v>293.33333333333468</v>
      </c>
      <c r="GZ95" s="59">
        <f ca="1">AVERAGE(OFFSET($GY$3,0,0,'Données projet'!$E$18+1,1))-AVERAGE(OFFSET($H$3,0,0,'Données projet'!$E$18+1,1))</f>
        <v>288.82868507674738</v>
      </c>
      <c r="HA95" s="59">
        <f t="shared" si="106"/>
        <v>283.48738729114024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27.266814475270088</v>
      </c>
      <c r="HH95" s="21">
        <f>EXP(-LN(2)/25)*HH94+(1-EXP(-LN(2)/25))/(LN(2)/25)*Calculateur!HC95*Calculateur!HE95*VLOOKUP('Données projet'!$B$18,Paramètres!$A$1:$I$89,3,0)*0.475*44/12</f>
        <v>22.374525519975471</v>
      </c>
      <c r="HI95" s="21">
        <f>EXP(-LN(2)/2)*HI94+(1-EXP(-LN(2)/2))/(LN(2)/2)*HC95*HF95*VLOOKUP('Données projet'!$B$18,Paramètres!$A$1:$I$89,3,0)*0.475*44/12</f>
        <v>2.0977048295387435E-2</v>
      </c>
      <c r="HJ95" s="22">
        <f t="shared" si="84"/>
        <v>49.662317043540945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349.71285006949597</v>
      </c>
      <c r="T96" s="59">
        <f t="shared" si="88"/>
        <v>258.51550516456842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118.47830933029583</v>
      </c>
      <c r="AA96" s="21">
        <f>EXP(-LN(2)/25)*AA95+(1-EXP(-LN(2)/25))/(LN(2)/25)*Calculateur!V96*Calculateur!X96*VLOOKUP('Données projet'!$B$9,Paramètres!$A$1:$I$89,3,0)*0.475*44/12</f>
        <v>36.085068100902667</v>
      </c>
      <c r="AB96" s="21">
        <f>EXP(-LN(2)/2)*AB95+(1-EXP(-LN(2)/2))/(LN(2)/2)*V96*Y96*VLOOKUP('Données projet'!$B$9,Paramètres!$A$1:$I$89,3,0)*0.475*44/12</f>
        <v>0.78131590105439885</v>
      </c>
      <c r="AC96" s="22">
        <f t="shared" si="57"/>
        <v>155.34469333225289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348.87</v>
      </c>
      <c r="AG96" s="12">
        <f>VLOOKUP(A96,'Données projet'!$A$61:$I$81,9,0)</f>
        <v>9.2740000000000009</v>
      </c>
      <c r="AH96" s="12">
        <f t="array" ref="AH96">INDEX(AG:AG,MIN(IF(ISNUMBER(AG96:AG292),ROW(AG96:AG292),"")))</f>
        <v>9.2740000000000009</v>
      </c>
      <c r="AI96" s="13">
        <f>IF('Données projet'!$A$62&gt;35,AI95+AH96-AQ95,IF(A96&lt;'Données projet'!$A$62,$AF$205^A96,IF(A96='Données projet'!$A$62,'Données projet'!$B$62,AI95+AH96-AQ95)))</f>
        <v>348.86999999999989</v>
      </c>
      <c r="AJ96" s="13">
        <f>AI96*VLOOKUP('Données projet'!$B$10,Paramètres!$A$1:$I$89,3,0)*VLOOKUP('Données projet'!$B$10,Paramètres!$A$1:$I$89,5,0)</f>
        <v>331.98469199999994</v>
      </c>
      <c r="AK96" s="13">
        <f t="shared" si="89"/>
        <v>77.841640752593847</v>
      </c>
      <c r="AL96" s="20">
        <f t="shared" si="58"/>
        <v>713.78086287743406</v>
      </c>
      <c r="AM96" s="59">
        <f t="shared" si="59"/>
        <v>1007.1141962107674</v>
      </c>
      <c r="AN96" s="59">
        <f ca="1">AVERAGE(OFFSET($AM$3,0,0,'Données projet'!$E$10+1,1))-AVERAGE(OFFSET($H$3,0,0,'Données projet'!$E$10+1,1))</f>
        <v>449.28947235329758</v>
      </c>
      <c r="AO96" s="59">
        <f t="shared" si="90"/>
        <v>289.36994109443964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67.45999999999998</v>
      </c>
      <c r="AR96" s="16">
        <f>IF(ISNA(VLOOKUP(A96,'Données projet'!$A$61:$I$81,5,0)),0%,VLOOKUP(A96,'Données projet'!$A$61:$I$81,5,0)*VLOOKUP('Données projet'!$B$10,Paramètres!$A$1:$I$89,7,0))</f>
        <v>0.215</v>
      </c>
      <c r="AS96" s="16">
        <f>IF(ISNA(VLOOKUP(A96,'Données projet'!$A$61:$I$81,6,0)),0%,VLOOKUP(A96,'Données projet'!$A$61:$I$81,6,0)*VLOOKUP('Données projet'!$B$10,Paramètres!$A$1:$I$89,7,0))</f>
        <v>8.6000000000000007E-2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37.095159374656312</v>
      </c>
      <c r="AV96" s="21">
        <f>EXP(-LN(2)/25)*AV95+(1-EXP(-LN(2)/25))/(LN(2)/25)*Calculateur!AQ96*Calculateur!AS96*VLOOKUP('Données projet'!$B$10,Paramètres!$A$1:$I$89,3,0)*0.475*44/12</f>
        <v>26.074933674140695</v>
      </c>
      <c r="AW96" s="21">
        <f>EXP(-LN(2)/2)*AW95+(1-EXP(-LN(2)/2))/(LN(2)/2)*AQ96*AT96*VLOOKUP('Données projet'!$B$10,Paramètres!$A$1:$I$89,3,0)*0.475*44/12</f>
        <v>0.14836455310706873</v>
      </c>
      <c r="AX96" s="21">
        <f t="shared" si="60"/>
        <v>63.318457601904079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335.64189360000046</v>
      </c>
      <c r="BF96" s="13">
        <f t="shared" si="91"/>
        <v>78.598859108522404</v>
      </c>
      <c r="BG96" s="20">
        <f t="shared" si="61"/>
        <v>721.46931096734397</v>
      </c>
      <c r="BH96" s="59">
        <f t="shared" si="62"/>
        <v>1014.8026443006772</v>
      </c>
      <c r="BI96" s="59">
        <f ca="1">AVERAGE(OFFSET($BH$3,0,0,'Données projet'!$E$11+1,1))-AVERAGE(OFFSET($H$3,0,0,'Données projet'!$E$11+1,1))</f>
        <v>635.71275911100679</v>
      </c>
      <c r="BJ96" s="59">
        <f t="shared" si="92"/>
        <v>281.7776857269169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18.439045300572278</v>
      </c>
      <c r="BQ96" s="21">
        <f>EXP(-LN(2)/25)*BQ95+(1-EXP(-LN(2)/25))/(LN(2)/25)*Calculateur!BL96*Calculateur!BN96*VLOOKUP('Données projet'!$B$11,Paramètres!$A$1:$I$89,3,0)*0.475*44/12</f>
        <v>23.04654080166527</v>
      </c>
      <c r="BR96" s="21">
        <f>EXP(-LN(2)/2)*BR95+(1-EXP(-LN(2)/2))/(LN(2)/2)*BL96*BO96*VLOOKUP('Données projet'!$B$11,Paramètres!$A$1:$I$89,3,0)*0.475*44/12</f>
        <v>0.25810773932424547</v>
      </c>
      <c r="BS96" s="22">
        <f t="shared" si="63"/>
        <v>41.743693841561793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6.7600000000000007</v>
      </c>
      <c r="BY96" s="12">
        <f>IF('Données projet'!$A$114&gt;35,BY95+BX96-CG95,IF(A96&lt;'Données projet'!$A$114,$BV$205^A96,IF(A96='Données projet'!$A$114,'Données projet'!$B$114,BY95+BX96-CG95)))</f>
        <v>239.0499999999999</v>
      </c>
      <c r="BZ96" s="13">
        <f>BY96*VLOOKUP('Données projet'!$B$12,Paramètres!$A$1:$I$89,3,0)*VLOOKUP('Données projet'!$B$12,Paramètres!$A$1:$I$89,5,0)</f>
        <v>272.23013999999989</v>
      </c>
      <c r="CA96" s="13">
        <f t="shared" si="93"/>
        <v>65.322334456608132</v>
      </c>
      <c r="CB96" s="20">
        <f t="shared" si="64"/>
        <v>587.90389301192556</v>
      </c>
      <c r="CC96" s="59">
        <f t="shared" si="65"/>
        <v>881.23722634525893</v>
      </c>
      <c r="CD96" s="59">
        <f ca="1">AVERAGE(OFFSET($CC$3,0,0,'Données projet'!$E$12+1,1))-AVERAGE(OFFSET($H$3,0,0,'Données projet'!$E$12+1,1))</f>
        <v>593.28343396240075</v>
      </c>
      <c r="CE96" s="59">
        <f t="shared" si="94"/>
        <v>289.66477662068695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6.1918344752858729</v>
      </c>
      <c r="CL96" s="21">
        <f>EXP(-LN(2)/25)*CL95+(1-EXP(-LN(2)/25))/(LN(2)/25)*Calculateur!CG96*Calculateur!CI96*VLOOKUP('Données projet'!$B$12,Paramètres!$A$1:$I$89,3,0)*0.475*44/12</f>
        <v>34.683923516049987</v>
      </c>
      <c r="CM96" s="21">
        <f>EXP(-LN(2)/2)*CM95+(1-EXP(-LN(2)/2))/(LN(2)/2)*CG96*CJ96*VLOOKUP('Données projet'!$B$12,Paramètres!$A$1:$I$89,3,0)*0.475*44/12</f>
        <v>0.38740903017443168</v>
      </c>
      <c r="CN96" s="22">
        <f t="shared" si="66"/>
        <v>41.263167021510291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2.2737367544323206E-13</v>
      </c>
      <c r="CU96" s="17">
        <f>CT96*VLOOKUP('Données projet'!$B$13,Paramètres!$A$1:$I$89,3,0)*VLOOKUP('Données projet'!$B$13,Paramètres!$A$1:$I$89,5,0)</f>
        <v>2.3765096557326618E-13</v>
      </c>
      <c r="CV96" s="13">
        <f t="shared" si="95"/>
        <v>3.2279907425805489E-12</v>
      </c>
      <c r="CW96" s="20">
        <f t="shared" si="67"/>
        <v>6.0359926417012276E-12</v>
      </c>
      <c r="CX96" s="59">
        <f t="shared" si="68"/>
        <v>293.33333333333934</v>
      </c>
      <c r="CY96" s="59">
        <f ca="1">AVERAGE(OFFSET($CX$3,0,0,'Données projet'!$E$13+1,1))-AVERAGE(OFFSET($H$3,0,0,'Données projet'!$E$13+1,1))</f>
        <v>260.65406541614402</v>
      </c>
      <c r="CZ96" s="59">
        <f t="shared" si="96"/>
        <v>277.63456890196886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16.975510653899438</v>
      </c>
      <c r="DG96" s="21">
        <f>EXP(-LN(2)/25)*DG95+(1-EXP(-LN(2)/25))/(LN(2)/25)*Calculateur!DB96*Calculateur!DD96*VLOOKUP('Données projet'!$B$13,Paramètres!$A$1:$I$89,3,0)*0.475*44/12</f>
        <v>45.585787535094376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62.561298188993817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2.2737367544323206E-13</v>
      </c>
      <c r="DP96" s="17">
        <f>DO96*VLOOKUP('Données projet'!$B$14,Paramètres!$A$1:$I$89,3,0)*VLOOKUP('Données projet'!$B$14,Paramètres!$A$1:$I$89,5,0)</f>
        <v>1.4897523215040565E-13</v>
      </c>
      <c r="DQ96" s="13">
        <f t="shared" si="97"/>
        <v>2.136562777003313E-12</v>
      </c>
      <c r="DR96" s="20">
        <f t="shared" si="70"/>
        <v>3.9806453659427267E-12</v>
      </c>
      <c r="DS96" s="59">
        <f t="shared" si="71"/>
        <v>293.33333333333729</v>
      </c>
      <c r="DT96" s="59">
        <f ca="1">AVERAGE(OFFSET($DS$3,0,0,'Données projet'!$E$14+1,1))-AVERAGE(OFFSET($H$3,0,0,'Données projet'!$E$14+1,1))</f>
        <v>181.4272795535777</v>
      </c>
      <c r="DU96" s="59">
        <f t="shared" si="98"/>
        <v>187.67131775419904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15.930361196681499</v>
      </c>
      <c r="EB96" s="21">
        <f>EXP(-LN(2)/25)*EB95+(1-EXP(-LN(2)/25))/(LN(2)/25)*Calculateur!DW96*Calculateur!DY96*VLOOKUP('Données projet'!$B$14,Paramètres!$A$1:$I$89,3,0)*0.475*44/12</f>
        <v>16.602568969650477</v>
      </c>
      <c r="EC96" s="21">
        <f>EXP(-LN(2)/2)*EC95+(1-EXP(-LN(2)/2))/(LN(2)/2)*DW96*DZ96*VLOOKUP('Données projet'!$B$14,Paramètres!$A$1:$I$89,3,0)*0.475*44/12</f>
        <v>8.8713368031874111</v>
      </c>
      <c r="ED96" s="22">
        <f t="shared" si="72"/>
        <v>41.404266969519391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1.1368683772161603E-13</v>
      </c>
      <c r="EK96" s="17">
        <f>EJ96*VLOOKUP('Données projet'!$B$15,Paramètres!$A$1:$I$89,3,0)*VLOOKUP('Données projet'!$B$15,Paramètres!$A$1:$I$89,5,0)</f>
        <v>9.2222762759774927E-14</v>
      </c>
      <c r="EL96" s="13">
        <f t="shared" si="99"/>
        <v>1.3985662224947967E-12</v>
      </c>
      <c r="EM96" s="20">
        <f t="shared" si="73"/>
        <v>2.5964574826517121E-12</v>
      </c>
      <c r="EN96" s="59">
        <f t="shared" si="74"/>
        <v>293.33333333333593</v>
      </c>
      <c r="EO96" s="59">
        <f ca="1">AVERAGE(OFFSET($EN$3,0,0,'Données projet'!$E$15+1,1))-AVERAGE(OFFSET($H$3,0,0,'Données projet'!$E$15+1,1))</f>
        <v>159.68591355116837</v>
      </c>
      <c r="EP96" s="59">
        <f t="shared" si="100"/>
        <v>284.32631786390112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5.1053497473431868</v>
      </c>
      <c r="EW96" s="21">
        <f>EXP(-LN(2)/25)*EW95+(1-EXP(-LN(2)/25))/(LN(2)/25)*Calculateur!ER96*Calculateur!ET96*VLOOKUP('Données projet'!$B$15,Paramètres!$A$1:$I$89,3,0)*0.475*44/12</f>
        <v>4.4445124193083094</v>
      </c>
      <c r="EX96" s="21">
        <f>EXP(-LN(2)/2)*EX95+(1-EXP(-LN(2)/2))/(LN(2)/2)*ER96*EU96*VLOOKUP('Données projet'!$B$15,Paramètres!$A$1:$I$89,3,0)*0.475*44/12</f>
        <v>3.0748353865647094E-7</v>
      </c>
      <c r="EY96" s="22">
        <f t="shared" si="75"/>
        <v>9.5498624741350362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-1.3567387213697657E-13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299.10536994156814</v>
      </c>
      <c r="FK96" s="59">
        <f t="shared" si="102"/>
        <v>292.57799203101769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31.402461050030531</v>
      </c>
      <c r="FR96" s="21">
        <f>EXP(-LN(2)/25)*FR95+(1-EXP(-LN(2)/25))/(LN(2)/25)*Calculateur!FM96*Calculateur!FO96*VLOOKUP('Données projet'!$B$16,Paramètres!$A$1:$I$89,3,0)*0.475*44/12</f>
        <v>29.54211678367912</v>
      </c>
      <c r="FS96" s="21">
        <f>EXP(-LN(2)/2)*FS95+(1-EXP(-LN(2)/2))/(LN(2)/2)*FM96*FP96*VLOOKUP('Données projet'!$B$16,Paramètres!$A$1:$I$89,3,0)*0.475*44/12</f>
        <v>0.57430259041641096</v>
      </c>
      <c r="FT96" s="22">
        <f t="shared" si="78"/>
        <v>61.51888042412606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5.6843418860808015E-14</v>
      </c>
      <c r="GA96" s="17">
        <f>FZ96*VLOOKUP('Données projet'!$B$17,Paramètres!$A$1:$I$89,3,0)*VLOOKUP('Données projet'!$B$17,Paramètres!$A$1:$I$89,5,0)</f>
        <v>5.1431925385259088E-14</v>
      </c>
      <c r="GB96" s="13">
        <f t="shared" si="103"/>
        <v>8.3482866290946129E-13</v>
      </c>
      <c r="GC96" s="20">
        <f t="shared" si="79"/>
        <v>1.5435705246133045E-12</v>
      </c>
      <c r="GD96" s="59">
        <f t="shared" si="80"/>
        <v>293.33333333333485</v>
      </c>
      <c r="GE96" s="59">
        <f ca="1">AVERAGE(OFFSET($GD$3,0,0,'Données projet'!$E$17+1,1))-AVERAGE(OFFSET($H$3,0,0,'Données projet'!$E$17+1,1))</f>
        <v>204.78565758021779</v>
      </c>
      <c r="GF96" s="59">
        <f t="shared" si="104"/>
        <v>287.25131613242439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6.0331106989749692</v>
      </c>
      <c r="GM96" s="21">
        <f>EXP(-LN(2)/25)*GM95+(1-EXP(-LN(2)/25))/(LN(2)/25)*Calculateur!GH96*Calculateur!GJ96*VLOOKUP('Données projet'!$B$17,Paramètres!$A$1:$I$89,3,0)*0.475*44/12</f>
        <v>3.4926525779738391</v>
      </c>
      <c r="GN96" s="21">
        <f>EXP(-LN(2)/2)*GN95+(1-EXP(-LN(2)/2))/(LN(2)/2)*GH96*GK96*VLOOKUP('Données projet'!$B$17,Paramètres!$A$1:$I$89,3,0)*0.475*44/12</f>
        <v>8.2198318146898478E-7</v>
      </c>
      <c r="GO96" s="21">
        <f t="shared" si="81"/>
        <v>9.5257640989319903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5.6843418860808015E-14</v>
      </c>
      <c r="GV96" s="17">
        <f>GU96*VLOOKUP('Données projet'!$B$18,Paramètres!$A$1:$I$89,3,0)*VLOOKUP('Données projet'!$B$18,Paramètres!$A$1:$I$89,5,0)</f>
        <v>4.4337866711430253E-14</v>
      </c>
      <c r="GW96" s="13">
        <f t="shared" si="105"/>
        <v>7.3222115536967035E-13</v>
      </c>
      <c r="GX96" s="20">
        <f t="shared" si="82"/>
        <v>1.3525069634579169E-12</v>
      </c>
      <c r="GY96" s="59">
        <f t="shared" si="83"/>
        <v>293.33333333333468</v>
      </c>
      <c r="GZ96" s="59">
        <f ca="1">AVERAGE(OFFSET($GY$3,0,0,'Données projet'!$E$18+1,1))-AVERAGE(OFFSET($H$3,0,0,'Données projet'!$E$18+1,1))</f>
        <v>288.82868507674738</v>
      </c>
      <c r="HA96" s="59">
        <f t="shared" si="106"/>
        <v>283.48738729114024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26.732128874524687</v>
      </c>
      <c r="HH96" s="21">
        <f>EXP(-LN(2)/25)*HH95+(1-EXP(-LN(2)/25))/(LN(2)/25)*Calculateur!HC96*Calculateur!HE96*VLOOKUP('Données projet'!$B$18,Paramètres!$A$1:$I$89,3,0)*0.475*44/12</f>
        <v>21.762692943006581</v>
      </c>
      <c r="HI96" s="21">
        <f>EXP(-LN(2)/2)*HI95+(1-EXP(-LN(2)/2))/(LN(2)/2)*HC96*HF96*VLOOKUP('Données projet'!$B$18,Paramètres!$A$1:$I$89,3,0)*0.475*44/12</f>
        <v>1.4833013098946163E-2</v>
      </c>
      <c r="HJ96" s="22">
        <f t="shared" si="84"/>
        <v>48.509654830630211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349.71285006949597</v>
      </c>
      <c r="T97" s="59">
        <f t="shared" si="88"/>
        <v>258.51550516456842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116.15502194896187</v>
      </c>
      <c r="AA97" s="21">
        <f>EXP(-LN(2)/25)*AA96+(1-EXP(-LN(2)/25))/(LN(2)/25)*Calculateur!V97*Calculateur!X97*VLOOKUP('Données projet'!$B$9,Paramètres!$A$1:$I$89,3,0)*0.475*44/12</f>
        <v>35.098320016052227</v>
      </c>
      <c r="AB97" s="21">
        <f>EXP(-LN(2)/2)*AB96+(1-EXP(-LN(2)/2))/(LN(2)/2)*V97*Y97*VLOOKUP('Données projet'!$B$9,Paramètres!$A$1:$I$89,3,0)*0.475*44/12</f>
        <v>0.55247377188444302</v>
      </c>
      <c r="AC97" s="22">
        <f t="shared" si="57"/>
        <v>151.80581573689855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8.9989999999999952</v>
      </c>
      <c r="AI97" s="13">
        <f>IF('Données projet'!$A$62&gt;35,AI96+AH97-AQ96,IF(A97&lt;'Données projet'!$A$62,$AF$205^A97,IF(A97='Données projet'!$A$62,'Données projet'!$B$62,AI96+AH97-AQ96)))</f>
        <v>290.40899999999993</v>
      </c>
      <c r="AJ97" s="13">
        <f>AI97*VLOOKUP('Données projet'!$B$10,Paramètres!$A$1:$I$89,3,0)*VLOOKUP('Données projet'!$B$10,Paramètres!$A$1:$I$89,5,0)</f>
        <v>276.35320439999992</v>
      </c>
      <c r="AK97" s="13">
        <f t="shared" si="89"/>
        <v>66.195749107226092</v>
      </c>
      <c r="AL97" s="20">
        <f t="shared" si="58"/>
        <v>596.60609402508533</v>
      </c>
      <c r="AM97" s="59">
        <f t="shared" si="59"/>
        <v>889.9394273584187</v>
      </c>
      <c r="AN97" s="59">
        <f ca="1">AVERAGE(OFFSET($AM$3,0,0,'Données projet'!$E$10+1,1))-AVERAGE(OFFSET($H$3,0,0,'Données projet'!$E$10+1,1))</f>
        <v>449.28947235329758</v>
      </c>
      <c r="AO97" s="59">
        <f t="shared" si="90"/>
        <v>289.36994109443964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36.367745925132404</v>
      </c>
      <c r="AV97" s="21">
        <f>EXP(-LN(2)/25)*AV96+(1-EXP(-LN(2)/25))/(LN(2)/25)*Calculateur!AQ97*Calculateur!AS97*VLOOKUP('Données projet'!$B$10,Paramètres!$A$1:$I$89,3,0)*0.475*44/12</f>
        <v>25.361913241600149</v>
      </c>
      <c r="AW97" s="21">
        <f>EXP(-LN(2)/2)*AW96+(1-EXP(-LN(2)/2))/(LN(2)/2)*AQ97*AT97*VLOOKUP('Données projet'!$B$10,Paramètres!$A$1:$I$89,3,0)*0.475*44/12</f>
        <v>0.10490958158971996</v>
      </c>
      <c r="AX97" s="21">
        <f t="shared" si="60"/>
        <v>61.834568748322276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343.94162400000044</v>
      </c>
      <c r="BF97" s="13">
        <f t="shared" si="91"/>
        <v>80.313763789484966</v>
      </c>
      <c r="BG97" s="20">
        <f t="shared" si="61"/>
        <v>738.91146706668712</v>
      </c>
      <c r="BH97" s="59">
        <f t="shared" si="62"/>
        <v>1032.2448004000205</v>
      </c>
      <c r="BI97" s="59">
        <f ca="1">AVERAGE(OFFSET($BH$3,0,0,'Données projet'!$E$11+1,1))-AVERAGE(OFFSET($H$3,0,0,'Données projet'!$E$11+1,1))</f>
        <v>635.71275911100679</v>
      </c>
      <c r="BJ97" s="59">
        <f t="shared" si="92"/>
        <v>281.7776857269169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28.215969128647792</v>
      </c>
      <c r="BQ97" s="21">
        <f>EXP(-LN(2)/25)*BQ96+(1-EXP(-LN(2)/25))/(LN(2)/25)*Calculateur!BL97*Calculateur!BN97*VLOOKUP('Données projet'!$B$11,Paramètres!$A$1:$I$89,3,0)*0.475*44/12</f>
        <v>28.18695085333249</v>
      </c>
      <c r="BR97" s="21">
        <f>EXP(-LN(2)/2)*BR96+(1-EXP(-LN(2)/2))/(LN(2)/2)*BL97*BO97*VLOOKUP('Données projet'!$B$11,Paramètres!$A$1:$I$89,3,0)*0.475*44/12</f>
        <v>5.9322004637288286</v>
      </c>
      <c r="BS97" s="22">
        <f t="shared" si="63"/>
        <v>62.335120445709109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6.7600000000000007</v>
      </c>
      <c r="BY97" s="12">
        <f>IF('Données projet'!$A$114&gt;35,BY96+BX97-CG96,IF(A97&lt;'Données projet'!$A$114,$BV$205^A97,IF(A97='Données projet'!$A$114,'Données projet'!$B$114,BY96+BX97-CG96)))</f>
        <v>245.80999999999989</v>
      </c>
      <c r="BZ97" s="13">
        <f>BY97*VLOOKUP('Données projet'!$B$12,Paramètres!$A$1:$I$89,3,0)*VLOOKUP('Données projet'!$B$12,Paramètres!$A$1:$I$89,5,0)</f>
        <v>279.92842799999988</v>
      </c>
      <c r="CA97" s="13">
        <f t="shared" si="93"/>
        <v>66.951883435020946</v>
      </c>
      <c r="CB97" s="20">
        <f t="shared" si="64"/>
        <v>604.14987574932786</v>
      </c>
      <c r="CC97" s="59">
        <f t="shared" si="65"/>
        <v>897.48320908266123</v>
      </c>
      <c r="CD97" s="59">
        <f ca="1">AVERAGE(OFFSET($CC$3,0,0,'Données projet'!$E$12+1,1))-AVERAGE(OFFSET($H$3,0,0,'Données projet'!$E$12+1,1))</f>
        <v>593.28343396240075</v>
      </c>
      <c r="CE97" s="59">
        <f t="shared" si="94"/>
        <v>289.66477662068695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6.0704163778716342</v>
      </c>
      <c r="CL97" s="21">
        <f>EXP(-LN(2)/25)*CL96+(1-EXP(-LN(2)/25))/(LN(2)/25)*Calculateur!CG97*Calculateur!CI97*VLOOKUP('Données projet'!$B$12,Paramètres!$A$1:$I$89,3,0)*0.475*44/12</f>
        <v>33.735489803555332</v>
      </c>
      <c r="CM97" s="21">
        <f>EXP(-LN(2)/2)*CM96+(1-EXP(-LN(2)/2))/(LN(2)/2)*CG97*CJ97*VLOOKUP('Données projet'!$B$12,Paramètres!$A$1:$I$89,3,0)*0.475*44/12</f>
        <v>0.27393955232924444</v>
      </c>
      <c r="CN97" s="22">
        <f t="shared" si="66"/>
        <v>40.079845733756208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2.2737367544323206E-13</v>
      </c>
      <c r="CU97" s="17">
        <f>CT97*VLOOKUP('Données projet'!$B$13,Paramètres!$A$1:$I$89,3,0)*VLOOKUP('Données projet'!$B$13,Paramètres!$A$1:$I$89,5,0)</f>
        <v>2.3765096557326618E-13</v>
      </c>
      <c r="CV97" s="13">
        <f t="shared" si="95"/>
        <v>3.2279907425805489E-12</v>
      </c>
      <c r="CW97" s="20">
        <f t="shared" si="67"/>
        <v>6.0359926417012276E-12</v>
      </c>
      <c r="CX97" s="59">
        <f t="shared" si="68"/>
        <v>293.33333333333934</v>
      </c>
      <c r="CY97" s="59">
        <f ca="1">AVERAGE(OFFSET($CX$3,0,0,'Données projet'!$E$13+1,1))-AVERAGE(OFFSET($H$3,0,0,'Données projet'!$E$13+1,1))</f>
        <v>260.65406541614402</v>
      </c>
      <c r="CZ97" s="59">
        <f t="shared" si="96"/>
        <v>277.63456890196886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16.642631244015593</v>
      </c>
      <c r="DG97" s="21">
        <f>EXP(-LN(2)/25)*DG96+(1-EXP(-LN(2)/25))/(LN(2)/25)*Calculateur!DB97*Calculateur!DD97*VLOOKUP('Données projet'!$B$13,Paramètres!$A$1:$I$89,3,0)*0.475*44/12</f>
        <v>44.339241777694838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60.981873021710427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2.2737367544323206E-13</v>
      </c>
      <c r="DP97" s="17">
        <f>DO97*VLOOKUP('Données projet'!$B$14,Paramètres!$A$1:$I$89,3,0)*VLOOKUP('Données projet'!$B$14,Paramètres!$A$1:$I$89,5,0)</f>
        <v>1.4897523215040565E-13</v>
      </c>
      <c r="DQ97" s="13">
        <f t="shared" si="97"/>
        <v>2.136562777003313E-12</v>
      </c>
      <c r="DR97" s="20">
        <f t="shared" si="70"/>
        <v>3.9806453659427267E-12</v>
      </c>
      <c r="DS97" s="59">
        <f t="shared" si="71"/>
        <v>293.33333333333729</v>
      </c>
      <c r="DT97" s="59">
        <f ca="1">AVERAGE(OFFSET($DS$3,0,0,'Données projet'!$E$14+1,1))-AVERAGE(OFFSET($H$3,0,0,'Données projet'!$E$14+1,1))</f>
        <v>181.4272795535777</v>
      </c>
      <c r="DU97" s="59">
        <f t="shared" si="98"/>
        <v>187.67131775419904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15.617976530175474</v>
      </c>
      <c r="EB97" s="21">
        <f>EXP(-LN(2)/25)*EB96+(1-EXP(-LN(2)/25))/(LN(2)/25)*Calculateur!DW97*Calculateur!DY97*VLOOKUP('Données projet'!$B$14,Paramètres!$A$1:$I$89,3,0)*0.475*44/12</f>
        <v>16.14857084808423</v>
      </c>
      <c r="EC97" s="21">
        <f>EXP(-LN(2)/2)*EC96+(1-EXP(-LN(2)/2))/(LN(2)/2)*DW97*DZ97*VLOOKUP('Données projet'!$B$14,Paramètres!$A$1:$I$89,3,0)*0.475*44/12</f>
        <v>6.272982411723607</v>
      </c>
      <c r="ED97" s="22">
        <f t="shared" si="72"/>
        <v>38.039529789983305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1.1368683772161603E-13</v>
      </c>
      <c r="EK97" s="17">
        <f>EJ97*VLOOKUP('Données projet'!$B$15,Paramètres!$A$1:$I$89,3,0)*VLOOKUP('Données projet'!$B$15,Paramètres!$A$1:$I$89,5,0)</f>
        <v>9.2222762759774927E-14</v>
      </c>
      <c r="EL97" s="13">
        <f t="shared" si="99"/>
        <v>1.3985662224947967E-12</v>
      </c>
      <c r="EM97" s="20">
        <f t="shared" si="73"/>
        <v>2.5964574826517121E-12</v>
      </c>
      <c r="EN97" s="59">
        <f t="shared" si="74"/>
        <v>293.33333333333593</v>
      </c>
      <c r="EO97" s="59">
        <f ca="1">AVERAGE(OFFSET($EN$3,0,0,'Données projet'!$E$15+1,1))-AVERAGE(OFFSET($H$3,0,0,'Données projet'!$E$15+1,1))</f>
        <v>159.68591355116837</v>
      </c>
      <c r="EP97" s="59">
        <f t="shared" si="100"/>
        <v>284.32631786390112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5.0052369527536555</v>
      </c>
      <c r="EW97" s="21">
        <f>EXP(-LN(2)/25)*EW96+(1-EXP(-LN(2)/25))/(LN(2)/25)*Calculateur!ER97*Calculateur!ET97*VLOOKUP('Données projet'!$B$15,Paramètres!$A$1:$I$89,3,0)*0.475*44/12</f>
        <v>4.3229769934755735</v>
      </c>
      <c r="EX97" s="21">
        <f>EXP(-LN(2)/2)*EX96+(1-EXP(-LN(2)/2))/(LN(2)/2)*ER97*EU97*VLOOKUP('Données projet'!$B$15,Paramètres!$A$1:$I$89,3,0)*0.475*44/12</f>
        <v>2.1742369528722652E-7</v>
      </c>
      <c r="EY97" s="22">
        <f t="shared" si="75"/>
        <v>9.328214163652925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-1.3567387213697657E-13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299.10536994156814</v>
      </c>
      <c r="FK97" s="59">
        <f t="shared" si="102"/>
        <v>292.57799203101769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30.786677942449412</v>
      </c>
      <c r="FR97" s="21">
        <f>EXP(-LN(2)/25)*FR96+(1-EXP(-LN(2)/25))/(LN(2)/25)*Calculateur!FM97*Calculateur!FO97*VLOOKUP('Données projet'!$B$16,Paramètres!$A$1:$I$89,3,0)*0.475*44/12</f>
        <v>28.734286046677013</v>
      </c>
      <c r="FS97" s="21">
        <f>EXP(-LN(2)/2)*FS96+(1-EXP(-LN(2)/2))/(LN(2)/2)*FM97*FP97*VLOOKUP('Données projet'!$B$16,Paramètres!$A$1:$I$89,3,0)*0.475*44/12</f>
        <v>0.40609325613644454</v>
      </c>
      <c r="FT97" s="22">
        <f t="shared" si="78"/>
        <v>59.927057245262873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5.6843418860808015E-14</v>
      </c>
      <c r="GA97" s="17">
        <f>FZ97*VLOOKUP('Données projet'!$B$17,Paramètres!$A$1:$I$89,3,0)*VLOOKUP('Données projet'!$B$17,Paramètres!$A$1:$I$89,5,0)</f>
        <v>5.1431925385259088E-14</v>
      </c>
      <c r="GB97" s="13">
        <f t="shared" si="103"/>
        <v>8.3482866290946129E-13</v>
      </c>
      <c r="GC97" s="20">
        <f t="shared" si="79"/>
        <v>1.5435705246133045E-12</v>
      </c>
      <c r="GD97" s="59">
        <f t="shared" si="80"/>
        <v>293.33333333333485</v>
      </c>
      <c r="GE97" s="59">
        <f ca="1">AVERAGE(OFFSET($GD$3,0,0,'Données projet'!$E$17+1,1))-AVERAGE(OFFSET($H$3,0,0,'Données projet'!$E$17+1,1))</f>
        <v>204.78565758021779</v>
      </c>
      <c r="GF97" s="59">
        <f t="shared" si="104"/>
        <v>287.25131613242439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5.9148050780022432</v>
      </c>
      <c r="GM97" s="21">
        <f>EXP(-LN(2)/25)*GM96+(1-EXP(-LN(2)/25))/(LN(2)/25)*Calculateur!GH97*Calculateur!GJ97*VLOOKUP('Données projet'!$B$17,Paramètres!$A$1:$I$89,3,0)*0.475*44/12</f>
        <v>3.3971458095585279</v>
      </c>
      <c r="GN97" s="21">
        <f>EXP(-LN(2)/2)*GN96+(1-EXP(-LN(2)/2))/(LN(2)/2)*GH97*GK97*VLOOKUP('Données projet'!$B$17,Paramètres!$A$1:$I$89,3,0)*0.475*44/12</f>
        <v>5.812298816380116E-7</v>
      </c>
      <c r="GO97" s="21">
        <f t="shared" si="81"/>
        <v>9.3119514687906531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5.6843418860808015E-14</v>
      </c>
      <c r="GV97" s="17">
        <f>GU97*VLOOKUP('Données projet'!$B$18,Paramètres!$A$1:$I$89,3,0)*VLOOKUP('Données projet'!$B$18,Paramètres!$A$1:$I$89,5,0)</f>
        <v>4.4337866711430253E-14</v>
      </c>
      <c r="GW97" s="13">
        <f t="shared" si="105"/>
        <v>7.3222115536967035E-13</v>
      </c>
      <c r="GX97" s="20">
        <f t="shared" si="82"/>
        <v>1.3525069634579169E-12</v>
      </c>
      <c r="GY97" s="59">
        <f t="shared" si="83"/>
        <v>293.33333333333468</v>
      </c>
      <c r="GZ97" s="59">
        <f ca="1">AVERAGE(OFFSET($GY$3,0,0,'Données projet'!$E$18+1,1))-AVERAGE(OFFSET($H$3,0,0,'Données projet'!$E$18+1,1))</f>
        <v>288.82868507674738</v>
      </c>
      <c r="HA97" s="59">
        <f t="shared" si="106"/>
        <v>283.48738729114024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26.207928132283886</v>
      </c>
      <c r="HH97" s="21">
        <f>EXP(-LN(2)/25)*HH96+(1-EXP(-LN(2)/25))/(LN(2)/25)*Calculateur!HC97*Calculateur!HE97*VLOOKUP('Données projet'!$B$18,Paramètres!$A$1:$I$89,3,0)*0.475*44/12</f>
        <v>21.167590960029784</v>
      </c>
      <c r="HI97" s="21">
        <f>EXP(-LN(2)/2)*HI96+(1-EXP(-LN(2)/2))/(LN(2)/2)*HC97*HF97*VLOOKUP('Données projet'!$B$18,Paramètres!$A$1:$I$89,3,0)*0.475*44/12</f>
        <v>1.0488524147693717E-2</v>
      </c>
      <c r="HJ97" s="22">
        <f t="shared" si="84"/>
        <v>47.386007616461363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349.71285006949597</v>
      </c>
      <c r="T98" s="59">
        <f t="shared" si="88"/>
        <v>258.51550516456842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113.87729281611051</v>
      </c>
      <c r="AA98" s="21">
        <f>EXP(-LN(2)/25)*AA97+(1-EXP(-LN(2)/25))/(LN(2)/25)*Calculateur!V98*Calculateur!X98*VLOOKUP('Données projet'!$B$9,Paramètres!$A$1:$I$89,3,0)*0.475*44/12</f>
        <v>34.138554609472848</v>
      </c>
      <c r="AB98" s="21">
        <f>EXP(-LN(2)/2)*AB97+(1-EXP(-LN(2)/2))/(LN(2)/2)*V98*Y98*VLOOKUP('Données projet'!$B$9,Paramètres!$A$1:$I$89,3,0)*0.475*44/12</f>
        <v>0.39065795052719943</v>
      </c>
      <c r="AC98" s="22">
        <f t="shared" si="57"/>
        <v>148.40650537611057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8.9989999999999952</v>
      </c>
      <c r="AI98" s="13">
        <f>IF('Données projet'!$A$62&gt;35,AI97+AH98-AQ97,IF(A98&lt;'Données projet'!$A$62,$AF$205^A98,IF(A98='Données projet'!$A$62,'Données projet'!$B$62,AI97+AH98-AQ97)))</f>
        <v>299.4079999999999</v>
      </c>
      <c r="AJ98" s="13">
        <f>AI98*VLOOKUP('Données projet'!$B$10,Paramètres!$A$1:$I$89,3,0)*VLOOKUP('Données projet'!$B$10,Paramètres!$A$1:$I$89,5,0)</f>
        <v>284.91665279999989</v>
      </c>
      <c r="AK98" s="13">
        <f t="shared" si="89"/>
        <v>68.004983981001502</v>
      </c>
      <c r="AL98" s="20">
        <f t="shared" si="58"/>
        <v>614.67185072691063</v>
      </c>
      <c r="AM98" s="59">
        <f t="shared" si="59"/>
        <v>908.00518406024389</v>
      </c>
      <c r="AN98" s="59">
        <f ca="1">AVERAGE(OFFSET($AM$3,0,0,'Données projet'!$E$10+1,1))-AVERAGE(OFFSET($H$3,0,0,'Données projet'!$E$10+1,1))</f>
        <v>449.28947235329758</v>
      </c>
      <c r="AO98" s="59">
        <f t="shared" si="90"/>
        <v>289.36994109443964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35.654596609675266</v>
      </c>
      <c r="AV98" s="21">
        <f>EXP(-LN(2)/25)*AV97+(1-EXP(-LN(2)/25))/(LN(2)/25)*Calculateur!AQ98*Calculateur!AS98*VLOOKUP('Données projet'!$B$10,Paramètres!$A$1:$I$89,3,0)*0.475*44/12</f>
        <v>24.668390390283541</v>
      </c>
      <c r="AW98" s="21">
        <f>EXP(-LN(2)/2)*AW97+(1-EXP(-LN(2)/2))/(LN(2)/2)*AQ98*AT98*VLOOKUP('Données projet'!$B$10,Paramètres!$A$1:$I$89,3,0)*0.475*44/12</f>
        <v>7.4182276553534363E-2</v>
      </c>
      <c r="AX98" s="21">
        <f t="shared" si="60"/>
        <v>60.397169276512344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291.09406560000048</v>
      </c>
      <c r="BF98" s="13">
        <f t="shared" si="91"/>
        <v>69.306175582041092</v>
      </c>
      <c r="BG98" s="20">
        <f t="shared" si="61"/>
        <v>627.697086725389</v>
      </c>
      <c r="BH98" s="59">
        <f t="shared" si="62"/>
        <v>921.03042005872226</v>
      </c>
      <c r="BI98" s="59">
        <f ca="1">AVERAGE(OFFSET($BH$3,0,0,'Données projet'!$E$11+1,1))-AVERAGE(OFFSET($H$3,0,0,'Données projet'!$E$11+1,1))</f>
        <v>635.71275911100679</v>
      </c>
      <c r="BJ98" s="59">
        <f t="shared" si="92"/>
        <v>281.7776857269169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27.662671184076828</v>
      </c>
      <c r="BQ98" s="21">
        <f>EXP(-LN(2)/25)*BQ97+(1-EXP(-LN(2)/25))/(LN(2)/25)*Calculateur!BL98*Calculateur!BN98*VLOOKUP('Données projet'!$B$11,Paramètres!$A$1:$I$89,3,0)*0.475*44/12</f>
        <v>27.416177199960789</v>
      </c>
      <c r="BR98" s="21">
        <f>EXP(-LN(2)/2)*BR97+(1-EXP(-LN(2)/2))/(LN(2)/2)*BL98*BO98*VLOOKUP('Données projet'!$B$11,Paramètres!$A$1:$I$89,3,0)*0.475*44/12</f>
        <v>4.1946991752606371</v>
      </c>
      <c r="BS98" s="22">
        <f t="shared" si="63"/>
        <v>59.273547559298251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252.57</v>
      </c>
      <c r="BW98" s="12">
        <f>VLOOKUP(A98,'Données projet'!$A$113:$I$133,9,0)</f>
        <v>6.7600000000000007</v>
      </c>
      <c r="BX98" s="12">
        <f t="array" ref="BX98">INDEX(BW:BW,MIN(IF(ISNUMBER(BW98:BW294),ROW(BW98:BW294),"")))</f>
        <v>6.7600000000000007</v>
      </c>
      <c r="BY98" s="12">
        <f>IF('Données projet'!$A$114&gt;35,BY97+BX98-CG97,IF(A98&lt;'Données projet'!$A$114,$BV$205^A98,IF(A98='Données projet'!$A$114,'Données projet'!$B$114,BY97+BX98-CG97)))</f>
        <v>252.56999999999988</v>
      </c>
      <c r="BZ98" s="13">
        <f>BY98*VLOOKUP('Données projet'!$B$12,Paramètres!$A$1:$I$89,3,0)*VLOOKUP('Données projet'!$B$12,Paramètres!$A$1:$I$89,5,0)</f>
        <v>287.62671599999982</v>
      </c>
      <c r="CA98" s="13">
        <f t="shared" si="93"/>
        <v>68.576223699906507</v>
      </c>
      <c r="CB98" s="20">
        <f t="shared" si="64"/>
        <v>620.38678664400345</v>
      </c>
      <c r="CC98" s="59">
        <f t="shared" si="65"/>
        <v>913.72011997733671</v>
      </c>
      <c r="CD98" s="59">
        <f ca="1">AVERAGE(OFFSET($CC$3,0,0,'Données projet'!$E$12+1,1))-AVERAGE(OFFSET($H$3,0,0,'Données projet'!$E$12+1,1))</f>
        <v>593.28343396240075</v>
      </c>
      <c r="CE98" s="59">
        <f t="shared" si="94"/>
        <v>289.66477662068695</v>
      </c>
      <c r="CF98" s="15">
        <f>IF(ISNA(VLOOKUP(A98,'Données projet'!$A$113:$I$133,3,0)),0,VLOOKUP(A98,'Données projet'!$A$113:$I$133,3,0))</f>
        <v>5</v>
      </c>
      <c r="CG98" s="15">
        <f>IF(ISNA(VLOOKUP(A98,'Données projet'!$A$113:$I$133,4,0)),0,VLOOKUP(A98,'Données projet'!$A$113:$I$133,4,0))</f>
        <v>42.199999999999989</v>
      </c>
      <c r="CH98" s="16">
        <f>IF(ISNA(VLOOKUP(A98,'Données projet'!$A$113:$I$133,5,0)),0%,VLOOKUP(A98,'Données projet'!$A$113:$I$133,5,0)*VLOOKUP('Données projet'!$B$12,Paramètres!$A$1:$I$89,7,0))</f>
        <v>0.15049999999999999</v>
      </c>
      <c r="CI98" s="16">
        <f>IF(ISNA(VLOOKUP(A98,'Données projet'!$A$113:$I$133,6,0)),0%,VLOOKUP(A98,'Données projet'!$A$113:$I$133,6,0)*VLOOKUP('Données projet'!$B$12,Paramètres!$A$1:$I$89,7,0))</f>
        <v>8.6000000000000007E-2</v>
      </c>
      <c r="CJ98" s="16">
        <f>IF(ISNA(VLOOKUP(A98,'Données projet'!$A$113:$I$133,7,0)),0%,VLOOKUP(A98,'Données projet'!$A$113:$I$133,7,0))</f>
        <v>0.1</v>
      </c>
      <c r="CK98" s="21">
        <f>EXP(-LN(2)/35)*CK97+(1-EXP(-LN(2)/35))/(LN(2)/35)*CG98*CH98*VLOOKUP('Données projet'!$B$12,Paramètres!$A$1:$I$89,3,0)*0.475*44/12</f>
        <v>13.946840409071978</v>
      </c>
      <c r="CL98" s="21">
        <f>EXP(-LN(2)/25)*CL97+(1-EXP(-LN(2)/25))/(LN(2)/25)*Calculateur!CG98*Calculateur!CI98*VLOOKUP('Données projet'!$B$12,Paramètres!$A$1:$I$89,3,0)*0.475*44/12</f>
        <v>37.363836784549115</v>
      </c>
      <c r="CM98" s="21">
        <f>EXP(-LN(2)/2)*CM97+(1-EXP(-LN(2)/2))/(LN(2)/2)*CG98*CJ98*VLOOKUP('Données projet'!$B$12,Paramètres!$A$1:$I$89,3,0)*0.475*44/12</f>
        <v>4.7280457755752554</v>
      </c>
      <c r="CN98" s="22">
        <f t="shared" si="66"/>
        <v>56.038722969196343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2.2737367544323206E-13</v>
      </c>
      <c r="CU98" s="17">
        <f>CT98*VLOOKUP('Données projet'!$B$13,Paramètres!$A$1:$I$89,3,0)*VLOOKUP('Données projet'!$B$13,Paramètres!$A$1:$I$89,5,0)</f>
        <v>2.3765096557326618E-13</v>
      </c>
      <c r="CV98" s="13">
        <f t="shared" si="95"/>
        <v>3.2279907425805489E-12</v>
      </c>
      <c r="CW98" s="20">
        <f t="shared" si="67"/>
        <v>6.0359926417012276E-12</v>
      </c>
      <c r="CX98" s="59">
        <f t="shared" si="68"/>
        <v>293.33333333333934</v>
      </c>
      <c r="CY98" s="59">
        <f ca="1">AVERAGE(OFFSET($CX$3,0,0,'Données projet'!$E$13+1,1))-AVERAGE(OFFSET($H$3,0,0,'Données projet'!$E$13+1,1))</f>
        <v>260.65406541614402</v>
      </c>
      <c r="CZ98" s="59">
        <f t="shared" si="96"/>
        <v>277.63456890196886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16.316279396323178</v>
      </c>
      <c r="DG98" s="21">
        <f>EXP(-LN(2)/25)*DG97+(1-EXP(-LN(2)/25))/(LN(2)/25)*Calculateur!DB98*Calculateur!DD98*VLOOKUP('Données projet'!$B$13,Paramètres!$A$1:$I$89,3,0)*0.475*44/12</f>
        <v>43.126782879584383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59.443062275907565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2.2737367544323206E-13</v>
      </c>
      <c r="DP98" s="17">
        <f>DO98*VLOOKUP('Données projet'!$B$14,Paramètres!$A$1:$I$89,3,0)*VLOOKUP('Données projet'!$B$14,Paramètres!$A$1:$I$89,5,0)</f>
        <v>1.4897523215040565E-13</v>
      </c>
      <c r="DQ98" s="13">
        <f t="shared" si="97"/>
        <v>2.136562777003313E-12</v>
      </c>
      <c r="DR98" s="20">
        <f t="shared" si="70"/>
        <v>3.9806453659427267E-12</v>
      </c>
      <c r="DS98" s="59">
        <f t="shared" si="71"/>
        <v>293.33333333333729</v>
      </c>
      <c r="DT98" s="59">
        <f ca="1">AVERAGE(OFFSET($DS$3,0,0,'Données projet'!$E$14+1,1))-AVERAGE(OFFSET($H$3,0,0,'Données projet'!$E$14+1,1))</f>
        <v>181.4272795535777</v>
      </c>
      <c r="DU98" s="59">
        <f t="shared" si="98"/>
        <v>187.67131775419904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15.311717536443799</v>
      </c>
      <c r="EB98" s="21">
        <f>EXP(-LN(2)/25)*EB97+(1-EXP(-LN(2)/25))/(LN(2)/25)*Calculateur!DW98*Calculateur!DY98*VLOOKUP('Données projet'!$B$14,Paramètres!$A$1:$I$89,3,0)*0.475*44/12</f>
        <v>15.706987329026934</v>
      </c>
      <c r="EC98" s="21">
        <f>EXP(-LN(2)/2)*EC97+(1-EXP(-LN(2)/2))/(LN(2)/2)*DW98*DZ98*VLOOKUP('Données projet'!$B$14,Paramètres!$A$1:$I$89,3,0)*0.475*44/12</f>
        <v>4.4356684015937065</v>
      </c>
      <c r="ED98" s="22">
        <f t="shared" si="72"/>
        <v>35.45437326706444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1.1368683772161603E-13</v>
      </c>
      <c r="EK98" s="17">
        <f>EJ98*VLOOKUP('Données projet'!$B$15,Paramètres!$A$1:$I$89,3,0)*VLOOKUP('Données projet'!$B$15,Paramètres!$A$1:$I$89,5,0)</f>
        <v>9.2222762759774927E-14</v>
      </c>
      <c r="EL98" s="13">
        <f t="shared" si="99"/>
        <v>1.3985662224947967E-12</v>
      </c>
      <c r="EM98" s="20">
        <f t="shared" si="73"/>
        <v>2.5964574826517121E-12</v>
      </c>
      <c r="EN98" s="59">
        <f t="shared" si="74"/>
        <v>293.33333333333593</v>
      </c>
      <c r="EO98" s="59">
        <f ca="1">AVERAGE(OFFSET($EN$3,0,0,'Données projet'!$E$15+1,1))-AVERAGE(OFFSET($H$3,0,0,'Données projet'!$E$15+1,1))</f>
        <v>159.68591355116837</v>
      </c>
      <c r="EP98" s="59">
        <f t="shared" si="100"/>
        <v>284.32631786390112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4.9070873090032494</v>
      </c>
      <c r="EW98" s="21">
        <f>EXP(-LN(2)/25)*EW97+(1-EXP(-LN(2)/25))/(LN(2)/25)*Calculateur!ER98*Calculateur!ET98*VLOOKUP('Données projet'!$B$15,Paramètres!$A$1:$I$89,3,0)*0.475*44/12</f>
        <v>4.2047649602535042</v>
      </c>
      <c r="EX98" s="21">
        <f>EXP(-LN(2)/2)*EX97+(1-EXP(-LN(2)/2))/(LN(2)/2)*ER98*EU98*VLOOKUP('Données projet'!$B$15,Paramètres!$A$1:$I$89,3,0)*0.475*44/12</f>
        <v>1.5374176932823547E-7</v>
      </c>
      <c r="EY98" s="22">
        <f t="shared" si="75"/>
        <v>9.111852422998524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-1.3567387213697657E-13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299.10536994156814</v>
      </c>
      <c r="FK98" s="59">
        <f t="shared" si="102"/>
        <v>292.57799203101769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30.18296996601735</v>
      </c>
      <c r="FR98" s="21">
        <f>EXP(-LN(2)/25)*FR97+(1-EXP(-LN(2)/25))/(LN(2)/25)*Calculateur!FM98*Calculateur!FO98*VLOOKUP('Données projet'!$B$16,Paramètres!$A$1:$I$89,3,0)*0.475*44/12</f>
        <v>27.948545483660201</v>
      </c>
      <c r="FS98" s="21">
        <f>EXP(-LN(2)/2)*FS97+(1-EXP(-LN(2)/2))/(LN(2)/2)*FM98*FP98*VLOOKUP('Données projet'!$B$16,Paramètres!$A$1:$I$89,3,0)*0.475*44/12</f>
        <v>0.28715129520820548</v>
      </c>
      <c r="FT98" s="22">
        <f t="shared" si="78"/>
        <v>58.418666744885755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5.6843418860808015E-14</v>
      </c>
      <c r="GA98" s="17">
        <f>FZ98*VLOOKUP('Données projet'!$B$17,Paramètres!$A$1:$I$89,3,0)*VLOOKUP('Données projet'!$B$17,Paramètres!$A$1:$I$89,5,0)</f>
        <v>5.1431925385259088E-14</v>
      </c>
      <c r="GB98" s="13">
        <f t="shared" si="103"/>
        <v>8.3482866290946129E-13</v>
      </c>
      <c r="GC98" s="20">
        <f t="shared" si="79"/>
        <v>1.5435705246133045E-12</v>
      </c>
      <c r="GD98" s="59">
        <f t="shared" si="80"/>
        <v>293.33333333333485</v>
      </c>
      <c r="GE98" s="59">
        <f ca="1">AVERAGE(OFFSET($GD$3,0,0,'Données projet'!$E$17+1,1))-AVERAGE(OFFSET($H$3,0,0,'Données projet'!$E$17+1,1))</f>
        <v>204.78565758021779</v>
      </c>
      <c r="GF98" s="59">
        <f t="shared" si="104"/>
        <v>287.25131613242439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5.7988193580974885</v>
      </c>
      <c r="GM98" s="21">
        <f>EXP(-LN(2)/25)*GM97+(1-EXP(-LN(2)/25))/(LN(2)/25)*Calculateur!GH98*Calculateur!GJ98*VLOOKUP('Données projet'!$B$17,Paramètres!$A$1:$I$89,3,0)*0.475*44/12</f>
        <v>3.3042506787480161</v>
      </c>
      <c r="GN98" s="21">
        <f>EXP(-LN(2)/2)*GN97+(1-EXP(-LN(2)/2))/(LN(2)/2)*GH98*GK98*VLOOKUP('Données projet'!$B$17,Paramètres!$A$1:$I$89,3,0)*0.475*44/12</f>
        <v>4.1099159073449239E-7</v>
      </c>
      <c r="GO98" s="21">
        <f t="shared" si="81"/>
        <v>9.1030704478370961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5.6843418860808015E-14</v>
      </c>
      <c r="GV98" s="17">
        <f>GU98*VLOOKUP('Données projet'!$B$18,Paramètres!$A$1:$I$89,3,0)*VLOOKUP('Données projet'!$B$18,Paramètres!$A$1:$I$89,5,0)</f>
        <v>4.4337866711430253E-14</v>
      </c>
      <c r="GW98" s="13">
        <f t="shared" si="105"/>
        <v>7.3222115536967035E-13</v>
      </c>
      <c r="GX98" s="20">
        <f t="shared" si="82"/>
        <v>1.3525069634579169E-12</v>
      </c>
      <c r="GY98" s="59">
        <f t="shared" si="83"/>
        <v>293.33333333333468</v>
      </c>
      <c r="GZ98" s="59">
        <f ca="1">AVERAGE(OFFSET($GY$3,0,0,'Données projet'!$E$18+1,1))-AVERAGE(OFFSET($H$3,0,0,'Données projet'!$E$18+1,1))</f>
        <v>288.82868507674738</v>
      </c>
      <c r="HA98" s="59">
        <f t="shared" si="106"/>
        <v>283.48738729114024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25.694006646867546</v>
      </c>
      <c r="HH98" s="21">
        <f>EXP(-LN(2)/25)*HH97+(1-EXP(-LN(2)/25))/(LN(2)/25)*Calculateur!HC98*Calculateur!HE98*VLOOKUP('Données projet'!$B$18,Paramètres!$A$1:$I$89,3,0)*0.475*44/12</f>
        <v>20.588762072072541</v>
      </c>
      <c r="HI98" s="21">
        <f>EXP(-LN(2)/2)*HI97+(1-EXP(-LN(2)/2))/(LN(2)/2)*HC98*HF98*VLOOKUP('Données projet'!$B$18,Paramètres!$A$1:$I$89,3,0)*0.475*44/12</f>
        <v>7.4165065494730814E-3</v>
      </c>
      <c r="HJ98" s="22">
        <f t="shared" si="84"/>
        <v>46.290185225489566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349.71285006949597</v>
      </c>
      <c r="T99" s="59">
        <f t="shared" si="88"/>
        <v>258.51550516456842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111.64422856227677</v>
      </c>
      <c r="AA99" s="21">
        <f>EXP(-LN(2)/25)*AA98+(1-EXP(-LN(2)/25))/(LN(2)/25)*Calculateur!V99*Calculateur!X99*VLOOKUP('Données projet'!$B$9,Paramètres!$A$1:$I$89,3,0)*0.475*44/12</f>
        <v>33.20503403840825</v>
      </c>
      <c r="AB99" s="21">
        <f>EXP(-LN(2)/2)*AB98+(1-EXP(-LN(2)/2))/(LN(2)/2)*V99*Y99*VLOOKUP('Données projet'!$B$9,Paramètres!$A$1:$I$89,3,0)*0.475*44/12</f>
        <v>0.27623688594222151</v>
      </c>
      <c r="AC99" s="22">
        <f t="shared" si="57"/>
        <v>145.12549948662723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8.9989999999999952</v>
      </c>
      <c r="AI99" s="13">
        <f>IF('Données projet'!$A$62&gt;35,AI98+AH99-AQ98,IF(A99&lt;'Données projet'!$A$62,$AF$205^A99,IF(A99='Données projet'!$A$62,'Données projet'!$B$62,AI98+AH99-AQ98)))</f>
        <v>308.40699999999993</v>
      </c>
      <c r="AJ99" s="13">
        <f>AI99*VLOOKUP('Données projet'!$B$10,Paramètres!$A$1:$I$89,3,0)*VLOOKUP('Données projet'!$B$10,Paramètres!$A$1:$I$89,5,0)</f>
        <v>293.48010119999992</v>
      </c>
      <c r="AK99" s="13">
        <f t="shared" si="89"/>
        <v>69.807899272049525</v>
      </c>
      <c r="AL99" s="20">
        <f t="shared" si="58"/>
        <v>632.72660082215282</v>
      </c>
      <c r="AM99" s="59">
        <f t="shared" si="59"/>
        <v>926.05993415548619</v>
      </c>
      <c r="AN99" s="59">
        <f ca="1">AVERAGE(OFFSET($AM$3,0,0,'Données projet'!$E$10+1,1))-AVERAGE(OFFSET($H$3,0,0,'Données projet'!$E$10+1,1))</f>
        <v>449.28947235329758</v>
      </c>
      <c r="AO99" s="59">
        <f t="shared" si="90"/>
        <v>289.36994109443964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34.95543171731611</v>
      </c>
      <c r="AV99" s="21">
        <f>EXP(-LN(2)/25)*AV98+(1-EXP(-LN(2)/25))/(LN(2)/25)*Calculateur!AQ99*Calculateur!AS99*VLOOKUP('Données projet'!$B$10,Paramètres!$A$1:$I$89,3,0)*0.475*44/12</f>
        <v>23.993831957806968</v>
      </c>
      <c r="AW99" s="21">
        <f>EXP(-LN(2)/2)*AW98+(1-EXP(-LN(2)/2))/(LN(2)/2)*AQ99*AT99*VLOOKUP('Données projet'!$B$10,Paramètres!$A$1:$I$89,3,0)*0.475*44/12</f>
        <v>5.2454790794859978E-2</v>
      </c>
      <c r="AX99" s="21">
        <f t="shared" si="60"/>
        <v>59.001718465917939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299.18478720000041</v>
      </c>
      <c r="BF99" s="13">
        <f t="shared" si="91"/>
        <v>71.005536504727559</v>
      </c>
      <c r="BG99" s="20">
        <f t="shared" si="61"/>
        <v>644.74814711906788</v>
      </c>
      <c r="BH99" s="59">
        <f t="shared" si="62"/>
        <v>938.08148045240114</v>
      </c>
      <c r="BI99" s="59">
        <f ca="1">AVERAGE(OFFSET($BH$3,0,0,'Données projet'!$E$11+1,1))-AVERAGE(OFFSET($H$3,0,0,'Données projet'!$E$11+1,1))</f>
        <v>635.71275911100679</v>
      </c>
      <c r="BJ99" s="59">
        <f t="shared" si="92"/>
        <v>281.7776857269169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27.120223074720478</v>
      </c>
      <c r="BQ99" s="21">
        <f>EXP(-LN(2)/25)*BQ98+(1-EXP(-LN(2)/25))/(LN(2)/25)*Calculateur!BL99*Calculateur!BN99*VLOOKUP('Données projet'!$B$11,Paramètres!$A$1:$I$89,3,0)*0.475*44/12</f>
        <v>26.666480392673762</v>
      </c>
      <c r="BR99" s="21">
        <f>EXP(-LN(2)/2)*BR98+(1-EXP(-LN(2)/2))/(LN(2)/2)*BL99*BO99*VLOOKUP('Données projet'!$B$11,Paramètres!$A$1:$I$89,3,0)*0.475*44/12</f>
        <v>2.9661002318644147</v>
      </c>
      <c r="BS99" s="22">
        <f t="shared" si="63"/>
        <v>56.752803699258656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6.7777777777777777</v>
      </c>
      <c r="BY99" s="12">
        <f>IF('Données projet'!$A$114&gt;35,BY98+BX99-CG98,IF(A99&lt;'Données projet'!$A$114,$BV$205^A99,IF(A99='Données projet'!$A$114,'Données projet'!$B$114,BY98+BX99-CG98)))</f>
        <v>217.14777777777766</v>
      </c>
      <c r="BZ99" s="13">
        <f>BY99*VLOOKUP('Données projet'!$B$12,Paramètres!$A$1:$I$89,3,0)*VLOOKUP('Données projet'!$B$12,Paramètres!$A$1:$I$89,5,0)</f>
        <v>247.28788933333323</v>
      </c>
      <c r="CA99" s="13">
        <f t="shared" si="93"/>
        <v>60.004815004836068</v>
      </c>
      <c r="CB99" s="20">
        <f t="shared" si="64"/>
        <v>535.20146005564482</v>
      </c>
      <c r="CC99" s="59">
        <f t="shared" si="65"/>
        <v>828.53479338897819</v>
      </c>
      <c r="CD99" s="59">
        <f ca="1">AVERAGE(OFFSET($CC$3,0,0,'Données projet'!$E$12+1,1))-AVERAGE(OFFSET($H$3,0,0,'Données projet'!$E$12+1,1))</f>
        <v>593.28343396240075</v>
      </c>
      <c r="CE99" s="59">
        <f t="shared" si="94"/>
        <v>289.66477662068695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13.673351375382756</v>
      </c>
      <c r="CL99" s="21">
        <f>EXP(-LN(2)/25)*CL98+(1-EXP(-LN(2)/25))/(LN(2)/25)*Calculateur!CG99*Calculateur!CI99*VLOOKUP('Données projet'!$B$12,Paramètres!$A$1:$I$89,3,0)*0.475*44/12</f>
        <v>36.342120702796841</v>
      </c>
      <c r="CM99" s="21">
        <f>EXP(-LN(2)/2)*CM98+(1-EXP(-LN(2)/2))/(LN(2)/2)*CG99*CJ99*VLOOKUP('Données projet'!$B$12,Paramètres!$A$1:$I$89,3,0)*0.475*44/12</f>
        <v>3.3432332296696727</v>
      </c>
      <c r="CN99" s="22">
        <f t="shared" si="66"/>
        <v>53.35870530784927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2.2737367544323206E-13</v>
      </c>
      <c r="CU99" s="17">
        <f>CT99*VLOOKUP('Données projet'!$B$13,Paramètres!$A$1:$I$89,3,0)*VLOOKUP('Données projet'!$B$13,Paramètres!$A$1:$I$89,5,0)</f>
        <v>2.3765096557326618E-13</v>
      </c>
      <c r="CV99" s="13">
        <f t="shared" si="95"/>
        <v>3.2279907425805489E-12</v>
      </c>
      <c r="CW99" s="20">
        <f t="shared" si="67"/>
        <v>6.0359926417012276E-12</v>
      </c>
      <c r="CX99" s="59">
        <f t="shared" si="68"/>
        <v>293.33333333333934</v>
      </c>
      <c r="CY99" s="59">
        <f ca="1">AVERAGE(OFFSET($CX$3,0,0,'Données projet'!$E$13+1,1))-AVERAGE(OFFSET($H$3,0,0,'Données projet'!$E$13+1,1))</f>
        <v>260.65406541614402</v>
      </c>
      <c r="CZ99" s="59">
        <f t="shared" si="96"/>
        <v>277.63456890196886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15.996327109309039</v>
      </c>
      <c r="DG99" s="21">
        <f>EXP(-LN(2)/25)*DG98+(1-EXP(-LN(2)/25))/(LN(2)/25)*Calculateur!DB99*Calculateur!DD99*VLOOKUP('Données projet'!$B$13,Paramètres!$A$1:$I$89,3,0)*0.475*44/12</f>
        <v>41.947478733803202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57.943805843112244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2.2737367544323206E-13</v>
      </c>
      <c r="DP99" s="17">
        <f>DO99*VLOOKUP('Données projet'!$B$14,Paramètres!$A$1:$I$89,3,0)*VLOOKUP('Données projet'!$B$14,Paramètres!$A$1:$I$89,5,0)</f>
        <v>1.4897523215040565E-13</v>
      </c>
      <c r="DQ99" s="13">
        <f t="shared" si="97"/>
        <v>2.136562777003313E-12</v>
      </c>
      <c r="DR99" s="20">
        <f t="shared" si="70"/>
        <v>3.9806453659427267E-12</v>
      </c>
      <c r="DS99" s="59">
        <f t="shared" si="71"/>
        <v>293.33333333333729</v>
      </c>
      <c r="DT99" s="59">
        <f ca="1">AVERAGE(OFFSET($DS$3,0,0,'Données projet'!$E$14+1,1))-AVERAGE(OFFSET($H$3,0,0,'Données projet'!$E$14+1,1))</f>
        <v>181.4272795535777</v>
      </c>
      <c r="DU99" s="59">
        <f t="shared" si="98"/>
        <v>187.67131775419904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15.011464094779662</v>
      </c>
      <c r="EB99" s="21">
        <f>EXP(-LN(2)/25)*EB98+(1-EXP(-LN(2)/25))/(LN(2)/25)*Calculateur!DW99*Calculateur!DY99*VLOOKUP('Données projet'!$B$14,Paramètres!$A$1:$I$89,3,0)*0.475*44/12</f>
        <v>15.277478934520127</v>
      </c>
      <c r="EC99" s="21">
        <f>EXP(-LN(2)/2)*EC98+(1-EXP(-LN(2)/2))/(LN(2)/2)*DW99*DZ99*VLOOKUP('Données projet'!$B$14,Paramètres!$A$1:$I$89,3,0)*0.475*44/12</f>
        <v>3.1364912058618044</v>
      </c>
      <c r="ED99" s="22">
        <f t="shared" si="72"/>
        <v>33.425434235161589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1.1368683772161603E-13</v>
      </c>
      <c r="EK99" s="17">
        <f>EJ99*VLOOKUP('Données projet'!$B$15,Paramètres!$A$1:$I$89,3,0)*VLOOKUP('Données projet'!$B$15,Paramètres!$A$1:$I$89,5,0)</f>
        <v>9.2222762759774927E-14</v>
      </c>
      <c r="EL99" s="13">
        <f t="shared" si="99"/>
        <v>1.3985662224947967E-12</v>
      </c>
      <c r="EM99" s="20">
        <f t="shared" si="73"/>
        <v>2.5964574826517121E-12</v>
      </c>
      <c r="EN99" s="59">
        <f t="shared" si="74"/>
        <v>293.33333333333593</v>
      </c>
      <c r="EO99" s="59">
        <f ca="1">AVERAGE(OFFSET($EN$3,0,0,'Données projet'!$E$15+1,1))-AVERAGE(OFFSET($H$3,0,0,'Données projet'!$E$15+1,1))</f>
        <v>159.68591355116837</v>
      </c>
      <c r="EP99" s="59">
        <f t="shared" si="100"/>
        <v>284.32631786390112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4.8108623199014175</v>
      </c>
      <c r="EW99" s="21">
        <f>EXP(-LN(2)/25)*EW98+(1-EXP(-LN(2)/25))/(LN(2)/25)*Calculateur!ER99*Calculateur!ET99*VLOOKUP('Données projet'!$B$15,Paramètres!$A$1:$I$89,3,0)*0.475*44/12</f>
        <v>4.0897854412963932</v>
      </c>
      <c r="EX99" s="21">
        <f>EXP(-LN(2)/2)*EX98+(1-EXP(-LN(2)/2))/(LN(2)/2)*ER99*EU99*VLOOKUP('Données projet'!$B$15,Paramètres!$A$1:$I$89,3,0)*0.475*44/12</f>
        <v>1.0871184764361326E-7</v>
      </c>
      <c r="EY99" s="22">
        <f t="shared" si="75"/>
        <v>8.9006478699096583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-1.3567387213697657E-13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299.10536994156814</v>
      </c>
      <c r="FK99" s="59">
        <f t="shared" si="102"/>
        <v>292.57799203101769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29.591100334777611</v>
      </c>
      <c r="FR99" s="21">
        <f>EXP(-LN(2)/25)*FR98+(1-EXP(-LN(2)/25))/(LN(2)/25)*Calculateur!FM99*Calculateur!FO99*VLOOKUP('Données projet'!$B$16,Paramètres!$A$1:$I$89,3,0)*0.475*44/12</f>
        <v>27.184291037659381</v>
      </c>
      <c r="FS99" s="21">
        <f>EXP(-LN(2)/2)*FS98+(1-EXP(-LN(2)/2))/(LN(2)/2)*FM99*FP99*VLOOKUP('Données projet'!$B$16,Paramètres!$A$1:$I$89,3,0)*0.475*44/12</f>
        <v>0.20304662806822227</v>
      </c>
      <c r="FT99" s="22">
        <f t="shared" si="78"/>
        <v>56.978438000505214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5.6843418860808015E-14</v>
      </c>
      <c r="GA99" s="17">
        <f>FZ99*VLOOKUP('Données projet'!$B$17,Paramètres!$A$1:$I$89,3,0)*VLOOKUP('Données projet'!$B$17,Paramètres!$A$1:$I$89,5,0)</f>
        <v>5.1431925385259088E-14</v>
      </c>
      <c r="GB99" s="13">
        <f t="shared" si="103"/>
        <v>8.3482866290946129E-13</v>
      </c>
      <c r="GC99" s="20">
        <f t="shared" si="79"/>
        <v>1.5435705246133045E-12</v>
      </c>
      <c r="GD99" s="59">
        <f t="shared" si="80"/>
        <v>293.33333333333485</v>
      </c>
      <c r="GE99" s="59">
        <f ca="1">AVERAGE(OFFSET($GD$3,0,0,'Données projet'!$E$17+1,1))-AVERAGE(OFFSET($H$3,0,0,'Données projet'!$E$17+1,1))</f>
        <v>204.78565758021779</v>
      </c>
      <c r="GF99" s="59">
        <f t="shared" si="104"/>
        <v>287.25131613242439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5.6851080474157625</v>
      </c>
      <c r="GM99" s="21">
        <f>EXP(-LN(2)/25)*GM98+(1-EXP(-LN(2)/25))/(LN(2)/25)*Calculateur!GH99*Calculateur!GJ99*VLOOKUP('Données projet'!$B$17,Paramètres!$A$1:$I$89,3,0)*0.475*44/12</f>
        <v>3.2138957701746604</v>
      </c>
      <c r="GN99" s="21">
        <f>EXP(-LN(2)/2)*GN98+(1-EXP(-LN(2)/2))/(LN(2)/2)*GH99*GK99*VLOOKUP('Données projet'!$B$17,Paramètres!$A$1:$I$89,3,0)*0.475*44/12</f>
        <v>2.906149408190058E-7</v>
      </c>
      <c r="GO99" s="21">
        <f t="shared" si="81"/>
        <v>8.8990041082053626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5.6843418860808015E-14</v>
      </c>
      <c r="GV99" s="17">
        <f>GU99*VLOOKUP('Données projet'!$B$18,Paramètres!$A$1:$I$89,3,0)*VLOOKUP('Données projet'!$B$18,Paramètres!$A$1:$I$89,5,0)</f>
        <v>4.4337866711430253E-14</v>
      </c>
      <c r="GW99" s="13">
        <f t="shared" si="105"/>
        <v>7.3222115536967035E-13</v>
      </c>
      <c r="GX99" s="20">
        <f t="shared" si="82"/>
        <v>1.3525069634579169E-12</v>
      </c>
      <c r="GY99" s="59">
        <f t="shared" si="83"/>
        <v>293.33333333333468</v>
      </c>
      <c r="GZ99" s="59">
        <f ca="1">AVERAGE(OFFSET($GY$3,0,0,'Données projet'!$E$18+1,1))-AVERAGE(OFFSET($H$3,0,0,'Données projet'!$E$18+1,1))</f>
        <v>288.82868507674738</v>
      </c>
      <c r="HA99" s="59">
        <f t="shared" si="106"/>
        <v>283.48738729114024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25.190162848319066</v>
      </c>
      <c r="HH99" s="21">
        <f>EXP(-LN(2)/25)*HH98+(1-EXP(-LN(2)/25))/(LN(2)/25)*Calculateur!HC99*Calculateur!HE99*VLOOKUP('Données projet'!$B$18,Paramètres!$A$1:$I$89,3,0)*0.475*44/12</f>
        <v>20.025761290495776</v>
      </c>
      <c r="HI99" s="21">
        <f>EXP(-LN(2)/2)*HI98+(1-EXP(-LN(2)/2))/(LN(2)/2)*HC99*HF99*VLOOKUP('Données projet'!$B$18,Paramètres!$A$1:$I$89,3,0)*0.475*44/12</f>
        <v>5.2442620738468587E-3</v>
      </c>
      <c r="HJ99" s="22">
        <f t="shared" si="84"/>
        <v>45.221168400888686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349.71285006949597</v>
      </c>
      <c r="T100" s="59">
        <f t="shared" si="88"/>
        <v>258.51550516456842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109.454953336426</v>
      </c>
      <c r="AA100" s="21">
        <f>EXP(-LN(2)/25)*AA99+(1-EXP(-LN(2)/25))/(LN(2)/25)*Calculateur!V100*Calculateur!X100*VLOOKUP('Données projet'!$B$9,Paramètres!$A$1:$I$89,3,0)*0.475*44/12</f>
        <v>32.297040636451129</v>
      </c>
      <c r="AB100" s="21">
        <f>EXP(-LN(2)/2)*AB99+(1-EXP(-LN(2)/2))/(LN(2)/2)*V100*Y100*VLOOKUP('Données projet'!$B$9,Paramètres!$A$1:$I$89,3,0)*0.475*44/12</f>
        <v>0.19532897526359971</v>
      </c>
      <c r="AC100" s="22">
        <f t="shared" si="57"/>
        <v>141.94732294814074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8.9989999999999952</v>
      </c>
      <c r="AI100" s="13">
        <f>IF('Données projet'!$A$62&gt;35,AI99+AH100-AQ99,IF(A100&lt;'Données projet'!$A$62,$AF$205^A100,IF(A100='Données projet'!$A$62,'Données projet'!$B$62,AI99+AH100-AQ99)))</f>
        <v>317.40599999999995</v>
      </c>
      <c r="AJ100" s="13">
        <f>AI100*VLOOKUP('Données projet'!$B$10,Paramètres!$A$1:$I$89,3,0)*VLOOKUP('Données projet'!$B$10,Paramètres!$A$1:$I$89,5,0)</f>
        <v>302.04354959999995</v>
      </c>
      <c r="AK100" s="13">
        <f t="shared" si="89"/>
        <v>71.604700553278462</v>
      </c>
      <c r="AL100" s="20">
        <f t="shared" si="58"/>
        <v>650.77070235029328</v>
      </c>
      <c r="AM100" s="59">
        <f t="shared" si="59"/>
        <v>944.10403568362653</v>
      </c>
      <c r="AN100" s="59">
        <f ca="1">AVERAGE(OFFSET($AM$3,0,0,'Données projet'!$E$10+1,1))-AVERAGE(OFFSET($H$3,0,0,'Données projet'!$E$10+1,1))</f>
        <v>449.28947235329758</v>
      </c>
      <c r="AO100" s="59">
        <f t="shared" si="90"/>
        <v>289.36994109443964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34.269977022047641</v>
      </c>
      <c r="AV100" s="21">
        <f>EXP(-LN(2)/25)*AV99+(1-EXP(-LN(2)/25))/(LN(2)/25)*Calculateur!AQ100*Calculateur!AS100*VLOOKUP('Données projet'!$B$10,Paramètres!$A$1:$I$89,3,0)*0.475*44/12</f>
        <v>23.337719361139953</v>
      </c>
      <c r="AW100" s="21">
        <f>EXP(-LN(2)/2)*AW99+(1-EXP(-LN(2)/2))/(LN(2)/2)*AQ100*AT100*VLOOKUP('Données projet'!$B$10,Paramètres!$A$1:$I$89,3,0)*0.475*44/12</f>
        <v>3.7091138276767181E-2</v>
      </c>
      <c r="AX100" s="21">
        <f t="shared" si="60"/>
        <v>57.644787521464359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307.27550880000041</v>
      </c>
      <c r="BF100" s="13">
        <f t="shared" si="91"/>
        <v>72.699555980078841</v>
      </c>
      <c r="BG100" s="20">
        <f t="shared" si="61"/>
        <v>661.78990449197136</v>
      </c>
      <c r="BH100" s="59">
        <f t="shared" si="62"/>
        <v>955.12323782530461</v>
      </c>
      <c r="BI100" s="59">
        <f ca="1">AVERAGE(OFFSET($BH$3,0,0,'Données projet'!$E$11+1,1))-AVERAGE(OFFSET($H$3,0,0,'Données projet'!$E$11+1,1))</f>
        <v>635.71275911100679</v>
      </c>
      <c r="BJ100" s="59">
        <f t="shared" si="92"/>
        <v>281.7776857269169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26.588412041927928</v>
      </c>
      <c r="BQ100" s="21">
        <f>EXP(-LN(2)/25)*BQ99+(1-EXP(-LN(2)/25))/(LN(2)/25)*Calculateur!BL100*Calculateur!BN100*VLOOKUP('Données projet'!$B$11,Paramètres!$A$1:$I$89,3,0)*0.475*44/12</f>
        <v>25.937284084006841</v>
      </c>
      <c r="BR100" s="21">
        <f>EXP(-LN(2)/2)*BR99+(1-EXP(-LN(2)/2))/(LN(2)/2)*BL100*BO100*VLOOKUP('Données projet'!$B$11,Paramètres!$A$1:$I$89,3,0)*0.475*44/12</f>
        <v>2.0973495876303185</v>
      </c>
      <c r="BS100" s="22">
        <f t="shared" si="63"/>
        <v>54.623045713565091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6.7777777777777777</v>
      </c>
      <c r="BY100" s="12">
        <f>IF('Données projet'!$A$114&gt;35,BY99+BX100-CG99,IF(A100&lt;'Données projet'!$A$114,$BV$205^A100,IF(A100='Données projet'!$A$114,'Données projet'!$B$114,BY99+BX100-CG99)))</f>
        <v>223.92555555555543</v>
      </c>
      <c r="BZ100" s="13">
        <f>BY100*VLOOKUP('Données projet'!$B$12,Paramètres!$A$1:$I$89,3,0)*VLOOKUP('Données projet'!$B$12,Paramètres!$A$1:$I$89,5,0)</f>
        <v>255.00642266666651</v>
      </c>
      <c r="CA100" s="13">
        <f t="shared" si="93"/>
        <v>61.656750661172069</v>
      </c>
      <c r="CB100" s="20">
        <f t="shared" si="64"/>
        <v>551.5216935459855</v>
      </c>
      <c r="CC100" s="59">
        <f t="shared" si="65"/>
        <v>844.85502687931876</v>
      </c>
      <c r="CD100" s="59">
        <f ca="1">AVERAGE(OFFSET($CC$3,0,0,'Données projet'!$E$12+1,1))-AVERAGE(OFFSET($H$3,0,0,'Données projet'!$E$12+1,1))</f>
        <v>593.28343396240075</v>
      </c>
      <c r="CE100" s="59">
        <f t="shared" si="94"/>
        <v>289.66477662068695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13.405225294832341</v>
      </c>
      <c r="CL100" s="21">
        <f>EXP(-LN(2)/25)*CL99+(1-EXP(-LN(2)/25))/(LN(2)/25)*Calculateur!CG100*Calculateur!CI100*VLOOKUP('Données projet'!$B$12,Paramètres!$A$1:$I$89,3,0)*0.475*44/12</f>
        <v>35.348343501029795</v>
      </c>
      <c r="CM100" s="21">
        <f>EXP(-LN(2)/2)*CM99+(1-EXP(-LN(2)/2))/(LN(2)/2)*CG100*CJ100*VLOOKUP('Données projet'!$B$12,Paramètres!$A$1:$I$89,3,0)*0.475*44/12</f>
        <v>2.3640228877876281</v>
      </c>
      <c r="CN100" s="22">
        <f t="shared" si="66"/>
        <v>51.117591683649763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2.2737367544323206E-13</v>
      </c>
      <c r="CU100" s="17">
        <f>CT100*VLOOKUP('Données projet'!$B$13,Paramètres!$A$1:$I$89,3,0)*VLOOKUP('Données projet'!$B$13,Paramètres!$A$1:$I$89,5,0)</f>
        <v>2.3765096557326618E-13</v>
      </c>
      <c r="CV100" s="13">
        <f t="shared" si="95"/>
        <v>3.2279907425805489E-12</v>
      </c>
      <c r="CW100" s="20">
        <f t="shared" si="67"/>
        <v>6.0359926417012276E-12</v>
      </c>
      <c r="CX100" s="59">
        <f t="shared" si="68"/>
        <v>293.33333333333934</v>
      </c>
      <c r="CY100" s="59">
        <f ca="1">AVERAGE(OFFSET($CX$3,0,0,'Données projet'!$E$13+1,1))-AVERAGE(OFFSET($H$3,0,0,'Données projet'!$E$13+1,1))</f>
        <v>260.65406541614402</v>
      </c>
      <c r="CZ100" s="59">
        <f t="shared" si="96"/>
        <v>277.63456890196886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15.682648891491622</v>
      </c>
      <c r="DG100" s="21">
        <f>EXP(-LN(2)/25)*DG99+(1-EXP(-LN(2)/25))/(LN(2)/25)*Calculateur!DB100*Calculateur!DD100*VLOOKUP('Données projet'!$B$13,Paramètres!$A$1:$I$89,3,0)*0.475*44/12</f>
        <v>40.800422721905321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56.483071613396945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2.2737367544323206E-13</v>
      </c>
      <c r="DP100" s="17">
        <f>DO100*VLOOKUP('Données projet'!$B$14,Paramètres!$A$1:$I$89,3,0)*VLOOKUP('Données projet'!$B$14,Paramètres!$A$1:$I$89,5,0)</f>
        <v>1.4897523215040565E-13</v>
      </c>
      <c r="DQ100" s="13">
        <f t="shared" si="97"/>
        <v>2.136562777003313E-12</v>
      </c>
      <c r="DR100" s="20">
        <f t="shared" si="70"/>
        <v>3.9806453659427267E-12</v>
      </c>
      <c r="DS100" s="59">
        <f t="shared" si="71"/>
        <v>293.33333333333729</v>
      </c>
      <c r="DT100" s="59">
        <f ca="1">AVERAGE(OFFSET($DS$3,0,0,'Données projet'!$E$14+1,1))-AVERAGE(OFFSET($H$3,0,0,'Données projet'!$E$14+1,1))</f>
        <v>181.4272795535777</v>
      </c>
      <c r="DU100" s="59">
        <f t="shared" si="98"/>
        <v>187.67131775419904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14.717098439970041</v>
      </c>
      <c r="EB100" s="21">
        <f>EXP(-LN(2)/25)*EB99+(1-EXP(-LN(2)/25))/(LN(2)/25)*Calculateur!DW100*Calculateur!DY100*VLOOKUP('Données projet'!$B$14,Paramètres!$A$1:$I$89,3,0)*0.475*44/12</f>
        <v>14.859715469647975</v>
      </c>
      <c r="EC100" s="21">
        <f>EXP(-LN(2)/2)*EC99+(1-EXP(-LN(2)/2))/(LN(2)/2)*DW100*DZ100*VLOOKUP('Données projet'!$B$14,Paramètres!$A$1:$I$89,3,0)*0.475*44/12</f>
        <v>2.2178342007968537</v>
      </c>
      <c r="ED100" s="22">
        <f t="shared" si="72"/>
        <v>31.794648110414872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1.1368683772161603E-13</v>
      </c>
      <c r="EK100" s="17">
        <f>EJ100*VLOOKUP('Données projet'!$B$15,Paramètres!$A$1:$I$89,3,0)*VLOOKUP('Données projet'!$B$15,Paramètres!$A$1:$I$89,5,0)</f>
        <v>9.2222762759774927E-14</v>
      </c>
      <c r="EL100" s="13">
        <f t="shared" si="99"/>
        <v>1.3985662224947967E-12</v>
      </c>
      <c r="EM100" s="20">
        <f t="shared" si="73"/>
        <v>2.5964574826517121E-12</v>
      </c>
      <c r="EN100" s="59">
        <f t="shared" si="74"/>
        <v>293.33333333333593</v>
      </c>
      <c r="EO100" s="59">
        <f ca="1">AVERAGE(OFFSET($EN$3,0,0,'Données projet'!$E$15+1,1))-AVERAGE(OFFSET($H$3,0,0,'Données projet'!$E$15+1,1))</f>
        <v>159.68591355116837</v>
      </c>
      <c r="EP100" s="59">
        <f t="shared" si="100"/>
        <v>284.32631786390112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4.7165242441444244</v>
      </c>
      <c r="EW100" s="21">
        <f>EXP(-LN(2)/25)*EW99+(1-EXP(-LN(2)/25))/(LN(2)/25)*Calculateur!ER100*Calculateur!ET100*VLOOKUP('Données projet'!$B$15,Paramètres!$A$1:$I$89,3,0)*0.475*44/12</f>
        <v>3.9779500433316741</v>
      </c>
      <c r="EX100" s="21">
        <f>EXP(-LN(2)/2)*EX99+(1-EXP(-LN(2)/2))/(LN(2)/2)*ER100*EU100*VLOOKUP('Données projet'!$B$15,Paramètres!$A$1:$I$89,3,0)*0.475*44/12</f>
        <v>7.6870884664117734E-8</v>
      </c>
      <c r="EY100" s="22">
        <f t="shared" si="75"/>
        <v>8.6944743643469824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-1.3567387213697657E-13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299.10536994156814</v>
      </c>
      <c r="FK100" s="59">
        <f t="shared" si="102"/>
        <v>292.57799203101769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29.010836906001657</v>
      </c>
      <c r="FR100" s="21">
        <f>EXP(-LN(2)/25)*FR99+(1-EXP(-LN(2)/25))/(LN(2)/25)*Calculateur!FM100*Calculateur!FO100*VLOOKUP('Données projet'!$B$16,Paramètres!$A$1:$I$89,3,0)*0.475*44/12</f>
        <v>26.440935169674852</v>
      </c>
      <c r="FS100" s="21">
        <f>EXP(-LN(2)/2)*FS99+(1-EXP(-LN(2)/2))/(LN(2)/2)*FM100*FP100*VLOOKUP('Données projet'!$B$16,Paramètres!$A$1:$I$89,3,0)*0.475*44/12</f>
        <v>0.14357564760410274</v>
      </c>
      <c r="FT100" s="22">
        <f t="shared" si="78"/>
        <v>55.595347723280611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5.6843418860808015E-14</v>
      </c>
      <c r="GA100" s="17">
        <f>FZ100*VLOOKUP('Données projet'!$B$17,Paramètres!$A$1:$I$89,3,0)*VLOOKUP('Données projet'!$B$17,Paramètres!$A$1:$I$89,5,0)</f>
        <v>5.1431925385259088E-14</v>
      </c>
      <c r="GB100" s="13">
        <f t="shared" si="103"/>
        <v>8.3482866290946129E-13</v>
      </c>
      <c r="GC100" s="20">
        <f t="shared" si="79"/>
        <v>1.5435705246133045E-12</v>
      </c>
      <c r="GD100" s="59">
        <f t="shared" si="80"/>
        <v>293.33333333333485</v>
      </c>
      <c r="GE100" s="59">
        <f ca="1">AVERAGE(OFFSET($GD$3,0,0,'Données projet'!$E$17+1,1))-AVERAGE(OFFSET($H$3,0,0,'Données projet'!$E$17+1,1))</f>
        <v>204.78565758021779</v>
      </c>
      <c r="GF100" s="59">
        <f t="shared" si="104"/>
        <v>287.25131613242439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5.5736265461794536</v>
      </c>
      <c r="GM100" s="21">
        <f>EXP(-LN(2)/25)*GM99+(1-EXP(-LN(2)/25))/(LN(2)/25)*Calculateur!GH100*Calculateur!GJ100*VLOOKUP('Données projet'!$B$17,Paramètres!$A$1:$I$89,3,0)*0.475*44/12</f>
        <v>3.1260116213278013</v>
      </c>
      <c r="GN100" s="21">
        <f>EXP(-LN(2)/2)*GN99+(1-EXP(-LN(2)/2))/(LN(2)/2)*GH100*GK100*VLOOKUP('Données projet'!$B$17,Paramètres!$A$1:$I$89,3,0)*0.475*44/12</f>
        <v>2.054957953672462E-7</v>
      </c>
      <c r="GO100" s="21">
        <f t="shared" si="81"/>
        <v>8.6996383730030491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5.6843418860808015E-14</v>
      </c>
      <c r="GV100" s="17">
        <f>GU100*VLOOKUP('Données projet'!$B$18,Paramètres!$A$1:$I$89,3,0)*VLOOKUP('Données projet'!$B$18,Paramètres!$A$1:$I$89,5,0)</f>
        <v>4.4337866711430253E-14</v>
      </c>
      <c r="GW100" s="13">
        <f t="shared" si="105"/>
        <v>7.3222115536967035E-13</v>
      </c>
      <c r="GX100" s="20">
        <f t="shared" si="82"/>
        <v>1.3525069634579169E-12</v>
      </c>
      <c r="GY100" s="59">
        <f t="shared" si="83"/>
        <v>293.33333333333468</v>
      </c>
      <c r="GZ100" s="59">
        <f ca="1">AVERAGE(OFFSET($GY$3,0,0,'Données projet'!$E$18+1,1))-AVERAGE(OFFSET($H$3,0,0,'Données projet'!$E$18+1,1))</f>
        <v>288.82868507674738</v>
      </c>
      <c r="HA100" s="59">
        <f t="shared" si="106"/>
        <v>283.48738729114024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24.696199119345749</v>
      </c>
      <c r="HH100" s="21">
        <f>EXP(-LN(2)/25)*HH99+(1-EXP(-LN(2)/25))/(LN(2)/25)*Calculateur!HC100*Calculateur!HE100*VLOOKUP('Données projet'!$B$18,Paramètres!$A$1:$I$89,3,0)*0.475*44/12</f>
        <v>19.478155794898154</v>
      </c>
      <c r="HI100" s="21">
        <f>EXP(-LN(2)/2)*HI99+(1-EXP(-LN(2)/2))/(LN(2)/2)*HC100*HF100*VLOOKUP('Données projet'!$B$18,Paramètres!$A$1:$I$89,3,0)*0.475*44/12</f>
        <v>3.7082532747365407E-3</v>
      </c>
      <c r="HJ100" s="22">
        <f t="shared" si="84"/>
        <v>44.178063167518644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349.71285006949597</v>
      </c>
      <c r="T101" s="59">
        <f t="shared" si="88"/>
        <v>258.51550516456842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107.30860846242813</v>
      </c>
      <c r="AA101" s="21">
        <f>EXP(-LN(2)/25)*AA100+(1-EXP(-LN(2)/25))/(LN(2)/25)*Calculateur!V101*Calculateur!X101*VLOOKUP('Données projet'!$B$9,Paramètres!$A$1:$I$89,3,0)*0.475*44/12</f>
        <v>31.41387636181982</v>
      </c>
      <c r="AB101" s="21">
        <f>EXP(-LN(2)/2)*AB100+(1-EXP(-LN(2)/2))/(LN(2)/2)*V101*Y101*VLOOKUP('Données projet'!$B$9,Paramètres!$A$1:$I$89,3,0)*0.475*44/12</f>
        <v>0.13811844297111076</v>
      </c>
      <c r="AC101" s="22">
        <f t="shared" si="57"/>
        <v>138.86060326721906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8.9989999999999952</v>
      </c>
      <c r="AI101" s="13">
        <f>IF('Données projet'!$A$62&gt;35,AI100+AH101-AQ100,IF(A101&lt;'Données projet'!$A$62,$AF$205^A101,IF(A101='Données projet'!$A$62,'Données projet'!$B$62,AI100+AH101-AQ100)))</f>
        <v>326.40499999999997</v>
      </c>
      <c r="AJ101" s="13">
        <f>AI101*VLOOKUP('Données projet'!$B$10,Paramètres!$A$1:$I$89,3,0)*VLOOKUP('Données projet'!$B$10,Paramètres!$A$1:$I$89,5,0)</f>
        <v>310.60699799999998</v>
      </c>
      <c r="AK101" s="13">
        <f t="shared" si="89"/>
        <v>73.395581077832844</v>
      </c>
      <c r="AL101" s="20">
        <f t="shared" si="58"/>
        <v>668.80449189389219</v>
      </c>
      <c r="AM101" s="59">
        <f t="shared" si="59"/>
        <v>962.13782522722545</v>
      </c>
      <c r="AN101" s="59">
        <f ca="1">AVERAGE(OFFSET($AM$3,0,0,'Données projet'!$E$10+1,1))-AVERAGE(OFFSET($H$3,0,0,'Données projet'!$E$10+1,1))</f>
        <v>449.28947235329758</v>
      </c>
      <c r="AO101" s="59">
        <f t="shared" si="90"/>
        <v>289.36994109443964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33.597963675267309</v>
      </c>
      <c r="AV101" s="21">
        <f>EXP(-LN(2)/25)*AV100+(1-EXP(-LN(2)/25))/(LN(2)/25)*Calculateur!AQ101*Calculateur!AS101*VLOOKUP('Données projet'!$B$10,Paramètres!$A$1:$I$89,3,0)*0.475*44/12</f>
        <v>22.699548197932259</v>
      </c>
      <c r="AW101" s="21">
        <f>EXP(-LN(2)/2)*AW100+(1-EXP(-LN(2)/2))/(LN(2)/2)*AQ101*AT101*VLOOKUP('Données projet'!$B$10,Paramètres!$A$1:$I$89,3,0)*0.475*44/12</f>
        <v>2.6227395397429989E-2</v>
      </c>
      <c r="AX101" s="21">
        <f t="shared" si="60"/>
        <v>56.323739268596995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315.36623040000046</v>
      </c>
      <c r="BF101" s="13">
        <f t="shared" si="91"/>
        <v>74.38839081830163</v>
      </c>
      <c r="BG101" s="20">
        <f t="shared" si="61"/>
        <v>678.82263195520943</v>
      </c>
      <c r="BH101" s="59">
        <f t="shared" si="62"/>
        <v>972.1559652885428</v>
      </c>
      <c r="BI101" s="59">
        <f ca="1">AVERAGE(OFFSET($BH$3,0,0,'Données projet'!$E$11+1,1))-AVERAGE(OFFSET($H$3,0,0,'Données projet'!$E$11+1,1))</f>
        <v>635.71275911100679</v>
      </c>
      <c r="BJ101" s="59">
        <f t="shared" si="92"/>
        <v>281.7776857269169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26.067029499115737</v>
      </c>
      <c r="BQ101" s="21">
        <f>EXP(-LN(2)/25)*BQ100+(1-EXP(-LN(2)/25))/(LN(2)/25)*Calculateur!BL101*Calculateur!BN101*VLOOKUP('Données projet'!$B$11,Paramètres!$A$1:$I$89,3,0)*0.475*44/12</f>
        <v>25.228027686747183</v>
      </c>
      <c r="BR101" s="21">
        <f>EXP(-LN(2)/2)*BR100+(1-EXP(-LN(2)/2))/(LN(2)/2)*BL101*BO101*VLOOKUP('Données projet'!$B$11,Paramètres!$A$1:$I$89,3,0)*0.475*44/12</f>
        <v>1.4830501159322074</v>
      </c>
      <c r="BS101" s="22">
        <f t="shared" si="63"/>
        <v>52.778107301795124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6.7777777777777777</v>
      </c>
      <c r="BY101" s="12">
        <f>IF('Données projet'!$A$114&gt;35,BY100+BX101-CG100,IF(A101&lt;'Données projet'!$A$114,$BV$205^A101,IF(A101='Données projet'!$A$114,'Données projet'!$B$114,BY100+BX101-CG100)))</f>
        <v>230.70333333333321</v>
      </c>
      <c r="BZ101" s="13">
        <f>BY101*VLOOKUP('Données projet'!$B$12,Paramètres!$A$1:$I$89,3,0)*VLOOKUP('Données projet'!$B$12,Paramètres!$A$1:$I$89,5,0)</f>
        <v>262.72495599999985</v>
      </c>
      <c r="CA101" s="13">
        <f t="shared" si="93"/>
        <v>63.302875529710846</v>
      </c>
      <c r="CB101" s="20">
        <f t="shared" si="64"/>
        <v>567.83180658091271</v>
      </c>
      <c r="CC101" s="59">
        <f t="shared" si="65"/>
        <v>861.16513991424608</v>
      </c>
      <c r="CD101" s="59">
        <f ca="1">AVERAGE(OFFSET($CC$3,0,0,'Données projet'!$E$12+1,1))-AVERAGE(OFFSET($H$3,0,0,'Données projet'!$E$12+1,1))</f>
        <v>593.28343396240075</v>
      </c>
      <c r="CE101" s="59">
        <f t="shared" si="94"/>
        <v>289.66477662068695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13.142357003180759</v>
      </c>
      <c r="CL101" s="21">
        <f>EXP(-LN(2)/25)*CL100+(1-EXP(-LN(2)/25))/(LN(2)/25)*Calculateur!CG101*Calculateur!CI101*VLOOKUP('Données projet'!$B$12,Paramètres!$A$1:$I$89,3,0)*0.475*44/12</f>
        <v>34.38174118910554</v>
      </c>
      <c r="CM101" s="21">
        <f>EXP(-LN(2)/2)*CM100+(1-EXP(-LN(2)/2))/(LN(2)/2)*CG101*CJ101*VLOOKUP('Données projet'!$B$12,Paramètres!$A$1:$I$89,3,0)*0.475*44/12</f>
        <v>1.6716166148348366</v>
      </c>
      <c r="CN101" s="22">
        <f t="shared" si="66"/>
        <v>49.195714807121142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2.2737367544323206E-13</v>
      </c>
      <c r="CU101" s="17">
        <f>CT101*VLOOKUP('Données projet'!$B$13,Paramètres!$A$1:$I$89,3,0)*VLOOKUP('Données projet'!$B$13,Paramètres!$A$1:$I$89,5,0)</f>
        <v>2.3765096557326618E-13</v>
      </c>
      <c r="CV101" s="13">
        <f t="shared" si="95"/>
        <v>3.2279907425805489E-12</v>
      </c>
      <c r="CW101" s="20">
        <f t="shared" si="67"/>
        <v>6.0359926417012276E-12</v>
      </c>
      <c r="CX101" s="59">
        <f t="shared" si="68"/>
        <v>293.33333333333934</v>
      </c>
      <c r="CY101" s="59">
        <f ca="1">AVERAGE(OFFSET($CX$3,0,0,'Données projet'!$E$13+1,1))-AVERAGE(OFFSET($H$3,0,0,'Données projet'!$E$13+1,1))</f>
        <v>260.65406541614402</v>
      </c>
      <c r="CZ101" s="59">
        <f t="shared" si="96"/>
        <v>277.63456890196886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15.375121712200784</v>
      </c>
      <c r="DG101" s="21">
        <f>EXP(-LN(2)/25)*DG100+(1-EXP(-LN(2)/25))/(LN(2)/25)*Calculateur!DB101*Calculateur!DD101*VLOOKUP('Données projet'!$B$13,Paramètres!$A$1:$I$89,3,0)*0.475*44/12</f>
        <v>39.684733016973837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55.059854729174617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2.2737367544323206E-13</v>
      </c>
      <c r="DP101" s="17">
        <f>DO101*VLOOKUP('Données projet'!$B$14,Paramètres!$A$1:$I$89,3,0)*VLOOKUP('Données projet'!$B$14,Paramètres!$A$1:$I$89,5,0)</f>
        <v>1.4897523215040565E-13</v>
      </c>
      <c r="DQ101" s="13">
        <f t="shared" si="97"/>
        <v>2.136562777003313E-12</v>
      </c>
      <c r="DR101" s="20">
        <f t="shared" si="70"/>
        <v>3.9806453659427267E-12</v>
      </c>
      <c r="DS101" s="59">
        <f t="shared" si="71"/>
        <v>293.33333333333729</v>
      </c>
      <c r="DT101" s="59">
        <f ca="1">AVERAGE(OFFSET($DS$3,0,0,'Données projet'!$E$14+1,1))-AVERAGE(OFFSET($H$3,0,0,'Données projet'!$E$14+1,1))</f>
        <v>181.4272795535777</v>
      </c>
      <c r="DU101" s="59">
        <f t="shared" si="98"/>
        <v>187.67131775419904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14.428505116105917</v>
      </c>
      <c r="EB101" s="21">
        <f>EXP(-LN(2)/25)*EB100+(1-EXP(-LN(2)/25))/(LN(2)/25)*Calculateur!DW101*Calculateur!DY101*VLOOKUP('Données projet'!$B$14,Paramètres!$A$1:$I$89,3,0)*0.475*44/12</f>
        <v>14.453375768691977</v>
      </c>
      <c r="EC101" s="21">
        <f>EXP(-LN(2)/2)*EC100+(1-EXP(-LN(2)/2))/(LN(2)/2)*DW101*DZ101*VLOOKUP('Données projet'!$B$14,Paramètres!$A$1:$I$89,3,0)*0.475*44/12</f>
        <v>1.5682456029309024</v>
      </c>
      <c r="ED101" s="22">
        <f t="shared" si="72"/>
        <v>30.450126487728795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1.1368683772161603E-13</v>
      </c>
      <c r="EK101" s="17">
        <f>EJ101*VLOOKUP('Données projet'!$B$15,Paramètres!$A$1:$I$89,3,0)*VLOOKUP('Données projet'!$B$15,Paramètres!$A$1:$I$89,5,0)</f>
        <v>9.2222762759774927E-14</v>
      </c>
      <c r="EL101" s="13">
        <f t="shared" si="99"/>
        <v>1.3985662224947967E-12</v>
      </c>
      <c r="EM101" s="20">
        <f t="shared" si="73"/>
        <v>2.5964574826517121E-12</v>
      </c>
      <c r="EN101" s="59">
        <f t="shared" si="74"/>
        <v>293.33333333333593</v>
      </c>
      <c r="EO101" s="59">
        <f ca="1">AVERAGE(OFFSET($EN$3,0,0,'Données projet'!$E$15+1,1))-AVERAGE(OFFSET($H$3,0,0,'Données projet'!$E$15+1,1))</f>
        <v>159.68591355116837</v>
      </c>
      <c r="EP101" s="59">
        <f t="shared" si="100"/>
        <v>284.32631786390112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4.6240360805124814</v>
      </c>
      <c r="EW101" s="21">
        <f>EXP(-LN(2)/25)*EW100+(1-EXP(-LN(2)/25))/(LN(2)/25)*Calculateur!ER101*Calculateur!ET101*VLOOKUP('Données projet'!$B$15,Paramètres!$A$1:$I$89,3,0)*0.475*44/12</f>
        <v>3.8691727902054684</v>
      </c>
      <c r="EX101" s="21">
        <f>EXP(-LN(2)/2)*EX100+(1-EXP(-LN(2)/2))/(LN(2)/2)*ER101*EU101*VLOOKUP('Données projet'!$B$15,Paramètres!$A$1:$I$89,3,0)*0.475*44/12</f>
        <v>5.4355923821806631E-8</v>
      </c>
      <c r="EY101" s="22">
        <f t="shared" si="75"/>
        <v>8.4932089250738745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-1.3567387213697657E-13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299.10536994156814</v>
      </c>
      <c r="FK101" s="59">
        <f t="shared" si="102"/>
        <v>292.57799203101769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28.441952089138255</v>
      </c>
      <c r="FR101" s="21">
        <f>EXP(-LN(2)/25)*FR100+(1-EXP(-LN(2)/25))/(LN(2)/25)*Calculateur!FM101*Calculateur!FO101*VLOOKUP('Données projet'!$B$16,Paramètres!$A$1:$I$89,3,0)*0.475*44/12</f>
        <v>25.717906406991744</v>
      </c>
      <c r="FS101" s="21">
        <f>EXP(-LN(2)/2)*FS100+(1-EXP(-LN(2)/2))/(LN(2)/2)*FM101*FP101*VLOOKUP('Données projet'!$B$16,Paramètres!$A$1:$I$89,3,0)*0.475*44/12</f>
        <v>0.10152331403411113</v>
      </c>
      <c r="FT101" s="22">
        <f t="shared" si="78"/>
        <v>54.26138181016411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5.6843418860808015E-14</v>
      </c>
      <c r="GA101" s="17">
        <f>FZ101*VLOOKUP('Données projet'!$B$17,Paramètres!$A$1:$I$89,3,0)*VLOOKUP('Données projet'!$B$17,Paramètres!$A$1:$I$89,5,0)</f>
        <v>5.1431925385259088E-14</v>
      </c>
      <c r="GB101" s="13">
        <f t="shared" si="103"/>
        <v>8.3482866290946129E-13</v>
      </c>
      <c r="GC101" s="20">
        <f t="shared" si="79"/>
        <v>1.5435705246133045E-12</v>
      </c>
      <c r="GD101" s="59">
        <f t="shared" si="80"/>
        <v>293.33333333333485</v>
      </c>
      <c r="GE101" s="59">
        <f ca="1">AVERAGE(OFFSET($GD$3,0,0,'Données projet'!$E$17+1,1))-AVERAGE(OFFSET($H$3,0,0,'Données projet'!$E$17+1,1))</f>
        <v>204.78565758021779</v>
      </c>
      <c r="GF101" s="59">
        <f t="shared" si="104"/>
        <v>287.25131613242439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5.4643311291853873</v>
      </c>
      <c r="GM101" s="21">
        <f>EXP(-LN(2)/25)*GM100+(1-EXP(-LN(2)/25))/(LN(2)/25)*Calculateur!GH101*Calculateur!GJ101*VLOOKUP('Données projet'!$B$17,Paramètres!$A$1:$I$89,3,0)*0.475*44/12</f>
        <v>3.040530669152786</v>
      </c>
      <c r="GN101" s="21">
        <f>EXP(-LN(2)/2)*GN100+(1-EXP(-LN(2)/2))/(LN(2)/2)*GH101*GK101*VLOOKUP('Données projet'!$B$17,Paramètres!$A$1:$I$89,3,0)*0.475*44/12</f>
        <v>1.453074704095029E-7</v>
      </c>
      <c r="GO101" s="21">
        <f t="shared" si="81"/>
        <v>8.5048619436456434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5.6843418860808015E-14</v>
      </c>
      <c r="GV101" s="17">
        <f>GU101*VLOOKUP('Données projet'!$B$18,Paramètres!$A$1:$I$89,3,0)*VLOOKUP('Données projet'!$B$18,Paramètres!$A$1:$I$89,5,0)</f>
        <v>4.4337866711430253E-14</v>
      </c>
      <c r="GW101" s="13">
        <f t="shared" si="105"/>
        <v>7.3222115536967035E-13</v>
      </c>
      <c r="GX101" s="20">
        <f t="shared" si="82"/>
        <v>1.3525069634579169E-12</v>
      </c>
      <c r="GY101" s="59">
        <f t="shared" si="83"/>
        <v>293.33333333333468</v>
      </c>
      <c r="GZ101" s="59">
        <f ca="1">AVERAGE(OFFSET($GY$3,0,0,'Données projet'!$E$18+1,1))-AVERAGE(OFFSET($H$3,0,0,'Données projet'!$E$18+1,1))</f>
        <v>288.82868507674738</v>
      </c>
      <c r="HA101" s="59">
        <f t="shared" si="106"/>
        <v>283.48738729114024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24.211921717809474</v>
      </c>
      <c r="HH101" s="21">
        <f>EXP(-LN(2)/25)*HH100+(1-EXP(-LN(2)/25))/(LN(2)/25)*Calculateur!HC101*Calculateur!HE101*VLOOKUP('Données projet'!$B$18,Paramètres!$A$1:$I$89,3,0)*0.475*44/12</f>
        <v>18.94552460037497</v>
      </c>
      <c r="HI101" s="21">
        <f>EXP(-LN(2)/2)*HI100+(1-EXP(-LN(2)/2))/(LN(2)/2)*HC101*HF101*VLOOKUP('Données projet'!$B$18,Paramètres!$A$1:$I$89,3,0)*0.475*44/12</f>
        <v>2.6221310369234294E-3</v>
      </c>
      <c r="HJ101" s="22">
        <f t="shared" si="84"/>
        <v>43.160068449221363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349.71285006949597</v>
      </c>
      <c r="T102" s="59">
        <f t="shared" si="88"/>
        <v>258.51550516456842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105.20435210226825</v>
      </c>
      <c r="AA102" s="21">
        <f>EXP(-LN(2)/25)*AA101+(1-EXP(-LN(2)/25))/(LN(2)/25)*Calculateur!V102*Calculateur!X102*VLOOKUP('Données projet'!$B$9,Paramètres!$A$1:$I$89,3,0)*0.475*44/12</f>
        <v>30.554862260721897</v>
      </c>
      <c r="AB102" s="21">
        <f>EXP(-LN(2)/2)*AB101+(1-EXP(-LN(2)/2))/(LN(2)/2)*V102*Y102*VLOOKUP('Données projet'!$B$9,Paramètres!$A$1:$I$89,3,0)*0.475*44/12</f>
        <v>9.7664487631799857E-2</v>
      </c>
      <c r="AC102" s="22">
        <f t="shared" si="57"/>
        <v>135.85687885062194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8.9989999999999952</v>
      </c>
      <c r="AI102" s="13">
        <f>IF('Données projet'!$A$62&gt;35,AI101+AH102-AQ101,IF(A102&lt;'Données projet'!$A$62,$AF$205^A102,IF(A102='Données projet'!$A$62,'Données projet'!$B$62,AI101+AH102-AQ101)))</f>
        <v>335.404</v>
      </c>
      <c r="AJ102" s="13">
        <f>AI102*VLOOKUP('Données projet'!$B$10,Paramètres!$A$1:$I$89,3,0)*VLOOKUP('Données projet'!$B$10,Paramètres!$A$1:$I$89,5,0)</f>
        <v>319.1704464</v>
      </c>
      <c r="AK102" s="13">
        <f t="shared" si="89"/>
        <v>75.180722836444687</v>
      </c>
      <c r="AL102" s="20">
        <f t="shared" si="58"/>
        <v>686.82828642014101</v>
      </c>
      <c r="AM102" s="59">
        <f t="shared" si="59"/>
        <v>980.16161975347427</v>
      </c>
      <c r="AN102" s="59">
        <f ca="1">AVERAGE(OFFSET($AM$3,0,0,'Données projet'!$E$10+1,1))-AVERAGE(OFFSET($H$3,0,0,'Données projet'!$E$10+1,1))</f>
        <v>449.28947235329758</v>
      </c>
      <c r="AO102" s="59">
        <f t="shared" si="90"/>
        <v>289.36994109443964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32.939128100329668</v>
      </c>
      <c r="AV102" s="21">
        <f>EXP(-LN(2)/25)*AV101+(1-EXP(-LN(2)/25))/(LN(2)/25)*Calculateur!AQ102*Calculateur!AS102*VLOOKUP('Données projet'!$B$10,Paramètres!$A$1:$I$89,3,0)*0.475*44/12</f>
        <v>22.078827858742443</v>
      </c>
      <c r="AW102" s="21">
        <f>EXP(-LN(2)/2)*AW101+(1-EXP(-LN(2)/2))/(LN(2)/2)*AQ102*AT102*VLOOKUP('Données projet'!$B$10,Paramètres!$A$1:$I$89,3,0)*0.475*44/12</f>
        <v>1.8545569138383591E-2</v>
      </c>
      <c r="AX102" s="21">
        <f t="shared" si="60"/>
        <v>55.036501528210493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323.45695200000046</v>
      </c>
      <c r="BF102" s="13">
        <f t="shared" si="91"/>
        <v>76.072189325282608</v>
      </c>
      <c r="BG102" s="20">
        <f t="shared" si="61"/>
        <v>695.84658780820121</v>
      </c>
      <c r="BH102" s="59">
        <f t="shared" si="62"/>
        <v>989.17992114153458</v>
      </c>
      <c r="BI102" s="59">
        <f ca="1">AVERAGE(OFFSET($BH$3,0,0,'Données projet'!$E$11+1,1))-AVERAGE(OFFSET($H$3,0,0,'Données projet'!$E$11+1,1))</f>
        <v>635.71275911100679</v>
      </c>
      <c r="BJ102" s="59">
        <f t="shared" si="92"/>
        <v>281.7776857269169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25.555870949956144</v>
      </c>
      <c r="BQ102" s="21">
        <f>EXP(-LN(2)/25)*BQ101+(1-EXP(-LN(2)/25))/(LN(2)/25)*Calculateur!BL102*Calculateur!BN102*VLOOKUP('Données projet'!$B$11,Paramètres!$A$1:$I$89,3,0)*0.475*44/12</f>
        <v>24.538165942968764</v>
      </c>
      <c r="BR102" s="21">
        <f>EXP(-LN(2)/2)*BR101+(1-EXP(-LN(2)/2))/(LN(2)/2)*BL102*BO102*VLOOKUP('Données projet'!$B$11,Paramètres!$A$1:$I$89,3,0)*0.475*44/12</f>
        <v>1.0486747938151593</v>
      </c>
      <c r="BS102" s="22">
        <f t="shared" si="63"/>
        <v>51.142711686740064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6.7777777777777777</v>
      </c>
      <c r="BY102" s="12">
        <f>IF('Données projet'!$A$114&gt;35,BY101+BX102-CG101,IF(A102&lt;'Données projet'!$A$114,$BV$205^A102,IF(A102='Données projet'!$A$114,'Données projet'!$B$114,BY101+BX102-CG101)))</f>
        <v>237.48111111111098</v>
      </c>
      <c r="BZ102" s="13">
        <f>BY102*VLOOKUP('Données projet'!$B$12,Paramètres!$A$1:$I$89,3,0)*VLOOKUP('Données projet'!$B$12,Paramètres!$A$1:$I$89,5,0)</f>
        <v>270.44348933333316</v>
      </c>
      <c r="CA102" s="13">
        <f t="shared" si="93"/>
        <v>64.943379925271046</v>
      </c>
      <c r="CB102" s="20">
        <f t="shared" si="64"/>
        <v>584.13213062540228</v>
      </c>
      <c r="CC102" s="59">
        <f t="shared" si="65"/>
        <v>877.46546395873565</v>
      </c>
      <c r="CD102" s="59">
        <f ca="1">AVERAGE(OFFSET($CC$3,0,0,'Données projet'!$E$12+1,1))-AVERAGE(OFFSET($H$3,0,0,'Données projet'!$E$12+1,1))</f>
        <v>593.28343396240075</v>
      </c>
      <c r="CE102" s="59">
        <f t="shared" si="94"/>
        <v>289.66477662068695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12.884643398394637</v>
      </c>
      <c r="CL102" s="21">
        <f>EXP(-LN(2)/25)*CL101+(1-EXP(-LN(2)/25))/(LN(2)/25)*Calculateur!CG102*Calculateur!CI102*VLOOKUP('Données projet'!$B$12,Paramètres!$A$1:$I$89,3,0)*0.475*44/12</f>
        <v>33.441570668232259</v>
      </c>
      <c r="CM102" s="21">
        <f>EXP(-LN(2)/2)*CM101+(1-EXP(-LN(2)/2))/(LN(2)/2)*CG102*CJ102*VLOOKUP('Données projet'!$B$12,Paramètres!$A$1:$I$89,3,0)*0.475*44/12</f>
        <v>1.1820114438938141</v>
      </c>
      <c r="CN102" s="22">
        <f t="shared" si="66"/>
        <v>47.50822551052071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2.2737367544323206E-13</v>
      </c>
      <c r="CU102" s="17">
        <f>CT102*VLOOKUP('Données projet'!$B$13,Paramètres!$A$1:$I$89,3,0)*VLOOKUP('Données projet'!$B$13,Paramètres!$A$1:$I$89,5,0)</f>
        <v>2.3765096557326618E-13</v>
      </c>
      <c r="CV102" s="13">
        <f t="shared" si="95"/>
        <v>3.2279907425805489E-12</v>
      </c>
      <c r="CW102" s="20">
        <f t="shared" si="67"/>
        <v>6.0359926417012276E-12</v>
      </c>
      <c r="CX102" s="59">
        <f t="shared" si="68"/>
        <v>293.33333333333934</v>
      </c>
      <c r="CY102" s="59">
        <f ca="1">AVERAGE(OFFSET($CX$3,0,0,'Données projet'!$E$13+1,1))-AVERAGE(OFFSET($H$3,0,0,'Données projet'!$E$13+1,1))</f>
        <v>260.65406541614402</v>
      </c>
      <c r="CZ102" s="59">
        <f t="shared" si="96"/>
        <v>277.63456890196886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15.07362495332278</v>
      </c>
      <c r="DG102" s="21">
        <f>EXP(-LN(2)/25)*DG101+(1-EXP(-LN(2)/25))/(LN(2)/25)*Calculateur!DB102*Calculateur!DD102*VLOOKUP('Données projet'!$B$13,Paramètres!$A$1:$I$89,3,0)*0.475*44/12</f>
        <v>38.599551905695279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53.673176859018056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2.2737367544323206E-13</v>
      </c>
      <c r="DP102" s="17">
        <f>DO102*VLOOKUP('Données projet'!$B$14,Paramètres!$A$1:$I$89,3,0)*VLOOKUP('Données projet'!$B$14,Paramètres!$A$1:$I$89,5,0)</f>
        <v>1.4897523215040565E-13</v>
      </c>
      <c r="DQ102" s="13">
        <f t="shared" si="97"/>
        <v>2.136562777003313E-12</v>
      </c>
      <c r="DR102" s="20">
        <f t="shared" si="70"/>
        <v>3.9806453659427267E-12</v>
      </c>
      <c r="DS102" s="59">
        <f t="shared" si="71"/>
        <v>293.33333333333729</v>
      </c>
      <c r="DT102" s="59">
        <f ca="1">AVERAGE(OFFSET($DS$3,0,0,'Données projet'!$E$14+1,1))-AVERAGE(OFFSET($H$3,0,0,'Données projet'!$E$14+1,1))</f>
        <v>181.4272795535777</v>
      </c>
      <c r="DU102" s="59">
        <f t="shared" si="98"/>
        <v>187.67131775419904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14.145570931298222</v>
      </c>
      <c r="EB102" s="21">
        <f>EXP(-LN(2)/25)*EB101+(1-EXP(-LN(2)/25))/(LN(2)/25)*Calculateur!DW102*Calculateur!DY102*VLOOKUP('Données projet'!$B$14,Paramètres!$A$1:$I$89,3,0)*0.475*44/12</f>
        <v>14.058147448227096</v>
      </c>
      <c r="EC102" s="21">
        <f>EXP(-LN(2)/2)*EC101+(1-EXP(-LN(2)/2))/(LN(2)/2)*DW102*DZ102*VLOOKUP('Données projet'!$B$14,Paramètres!$A$1:$I$89,3,0)*0.475*44/12</f>
        <v>1.1089171003984271</v>
      </c>
      <c r="ED102" s="22">
        <f t="shared" si="72"/>
        <v>29.312635479923745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1.1368683772161603E-13</v>
      </c>
      <c r="EK102" s="17">
        <f>EJ102*VLOOKUP('Données projet'!$B$15,Paramètres!$A$1:$I$89,3,0)*VLOOKUP('Données projet'!$B$15,Paramètres!$A$1:$I$89,5,0)</f>
        <v>9.2222762759774927E-14</v>
      </c>
      <c r="EL102" s="13">
        <f t="shared" si="99"/>
        <v>1.3985662224947967E-12</v>
      </c>
      <c r="EM102" s="20">
        <f t="shared" si="73"/>
        <v>2.5964574826517121E-12</v>
      </c>
      <c r="EN102" s="59">
        <f t="shared" si="74"/>
        <v>293.33333333333593</v>
      </c>
      <c r="EO102" s="59">
        <f ca="1">AVERAGE(OFFSET($EN$3,0,0,'Données projet'!$E$15+1,1))-AVERAGE(OFFSET($H$3,0,0,'Données projet'!$E$15+1,1))</f>
        <v>159.68591355116837</v>
      </c>
      <c r="EP102" s="59">
        <f t="shared" si="100"/>
        <v>284.32631786390112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4.5333615533571514</v>
      </c>
      <c r="EW102" s="21">
        <f>EXP(-LN(2)/25)*EW101+(1-EXP(-LN(2)/25))/(LN(2)/25)*Calculateur!ER102*Calculateur!ET102*VLOOKUP('Données projet'!$B$15,Paramètres!$A$1:$I$89,3,0)*0.475*44/12</f>
        <v>3.763370056786346</v>
      </c>
      <c r="EX102" s="21">
        <f>EXP(-LN(2)/2)*EX101+(1-EXP(-LN(2)/2))/(LN(2)/2)*ER102*EU102*VLOOKUP('Données projet'!$B$15,Paramètres!$A$1:$I$89,3,0)*0.475*44/12</f>
        <v>3.8435442332058867E-8</v>
      </c>
      <c r="EY102" s="22">
        <f t="shared" si="75"/>
        <v>8.2967316485789393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-1.3567387213697657E-13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299.10536994156814</v>
      </c>
      <c r="FK102" s="59">
        <f t="shared" si="102"/>
        <v>292.57799203101769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27.884222756548066</v>
      </c>
      <c r="FR102" s="21">
        <f>EXP(-LN(2)/25)*FR101+(1-EXP(-LN(2)/25))/(LN(2)/25)*Calculateur!FM102*Calculateur!FO102*VLOOKUP('Données projet'!$B$16,Paramètres!$A$1:$I$89,3,0)*0.475*44/12</f>
        <v>25.014648903846638</v>
      </c>
      <c r="FS102" s="21">
        <f>EXP(-LN(2)/2)*FS101+(1-EXP(-LN(2)/2))/(LN(2)/2)*FM102*FP102*VLOOKUP('Données projet'!$B$16,Paramètres!$A$1:$I$89,3,0)*0.475*44/12</f>
        <v>7.178782380205137E-2</v>
      </c>
      <c r="FT102" s="22">
        <f t="shared" si="78"/>
        <v>52.970659484196759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5.6843418860808015E-14</v>
      </c>
      <c r="GA102" s="17">
        <f>FZ102*VLOOKUP('Données projet'!$B$17,Paramètres!$A$1:$I$89,3,0)*VLOOKUP('Données projet'!$B$17,Paramètres!$A$1:$I$89,5,0)</f>
        <v>5.1431925385259088E-14</v>
      </c>
      <c r="GB102" s="13">
        <f t="shared" si="103"/>
        <v>8.3482866290946129E-13</v>
      </c>
      <c r="GC102" s="20">
        <f t="shared" si="79"/>
        <v>1.5435705246133045E-12</v>
      </c>
      <c r="GD102" s="59">
        <f t="shared" si="80"/>
        <v>293.33333333333485</v>
      </c>
      <c r="GE102" s="59">
        <f ca="1">AVERAGE(OFFSET($GD$3,0,0,'Données projet'!$E$17+1,1))-AVERAGE(OFFSET($H$3,0,0,'Données projet'!$E$17+1,1))</f>
        <v>204.78565758021779</v>
      </c>
      <c r="GF102" s="59">
        <f t="shared" si="104"/>
        <v>287.25131613242439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5.3571789286549532</v>
      </c>
      <c r="GM102" s="21">
        <f>EXP(-LN(2)/25)*GM101+(1-EXP(-LN(2)/25))/(LN(2)/25)*Calculateur!GH102*Calculateur!GJ102*VLOOKUP('Données projet'!$B$17,Paramètres!$A$1:$I$89,3,0)*0.475*44/12</f>
        <v>2.9573871981102444</v>
      </c>
      <c r="GN102" s="21">
        <f>EXP(-LN(2)/2)*GN101+(1-EXP(-LN(2)/2))/(LN(2)/2)*GH102*GK102*VLOOKUP('Données projet'!$B$17,Paramètres!$A$1:$I$89,3,0)*0.475*44/12</f>
        <v>1.027478976836231E-7</v>
      </c>
      <c r="GO102" s="21">
        <f t="shared" si="81"/>
        <v>8.314566229513094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5.6843418860808015E-14</v>
      </c>
      <c r="GV102" s="17">
        <f>GU102*VLOOKUP('Données projet'!$B$18,Paramètres!$A$1:$I$89,3,0)*VLOOKUP('Données projet'!$B$18,Paramètres!$A$1:$I$89,5,0)</f>
        <v>4.4337866711430253E-14</v>
      </c>
      <c r="GW102" s="13">
        <f t="shared" si="105"/>
        <v>7.3222115536967035E-13</v>
      </c>
      <c r="GX102" s="20">
        <f t="shared" si="82"/>
        <v>1.3525069634579169E-12</v>
      </c>
      <c r="GY102" s="59">
        <f t="shared" si="83"/>
        <v>293.33333333333468</v>
      </c>
      <c r="GZ102" s="59">
        <f ca="1">AVERAGE(OFFSET($GY$3,0,0,'Données projet'!$E$18+1,1))-AVERAGE(OFFSET($H$3,0,0,'Données projet'!$E$18+1,1))</f>
        <v>288.82868507674738</v>
      </c>
      <c r="HA102" s="59">
        <f t="shared" si="106"/>
        <v>283.48738729114024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23.737140700737278</v>
      </c>
      <c r="HH102" s="21">
        <f>EXP(-LN(2)/25)*HH101+(1-EXP(-LN(2)/25))/(LN(2)/25)*Calculateur!HC102*Calculateur!HE102*VLOOKUP('Données projet'!$B$18,Paramètres!$A$1:$I$89,3,0)*0.475*44/12</f>
        <v>18.427458233875878</v>
      </c>
      <c r="HI102" s="21">
        <f>EXP(-LN(2)/2)*HI101+(1-EXP(-LN(2)/2))/(LN(2)/2)*HC102*HF102*VLOOKUP('Données projet'!$B$18,Paramètres!$A$1:$I$89,3,0)*0.475*44/12</f>
        <v>1.8541266373682704E-3</v>
      </c>
      <c r="HJ102" s="22">
        <f t="shared" si="84"/>
        <v>42.166453061250522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349.71285006949597</v>
      </c>
      <c r="T103" s="59">
        <f t="shared" si="88"/>
        <v>258.51550516456842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103.14135892586145</v>
      </c>
      <c r="AA103" s="21">
        <f>EXP(-LN(2)/25)*AA102+(1-EXP(-LN(2)/25))/(LN(2)/25)*Calculateur!V103*Calculateur!X103*VLOOKUP('Données projet'!$B$9,Paramètres!$A$1:$I$89,3,0)*0.475*44/12</f>
        <v>29.719337945392084</v>
      </c>
      <c r="AB103" s="21">
        <f>EXP(-LN(2)/2)*AB102+(1-EXP(-LN(2)/2))/(LN(2)/2)*V103*Y103*VLOOKUP('Données projet'!$B$9,Paramètres!$A$1:$I$89,3,0)*0.475*44/12</f>
        <v>6.9059221485555378E-2</v>
      </c>
      <c r="AC103" s="22">
        <f t="shared" si="57"/>
        <v>132.9297560927391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8.9989999999999952</v>
      </c>
      <c r="AI103" s="13">
        <f>IF('Données projet'!$A$62&gt;35,AI102+AH103-AQ102,IF(A103&lt;'Données projet'!$A$62,$AF$205^A103,IF(A103='Données projet'!$A$62,'Données projet'!$B$62,AI102+AH103-AQ102)))</f>
        <v>344.40300000000002</v>
      </c>
      <c r="AJ103" s="13">
        <f>AI103*VLOOKUP('Données projet'!$B$10,Paramètres!$A$1:$I$89,3,0)*VLOOKUP('Données projet'!$B$10,Paramètres!$A$1:$I$89,5,0)</f>
        <v>327.73389480000003</v>
      </c>
      <c r="AK103" s="13">
        <f t="shared" si="89"/>
        <v>76.960297498116987</v>
      </c>
      <c r="AL103" s="20">
        <f t="shared" si="58"/>
        <v>704.84238491922042</v>
      </c>
      <c r="AM103" s="59">
        <f t="shared" si="59"/>
        <v>998.17571825255368</v>
      </c>
      <c r="AN103" s="59">
        <f ca="1">AVERAGE(OFFSET($AM$3,0,0,'Données projet'!$E$10+1,1))-AVERAGE(OFFSET($H$3,0,0,'Données projet'!$E$10+1,1))</f>
        <v>449.28947235329758</v>
      </c>
      <c r="AO103" s="59">
        <f t="shared" si="90"/>
        <v>289.36994109443964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32.293211889166535</v>
      </c>
      <c r="AV103" s="21">
        <f>EXP(-LN(2)/25)*AV102+(1-EXP(-LN(2)/25))/(LN(2)/25)*Calculateur!AQ103*Calculateur!AS103*VLOOKUP('Données projet'!$B$10,Paramètres!$A$1:$I$89,3,0)*0.475*44/12</f>
        <v>21.475081149870036</v>
      </c>
      <c r="AW103" s="21">
        <f>EXP(-LN(2)/2)*AW102+(1-EXP(-LN(2)/2))/(LN(2)/2)*AQ103*AT103*VLOOKUP('Données projet'!$B$10,Paramètres!$A$1:$I$89,3,0)*0.475*44/12</f>
        <v>1.3113697698714994E-2</v>
      </c>
      <c r="AX103" s="21">
        <f t="shared" si="60"/>
        <v>53.781406736735285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331.54767360000045</v>
      </c>
      <c r="BF103" s="13">
        <f t="shared" si="91"/>
        <v>77.751091964826287</v>
      </c>
      <c r="BG103" s="20">
        <f t="shared" si="61"/>
        <v>712.86201669207321</v>
      </c>
      <c r="BH103" s="59">
        <f t="shared" si="62"/>
        <v>1006.1953500254065</v>
      </c>
      <c r="BI103" s="59">
        <f ca="1">AVERAGE(OFFSET($BH$3,0,0,'Données projet'!$E$11+1,1))-AVERAGE(OFFSET($H$3,0,0,'Données projet'!$E$11+1,1))</f>
        <v>635.71275911100679</v>
      </c>
      <c r="BJ103" s="59">
        <f t="shared" si="92"/>
        <v>281.7776857269169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25.054735908169643</v>
      </c>
      <c r="BQ103" s="21">
        <f>EXP(-LN(2)/25)*BQ102+(1-EXP(-LN(2)/25))/(LN(2)/25)*Calculateur!BL103*Calculateur!BN103*VLOOKUP('Données projet'!$B$11,Paramètres!$A$1:$I$89,3,0)*0.475*44/12</f>
        <v>23.86716850485222</v>
      </c>
      <c r="BR103" s="21">
        <f>EXP(-LN(2)/2)*BR102+(1-EXP(-LN(2)/2))/(LN(2)/2)*BL103*BO103*VLOOKUP('Données projet'!$B$11,Paramètres!$A$1:$I$89,3,0)*0.475*44/12</f>
        <v>0.74152505796610368</v>
      </c>
      <c r="BS103" s="22">
        <f t="shared" si="63"/>
        <v>49.663429470987964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6.7777777777777777</v>
      </c>
      <c r="BY103" s="12">
        <f>IF('Données projet'!$A$114&gt;35,BY102+BX103-CG102,IF(A103&lt;'Données projet'!$A$114,$BV$205^A103,IF(A103='Données projet'!$A$114,'Données projet'!$B$114,BY102+BX103-CG102)))</f>
        <v>244.25888888888875</v>
      </c>
      <c r="BZ103" s="13">
        <f>BY103*VLOOKUP('Données projet'!$B$12,Paramètres!$A$1:$I$89,3,0)*VLOOKUP('Données projet'!$B$12,Paramètres!$A$1:$I$89,5,0)</f>
        <v>278.16202266666653</v>
      </c>
      <c r="CA103" s="13">
        <f t="shared" si="93"/>
        <v>66.578442681509159</v>
      </c>
      <c r="CB103" s="20">
        <f t="shared" si="64"/>
        <v>600.42297714807262</v>
      </c>
      <c r="CC103" s="59">
        <f t="shared" si="65"/>
        <v>893.75631048140599</v>
      </c>
      <c r="CD103" s="59">
        <f ca="1">AVERAGE(OFFSET($CC$3,0,0,'Données projet'!$E$12+1,1))-AVERAGE(OFFSET($H$3,0,0,'Données projet'!$E$12+1,1))</f>
        <v>593.28343396240075</v>
      </c>
      <c r="CE103" s="59">
        <f t="shared" si="94"/>
        <v>289.66477662068695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12.631983400208593</v>
      </c>
      <c r="CL103" s="21">
        <f>EXP(-LN(2)/25)*CL102+(1-EXP(-LN(2)/25))/(LN(2)/25)*Calculateur!CG103*Calculateur!CI103*VLOOKUP('Données projet'!$B$12,Paramètres!$A$1:$I$89,3,0)*0.475*44/12</f>
        <v>32.52710915969368</v>
      </c>
      <c r="CM103" s="21">
        <f>EXP(-LN(2)/2)*CM102+(1-EXP(-LN(2)/2))/(LN(2)/2)*CG103*CJ103*VLOOKUP('Données projet'!$B$12,Paramètres!$A$1:$I$89,3,0)*0.475*44/12</f>
        <v>0.83580830741741829</v>
      </c>
      <c r="CN103" s="22">
        <f t="shared" si="66"/>
        <v>45.994900867319693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2.2737367544323206E-13</v>
      </c>
      <c r="CU103" s="17">
        <f>CT103*VLOOKUP('Données projet'!$B$13,Paramètres!$A$1:$I$89,3,0)*VLOOKUP('Données projet'!$B$13,Paramètres!$A$1:$I$89,5,0)</f>
        <v>2.3765096557326618E-13</v>
      </c>
      <c r="CV103" s="13">
        <f t="shared" si="95"/>
        <v>3.2279907425805489E-12</v>
      </c>
      <c r="CW103" s="20">
        <f t="shared" si="67"/>
        <v>6.0359926417012276E-12</v>
      </c>
      <c r="CX103" s="59">
        <f t="shared" si="68"/>
        <v>293.33333333333934</v>
      </c>
      <c r="CY103" s="59">
        <f ca="1">AVERAGE(OFFSET($CX$3,0,0,'Données projet'!$E$13+1,1))-AVERAGE(OFFSET($H$3,0,0,'Données projet'!$E$13+1,1))</f>
        <v>260.65406541614402</v>
      </c>
      <c r="CZ103" s="59">
        <f t="shared" si="96"/>
        <v>277.63456890196886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14.778040361991509</v>
      </c>
      <c r="DG103" s="21">
        <f>EXP(-LN(2)/25)*DG102+(1-EXP(-LN(2)/25))/(LN(2)/25)*Calculateur!DB103*Calculateur!DD103*VLOOKUP('Données projet'!$B$13,Paramètres!$A$1:$I$89,3,0)*0.475*44/12</f>
        <v>37.544045128971824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52.322085490963332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2.2737367544323206E-13</v>
      </c>
      <c r="DP103" s="17">
        <f>DO103*VLOOKUP('Données projet'!$B$14,Paramètres!$A$1:$I$89,3,0)*VLOOKUP('Données projet'!$B$14,Paramètres!$A$1:$I$89,5,0)</f>
        <v>1.4897523215040565E-13</v>
      </c>
      <c r="DQ103" s="13">
        <f t="shared" si="97"/>
        <v>2.136562777003313E-12</v>
      </c>
      <c r="DR103" s="20">
        <f t="shared" si="70"/>
        <v>3.9806453659427267E-12</v>
      </c>
      <c r="DS103" s="59">
        <f t="shared" si="71"/>
        <v>293.33333333333729</v>
      </c>
      <c r="DT103" s="59">
        <f ca="1">AVERAGE(OFFSET($DS$3,0,0,'Données projet'!$E$14+1,1))-AVERAGE(OFFSET($H$3,0,0,'Données projet'!$E$14+1,1))</f>
        <v>181.4272795535777</v>
      </c>
      <c r="DU103" s="59">
        <f t="shared" si="98"/>
        <v>187.67131775419904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13.868184913281793</v>
      </c>
      <c r="EB103" s="21">
        <f>EXP(-LN(2)/25)*EB102+(1-EXP(-LN(2)/25))/(LN(2)/25)*Calculateur!DW103*Calculateur!DY103*VLOOKUP('Données projet'!$B$14,Paramètres!$A$1:$I$89,3,0)*0.475*44/12</f>
        <v>13.673726666969483</v>
      </c>
      <c r="EC103" s="21">
        <f>EXP(-LN(2)/2)*EC102+(1-EXP(-LN(2)/2))/(LN(2)/2)*DW103*DZ103*VLOOKUP('Données projet'!$B$14,Paramètres!$A$1:$I$89,3,0)*0.475*44/12</f>
        <v>0.78412280146545132</v>
      </c>
      <c r="ED103" s="22">
        <f t="shared" si="72"/>
        <v>28.326034381716724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1.1368683772161603E-13</v>
      </c>
      <c r="EK103" s="17">
        <f>EJ103*VLOOKUP('Données projet'!$B$15,Paramètres!$A$1:$I$89,3,0)*VLOOKUP('Données projet'!$B$15,Paramètres!$A$1:$I$89,5,0)</f>
        <v>9.2222762759774927E-14</v>
      </c>
      <c r="EL103" s="13">
        <f t="shared" si="99"/>
        <v>1.3985662224947967E-12</v>
      </c>
      <c r="EM103" s="20">
        <f t="shared" si="73"/>
        <v>2.5964574826517121E-12</v>
      </c>
      <c r="EN103" s="59">
        <f t="shared" si="74"/>
        <v>293.33333333333593</v>
      </c>
      <c r="EO103" s="59">
        <f ca="1">AVERAGE(OFFSET($EN$3,0,0,'Données projet'!$E$15+1,1))-AVERAGE(OFFSET($H$3,0,0,'Données projet'!$E$15+1,1))</f>
        <v>159.68591355116837</v>
      </c>
      <c r="EP103" s="59">
        <f t="shared" si="100"/>
        <v>284.32631786390112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4.4444650983733363</v>
      </c>
      <c r="EW103" s="21">
        <f>EXP(-LN(2)/25)*EW102+(1-EXP(-LN(2)/25))/(LN(2)/25)*Calculateur!ER103*Calculateur!ET103*VLOOKUP('Données projet'!$B$15,Paramètres!$A$1:$I$89,3,0)*0.475*44/12</f>
        <v>3.6604605046764935</v>
      </c>
      <c r="EX103" s="21">
        <f>EXP(-LN(2)/2)*EX102+(1-EXP(-LN(2)/2))/(LN(2)/2)*ER103*EU103*VLOOKUP('Données projet'!$B$15,Paramètres!$A$1:$I$89,3,0)*0.475*44/12</f>
        <v>2.7177961910903315E-8</v>
      </c>
      <c r="EY103" s="22">
        <f t="shared" si="75"/>
        <v>8.1049256302277914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-1.3567387213697657E-13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299.10536994156814</v>
      </c>
      <c r="FK103" s="59">
        <f t="shared" si="102"/>
        <v>292.57799203101769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27.33743015598867</v>
      </c>
      <c r="FR103" s="21">
        <f>EXP(-LN(2)/25)*FR102+(1-EXP(-LN(2)/25))/(LN(2)/25)*Calculateur!FM103*Calculateur!FO103*VLOOKUP('Données projet'!$B$16,Paramètres!$A$1:$I$89,3,0)*0.475*44/12</f>
        <v>24.330622014107739</v>
      </c>
      <c r="FS103" s="21">
        <f>EXP(-LN(2)/2)*FS102+(1-EXP(-LN(2)/2))/(LN(2)/2)*FM103*FP103*VLOOKUP('Données projet'!$B$16,Paramètres!$A$1:$I$89,3,0)*0.475*44/12</f>
        <v>5.0761657017055567E-2</v>
      </c>
      <c r="FT103" s="22">
        <f t="shared" si="78"/>
        <v>51.718813827113465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5.6843418860808015E-14</v>
      </c>
      <c r="GA103" s="17">
        <f>FZ103*VLOOKUP('Données projet'!$B$17,Paramètres!$A$1:$I$89,3,0)*VLOOKUP('Données projet'!$B$17,Paramètres!$A$1:$I$89,5,0)</f>
        <v>5.1431925385259088E-14</v>
      </c>
      <c r="GB103" s="13">
        <f t="shared" si="103"/>
        <v>8.3482866290946129E-13</v>
      </c>
      <c r="GC103" s="20">
        <f t="shared" si="79"/>
        <v>1.5435705246133045E-12</v>
      </c>
      <c r="GD103" s="59">
        <f t="shared" si="80"/>
        <v>293.33333333333485</v>
      </c>
      <c r="GE103" s="59">
        <f ca="1">AVERAGE(OFFSET($GD$3,0,0,'Données projet'!$E$17+1,1))-AVERAGE(OFFSET($H$3,0,0,'Données projet'!$E$17+1,1))</f>
        <v>204.78565758021779</v>
      </c>
      <c r="GF103" s="59">
        <f t="shared" si="104"/>
        <v>287.25131613242439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5.2521279174205313</v>
      </c>
      <c r="GM103" s="21">
        <f>EXP(-LN(2)/25)*GM102+(1-EXP(-LN(2)/25))/(LN(2)/25)*Calculateur!GH103*Calculateur!GJ103*VLOOKUP('Données projet'!$B$17,Paramètres!$A$1:$I$89,3,0)*0.475*44/12</f>
        <v>2.8765172896556863</v>
      </c>
      <c r="GN103" s="21">
        <f>EXP(-LN(2)/2)*GN102+(1-EXP(-LN(2)/2))/(LN(2)/2)*GH103*GK103*VLOOKUP('Données projet'!$B$17,Paramètres!$A$1:$I$89,3,0)*0.475*44/12</f>
        <v>7.2653735204751449E-8</v>
      </c>
      <c r="GO103" s="21">
        <f t="shared" si="81"/>
        <v>8.1286452797299535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5.6843418860808015E-14</v>
      </c>
      <c r="GV103" s="17">
        <f>GU103*VLOOKUP('Données projet'!$B$18,Paramètres!$A$1:$I$89,3,0)*VLOOKUP('Données projet'!$B$18,Paramètres!$A$1:$I$89,5,0)</f>
        <v>4.4337866711430253E-14</v>
      </c>
      <c r="GW103" s="13">
        <f t="shared" si="105"/>
        <v>7.3222115536967035E-13</v>
      </c>
      <c r="GX103" s="20">
        <f t="shared" si="82"/>
        <v>1.3525069634579169E-12</v>
      </c>
      <c r="GY103" s="59">
        <f t="shared" si="83"/>
        <v>293.33333333333468</v>
      </c>
      <c r="GZ103" s="59">
        <f ca="1">AVERAGE(OFFSET($GY$3,0,0,'Données projet'!$E$18+1,1))-AVERAGE(OFFSET($H$3,0,0,'Données projet'!$E$18+1,1))</f>
        <v>288.82868507674738</v>
      </c>
      <c r="HA103" s="59">
        <f t="shared" si="106"/>
        <v>283.48738729114024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23.271669849822043</v>
      </c>
      <c r="HH103" s="21">
        <f>EXP(-LN(2)/25)*HH102+(1-EXP(-LN(2)/25))/(LN(2)/25)*Calculateur!HC103*Calculateur!HE103*VLOOKUP('Données projet'!$B$18,Paramètres!$A$1:$I$89,3,0)*0.475*44/12</f>
        <v>17.923558419412629</v>
      </c>
      <c r="HI103" s="21">
        <f>EXP(-LN(2)/2)*HI102+(1-EXP(-LN(2)/2))/(LN(2)/2)*HC103*HF103*VLOOKUP('Données projet'!$B$18,Paramètres!$A$1:$I$89,3,0)*0.475*44/12</f>
        <v>1.3110655184617147E-3</v>
      </c>
      <c r="HJ103" s="22">
        <f t="shared" si="84"/>
        <v>41.19653933475314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349.71285006949597</v>
      </c>
      <c r="T104" s="59">
        <f t="shared" si="88"/>
        <v>258.51550516456842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101.1188197873424</v>
      </c>
      <c r="AA104" s="21">
        <f>EXP(-LN(2)/25)*AA103+(1-EXP(-LN(2)/25))/(LN(2)/25)*Calculateur!V104*Calculateur!X104*VLOOKUP('Données projet'!$B$9,Paramètres!$A$1:$I$89,3,0)*0.475*44/12</f>
        <v>28.906661086403279</v>
      </c>
      <c r="AB104" s="21">
        <f>EXP(-LN(2)/2)*AB103+(1-EXP(-LN(2)/2))/(LN(2)/2)*V104*Y104*VLOOKUP('Données projet'!$B$9,Paramètres!$A$1:$I$89,3,0)*0.475*44/12</f>
        <v>4.8832243815899928E-2</v>
      </c>
      <c r="AC104" s="22">
        <f t="shared" si="57"/>
        <v>130.07431311756159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8.9989999999999952</v>
      </c>
      <c r="AI104" s="13">
        <f>IF('Données projet'!$A$62&gt;35,AI103+AH104-AQ103,IF(A104&lt;'Données projet'!$A$62,$AF$205^A104,IF(A104='Données projet'!$A$62,'Données projet'!$B$62,AI103+AH104-AQ103)))</f>
        <v>353.40200000000004</v>
      </c>
      <c r="AJ104" s="13">
        <f>AI104*VLOOKUP('Données projet'!$B$10,Paramètres!$A$1:$I$89,3,0)*VLOOKUP('Données projet'!$B$10,Paramètres!$A$1:$I$89,5,0)</f>
        <v>336.29734320000006</v>
      </c>
      <c r="AK104" s="13">
        <f t="shared" si="89"/>
        <v>78.734467249723195</v>
      </c>
      <c r="AL104" s="20">
        <f t="shared" si="58"/>
        <v>722.84706986660137</v>
      </c>
      <c r="AM104" s="59">
        <f t="shared" si="59"/>
        <v>1016.1804031999347</v>
      </c>
      <c r="AN104" s="59">
        <f ca="1">AVERAGE(OFFSET($AM$3,0,0,'Données projet'!$E$10+1,1))-AVERAGE(OFFSET($H$3,0,0,'Données projet'!$E$10+1,1))</f>
        <v>449.28947235329758</v>
      </c>
      <c r="AO104" s="59">
        <f t="shared" si="90"/>
        <v>289.36994109443964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31.659961700934325</v>
      </c>
      <c r="AV104" s="21">
        <f>EXP(-LN(2)/25)*AV103+(1-EXP(-LN(2)/25))/(LN(2)/25)*Calculateur!AQ104*Calculateur!AS104*VLOOKUP('Données projet'!$B$10,Paramètres!$A$1:$I$89,3,0)*0.475*44/12</f>
        <v>20.887843926501404</v>
      </c>
      <c r="AW104" s="21">
        <f>EXP(-LN(2)/2)*AW103+(1-EXP(-LN(2)/2))/(LN(2)/2)*AQ104*AT104*VLOOKUP('Données projet'!$B$10,Paramètres!$A$1:$I$89,3,0)*0.475*44/12</f>
        <v>9.2727845691917953E-3</v>
      </c>
      <c r="AX104" s="21">
        <f t="shared" si="60"/>
        <v>52.55707841200492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339.6383952000005</v>
      </c>
      <c r="BF104" s="13">
        <f t="shared" si="91"/>
        <v>79.425231954431325</v>
      </c>
      <c r="BG104" s="20">
        <f t="shared" si="61"/>
        <v>729.86915062730213</v>
      </c>
      <c r="BH104" s="59">
        <f t="shared" si="62"/>
        <v>1023.2024839606354</v>
      </c>
      <c r="BI104" s="59">
        <f ca="1">AVERAGE(OFFSET($BH$3,0,0,'Données projet'!$E$11+1,1))-AVERAGE(OFFSET($H$3,0,0,'Données projet'!$E$11+1,1))</f>
        <v>635.71275911100679</v>
      </c>
      <c r="BJ104" s="59">
        <f t="shared" si="92"/>
        <v>281.7776857269169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24.563427818890382</v>
      </c>
      <c r="BQ104" s="21">
        <f>EXP(-LN(2)/25)*BQ103+(1-EXP(-LN(2)/25))/(LN(2)/25)*Calculateur!BL104*Calculateur!BN104*VLOOKUP('Données projet'!$B$11,Paramètres!$A$1:$I$89,3,0)*0.475*44/12</f>
        <v>23.214519526967194</v>
      </c>
      <c r="BR104" s="21">
        <f>EXP(-LN(2)/2)*BR103+(1-EXP(-LN(2)/2))/(LN(2)/2)*BL104*BO104*VLOOKUP('Données projet'!$B$11,Paramètres!$A$1:$I$89,3,0)*0.475*44/12</f>
        <v>0.52433739690757963</v>
      </c>
      <c r="BS104" s="22">
        <f t="shared" si="63"/>
        <v>48.302284742765153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6.7777777777777777</v>
      </c>
      <c r="BY104" s="12">
        <f>IF('Données projet'!$A$114&gt;35,BY103+BX104-CG103,IF(A104&lt;'Données projet'!$A$114,$BV$205^A104,IF(A104='Données projet'!$A$114,'Données projet'!$B$114,BY103+BX104-CG103)))</f>
        <v>251.03666666666652</v>
      </c>
      <c r="BZ104" s="13">
        <f>BY104*VLOOKUP('Données projet'!$B$12,Paramètres!$A$1:$I$89,3,0)*VLOOKUP('Données projet'!$B$12,Paramètres!$A$1:$I$89,5,0)</f>
        <v>285.88055599999984</v>
      </c>
      <c r="CA104" s="13">
        <f t="shared" si="93"/>
        <v>68.208232142665835</v>
      </c>
      <c r="CB104" s="20">
        <f t="shared" si="64"/>
        <v>616.70463934847601</v>
      </c>
      <c r="CC104" s="59">
        <f t="shared" si="65"/>
        <v>910.03797268180938</v>
      </c>
      <c r="CD104" s="59">
        <f ca="1">AVERAGE(OFFSET($CC$3,0,0,'Données projet'!$E$12+1,1))-AVERAGE(OFFSET($H$3,0,0,'Données projet'!$E$12+1,1))</f>
        <v>593.28343396240075</v>
      </c>
      <c r="CE104" s="59">
        <f t="shared" si="94"/>
        <v>289.66477662068695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12.384277910479597</v>
      </c>
      <c r="CL104" s="21">
        <f>EXP(-LN(2)/25)*CL103+(1-EXP(-LN(2)/25))/(LN(2)/25)*Calculateur!CG104*Calculateur!CI104*VLOOKUP('Données projet'!$B$12,Paramètres!$A$1:$I$89,3,0)*0.475*44/12</f>
        <v>31.637653649195528</v>
      </c>
      <c r="CM104" s="21">
        <f>EXP(-LN(2)/2)*CM103+(1-EXP(-LN(2)/2))/(LN(2)/2)*CG104*CJ104*VLOOKUP('Données projet'!$B$12,Paramètres!$A$1:$I$89,3,0)*0.475*44/12</f>
        <v>0.59100572194690704</v>
      </c>
      <c r="CN104" s="22">
        <f t="shared" si="66"/>
        <v>44.612937281622031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2.2737367544323206E-13</v>
      </c>
      <c r="CU104" s="17">
        <f>CT104*VLOOKUP('Données projet'!$B$13,Paramètres!$A$1:$I$89,3,0)*VLOOKUP('Données projet'!$B$13,Paramètres!$A$1:$I$89,5,0)</f>
        <v>2.3765096557326618E-13</v>
      </c>
      <c r="CV104" s="13">
        <f t="shared" si="95"/>
        <v>3.2279907425805489E-12</v>
      </c>
      <c r="CW104" s="20">
        <f t="shared" si="67"/>
        <v>6.0359926417012276E-12</v>
      </c>
      <c r="CX104" s="59">
        <f t="shared" si="68"/>
        <v>293.33333333333934</v>
      </c>
      <c r="CY104" s="59">
        <f ca="1">AVERAGE(OFFSET($CX$3,0,0,'Données projet'!$E$13+1,1))-AVERAGE(OFFSET($H$3,0,0,'Données projet'!$E$13+1,1))</f>
        <v>260.65406541614402</v>
      </c>
      <c r="CZ104" s="59">
        <f t="shared" si="96"/>
        <v>277.63456890196886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14.488252004207446</v>
      </c>
      <c r="DG104" s="21">
        <f>EXP(-LN(2)/25)*DG103+(1-EXP(-LN(2)/25))/(LN(2)/25)*Calculateur!DB104*Calculateur!DD104*VLOOKUP('Données projet'!$B$13,Paramètres!$A$1:$I$89,3,0)*0.475*44/12</f>
        <v>36.517401240564567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51.005653244772013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2.2737367544323206E-13</v>
      </c>
      <c r="DP104" s="17">
        <f>DO104*VLOOKUP('Données projet'!$B$14,Paramètres!$A$1:$I$89,3,0)*VLOOKUP('Données projet'!$B$14,Paramètres!$A$1:$I$89,5,0)</f>
        <v>1.4897523215040565E-13</v>
      </c>
      <c r="DQ104" s="13">
        <f t="shared" si="97"/>
        <v>2.136562777003313E-12</v>
      </c>
      <c r="DR104" s="20">
        <f t="shared" si="70"/>
        <v>3.9806453659427267E-12</v>
      </c>
      <c r="DS104" s="59">
        <f t="shared" si="71"/>
        <v>293.33333333333729</v>
      </c>
      <c r="DT104" s="59">
        <f ca="1">AVERAGE(OFFSET($DS$3,0,0,'Données projet'!$E$14+1,1))-AVERAGE(OFFSET($H$3,0,0,'Données projet'!$E$14+1,1))</f>
        <v>181.4272795535777</v>
      </c>
      <c r="DU104" s="59">
        <f t="shared" si="98"/>
        <v>187.67131775419904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13.596238265889902</v>
      </c>
      <c r="EB104" s="21">
        <f>EXP(-LN(2)/25)*EB103+(1-EXP(-LN(2)/25))/(LN(2)/25)*Calculateur!DW104*Calculateur!DY104*VLOOKUP('Données projet'!$B$14,Paramètres!$A$1:$I$89,3,0)*0.475*44/12</f>
        <v>13.299817892191168</v>
      </c>
      <c r="EC104" s="21">
        <f>EXP(-LN(2)/2)*EC103+(1-EXP(-LN(2)/2))/(LN(2)/2)*DW104*DZ104*VLOOKUP('Données projet'!$B$14,Paramètres!$A$1:$I$89,3,0)*0.475*44/12</f>
        <v>0.55445855019921353</v>
      </c>
      <c r="ED104" s="22">
        <f t="shared" si="72"/>
        <v>27.450514708280284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1.1368683772161603E-13</v>
      </c>
      <c r="EK104" s="17">
        <f>EJ104*VLOOKUP('Données projet'!$B$15,Paramètres!$A$1:$I$89,3,0)*VLOOKUP('Données projet'!$B$15,Paramètres!$A$1:$I$89,5,0)</f>
        <v>9.2222762759774927E-14</v>
      </c>
      <c r="EL104" s="13">
        <f t="shared" si="99"/>
        <v>1.3985662224947967E-12</v>
      </c>
      <c r="EM104" s="20">
        <f t="shared" si="73"/>
        <v>2.5964574826517121E-12</v>
      </c>
      <c r="EN104" s="59">
        <f t="shared" si="74"/>
        <v>293.33333333333593</v>
      </c>
      <c r="EO104" s="59">
        <f ca="1">AVERAGE(OFFSET($EN$3,0,0,'Données projet'!$E$15+1,1))-AVERAGE(OFFSET($H$3,0,0,'Données projet'!$E$15+1,1))</f>
        <v>159.68591355116837</v>
      </c>
      <c r="EP104" s="59">
        <f t="shared" si="100"/>
        <v>284.32631786390112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4.3573118486502702</v>
      </c>
      <c r="EW104" s="21">
        <f>EXP(-LN(2)/25)*EW103+(1-EXP(-LN(2)/25))/(LN(2)/25)*Calculateur!ER104*Calculateur!ET104*VLOOKUP('Données projet'!$B$15,Paramètres!$A$1:$I$89,3,0)*0.475*44/12</f>
        <v>3.5603650196808632</v>
      </c>
      <c r="EX104" s="21">
        <f>EXP(-LN(2)/2)*EX103+(1-EXP(-LN(2)/2))/(LN(2)/2)*ER104*EU104*VLOOKUP('Données projet'!$B$15,Paramètres!$A$1:$I$89,3,0)*0.475*44/12</f>
        <v>1.9217721166029434E-8</v>
      </c>
      <c r="EY104" s="22">
        <f t="shared" si="75"/>
        <v>7.9176768875488541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-1.3567387213697657E-13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299.10536994156814</v>
      </c>
      <c r="FK104" s="59">
        <f t="shared" si="102"/>
        <v>292.57799203101769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26.801359824815687</v>
      </c>
      <c r="FR104" s="21">
        <f>EXP(-LN(2)/25)*FR103+(1-EXP(-LN(2)/25))/(LN(2)/25)*Calculateur!FM104*Calculateur!FO104*VLOOKUP('Données projet'!$B$16,Paramètres!$A$1:$I$89,3,0)*0.475*44/12</f>
        <v>23.665299875640159</v>
      </c>
      <c r="FS104" s="21">
        <f>EXP(-LN(2)/2)*FS103+(1-EXP(-LN(2)/2))/(LN(2)/2)*FM104*FP104*VLOOKUP('Données projet'!$B$16,Paramètres!$A$1:$I$89,3,0)*0.475*44/12</f>
        <v>3.5893911901025685E-2</v>
      </c>
      <c r="FT104" s="22">
        <f t="shared" si="78"/>
        <v>50.502553612356877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5.6843418860808015E-14</v>
      </c>
      <c r="GA104" s="17">
        <f>FZ104*VLOOKUP('Données projet'!$B$17,Paramètres!$A$1:$I$89,3,0)*VLOOKUP('Données projet'!$B$17,Paramètres!$A$1:$I$89,5,0)</f>
        <v>5.1431925385259088E-14</v>
      </c>
      <c r="GB104" s="13">
        <f t="shared" si="103"/>
        <v>8.3482866290946129E-13</v>
      </c>
      <c r="GC104" s="20">
        <f t="shared" si="79"/>
        <v>1.5435705246133045E-12</v>
      </c>
      <c r="GD104" s="59">
        <f t="shared" si="80"/>
        <v>293.33333333333485</v>
      </c>
      <c r="GE104" s="59">
        <f ca="1">AVERAGE(OFFSET($GD$3,0,0,'Données projet'!$E$17+1,1))-AVERAGE(OFFSET($H$3,0,0,'Données projet'!$E$17+1,1))</f>
        <v>204.78565758021779</v>
      </c>
      <c r="GF104" s="59">
        <f t="shared" si="104"/>
        <v>287.25131613242439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5.1491368924416268</v>
      </c>
      <c r="GM104" s="21">
        <f>EXP(-LN(2)/25)*GM103+(1-EXP(-LN(2)/25))/(LN(2)/25)*Calculateur!GH104*Calculateur!GJ104*VLOOKUP('Données projet'!$B$17,Paramètres!$A$1:$I$89,3,0)*0.475*44/12</f>
        <v>2.7978587731005815</v>
      </c>
      <c r="GN104" s="21">
        <f>EXP(-LN(2)/2)*GN103+(1-EXP(-LN(2)/2))/(LN(2)/2)*GH104*GK104*VLOOKUP('Données projet'!$B$17,Paramètres!$A$1:$I$89,3,0)*0.475*44/12</f>
        <v>5.1373948841811549E-8</v>
      </c>
      <c r="GO104" s="21">
        <f t="shared" si="81"/>
        <v>7.9469957169161569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5.6843418860808015E-14</v>
      </c>
      <c r="GV104" s="17">
        <f>GU104*VLOOKUP('Données projet'!$B$18,Paramètres!$A$1:$I$89,3,0)*VLOOKUP('Données projet'!$B$18,Paramètres!$A$1:$I$89,5,0)</f>
        <v>4.4337866711430253E-14</v>
      </c>
      <c r="GW104" s="13">
        <f t="shared" si="105"/>
        <v>7.3222115536967035E-13</v>
      </c>
      <c r="GX104" s="20">
        <f t="shared" si="82"/>
        <v>1.3525069634579169E-12</v>
      </c>
      <c r="GY104" s="59">
        <f t="shared" si="83"/>
        <v>293.33333333333468</v>
      </c>
      <c r="GZ104" s="59">
        <f ca="1">AVERAGE(OFFSET($GY$3,0,0,'Données projet'!$E$18+1,1))-AVERAGE(OFFSET($H$3,0,0,'Données projet'!$E$18+1,1))</f>
        <v>288.82868507674738</v>
      </c>
      <c r="HA104" s="59">
        <f t="shared" si="106"/>
        <v>283.48738729114024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22.815326598384068</v>
      </c>
      <c r="HH104" s="21">
        <f>EXP(-LN(2)/25)*HH103+(1-EXP(-LN(2)/25))/(LN(2)/25)*Calculateur!HC104*Calculateur!HE104*VLOOKUP('Données projet'!$B$18,Paramètres!$A$1:$I$89,3,0)*0.475*44/12</f>
        <v>17.433437771874818</v>
      </c>
      <c r="HI104" s="21">
        <f>EXP(-LN(2)/2)*HI103+(1-EXP(-LN(2)/2))/(LN(2)/2)*HC104*HF104*VLOOKUP('Données projet'!$B$18,Paramètres!$A$1:$I$89,3,0)*0.475*44/12</f>
        <v>9.2706331868413518E-4</v>
      </c>
      <c r="HJ104" s="22">
        <f t="shared" si="84"/>
        <v>40.249691433577567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349.71285006949597</v>
      </c>
      <c r="T105" s="59">
        <f t="shared" si="88"/>
        <v>258.51550516456842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99.135941407702646</v>
      </c>
      <c r="AA105" s="21">
        <f>EXP(-LN(2)/25)*AA104+(1-EXP(-LN(2)/25))/(LN(2)/25)*Calculateur!V105*Calculateur!X105*VLOOKUP('Données projet'!$B$9,Paramètres!$A$1:$I$89,3,0)*0.475*44/12</f>
        <v>28.116206918860343</v>
      </c>
      <c r="AB105" s="21">
        <f>EXP(-LN(2)/2)*AB104+(1-EXP(-LN(2)/2))/(LN(2)/2)*V105*Y105*VLOOKUP('Données projet'!$B$9,Paramètres!$A$1:$I$89,3,0)*0.475*44/12</f>
        <v>3.4529610742777689E-2</v>
      </c>
      <c r="AC105" s="22">
        <f t="shared" si="57"/>
        <v>127.28667793730577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8.9989999999999952</v>
      </c>
      <c r="AI105" s="13">
        <f>IF('Données projet'!$A$62&gt;35,AI104+AH105-AQ104,IF(A105&lt;'Données projet'!$A$62,$AF$205^A105,IF(A105='Données projet'!$A$62,'Données projet'!$B$62,AI104+AH105-AQ104)))</f>
        <v>362.40100000000007</v>
      </c>
      <c r="AJ105" s="13">
        <f>AI105*VLOOKUP('Données projet'!$B$10,Paramètres!$A$1:$I$89,3,0)*VLOOKUP('Données projet'!$B$10,Paramètres!$A$1:$I$89,5,0)</f>
        <v>344.86079160000008</v>
      </c>
      <c r="AK105" s="13">
        <f t="shared" si="89"/>
        <v>80.503385547683365</v>
      </c>
      <c r="AL105" s="20">
        <f t="shared" si="58"/>
        <v>740.84260853221531</v>
      </c>
      <c r="AM105" s="59">
        <f t="shared" si="59"/>
        <v>1034.1759418655486</v>
      </c>
      <c r="AN105" s="59">
        <f ca="1">AVERAGE(OFFSET($AM$3,0,0,'Données projet'!$E$10+1,1))-AVERAGE(OFFSET($H$3,0,0,'Données projet'!$E$10+1,1))</f>
        <v>449.28947235329758</v>
      </c>
      <c r="AO105" s="59">
        <f t="shared" si="90"/>
        <v>289.36994109443964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31.039129162648869</v>
      </c>
      <c r="AV105" s="21">
        <f>EXP(-LN(2)/25)*AV104+(1-EXP(-LN(2)/25))/(LN(2)/25)*Calculateur!AQ105*Calculateur!AS105*VLOOKUP('Données projet'!$B$10,Paramètres!$A$1:$I$89,3,0)*0.475*44/12</f>
        <v>20.316664735887251</v>
      </c>
      <c r="AW105" s="21">
        <f>EXP(-LN(2)/2)*AW104+(1-EXP(-LN(2)/2))/(LN(2)/2)*AQ105*AT105*VLOOKUP('Données projet'!$B$10,Paramètres!$A$1:$I$89,3,0)*0.475*44/12</f>
        <v>6.5568488493574972E-3</v>
      </c>
      <c r="AX105" s="21">
        <f t="shared" si="60"/>
        <v>51.362350747385477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347.7291168000005</v>
      </c>
      <c r="BF105" s="13">
        <f t="shared" si="91"/>
        <v>81.094735802697301</v>
      </c>
      <c r="BG105" s="20">
        <f t="shared" si="61"/>
        <v>746.86820994969855</v>
      </c>
      <c r="BH105" s="59">
        <f t="shared" si="62"/>
        <v>1040.2015432830319</v>
      </c>
      <c r="BI105" s="59">
        <f ca="1">AVERAGE(OFFSET($BH$3,0,0,'Données projet'!$E$11+1,1))-AVERAGE(OFFSET($H$3,0,0,'Données projet'!$E$11+1,1))</f>
        <v>635.71275911100679</v>
      </c>
      <c r="BJ105" s="59">
        <f t="shared" si="92"/>
        <v>281.7776857269169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24.081753981573542</v>
      </c>
      <c r="BQ105" s="21">
        <f>EXP(-LN(2)/25)*BQ104+(1-EXP(-LN(2)/25))/(LN(2)/25)*Calculateur!BL105*Calculateur!BN105*VLOOKUP('Données projet'!$B$11,Paramètres!$A$1:$I$89,3,0)*0.475*44/12</f>
        <v>22.579717269703753</v>
      </c>
      <c r="BR105" s="21">
        <f>EXP(-LN(2)/2)*BR104+(1-EXP(-LN(2)/2))/(LN(2)/2)*BL105*BO105*VLOOKUP('Données projet'!$B$11,Paramètres!$A$1:$I$89,3,0)*0.475*44/12</f>
        <v>0.37076252898305184</v>
      </c>
      <c r="BS105" s="22">
        <f t="shared" si="63"/>
        <v>47.032233780260341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6.7777777777777777</v>
      </c>
      <c r="BY105" s="12">
        <f>IF('Données projet'!$A$114&gt;35,BY104+BX105-CG104,IF(A105&lt;'Données projet'!$A$114,$BV$205^A105,IF(A105='Données projet'!$A$114,'Données projet'!$B$114,BY104+BX105-CG104)))</f>
        <v>257.81444444444429</v>
      </c>
      <c r="BZ105" s="13">
        <f>BY105*VLOOKUP('Données projet'!$B$12,Paramètres!$A$1:$I$89,3,0)*VLOOKUP('Données projet'!$B$12,Paramètres!$A$1:$I$89,5,0)</f>
        <v>293.59908933333315</v>
      </c>
      <c r="CA105" s="13">
        <f t="shared" si="93"/>
        <v>69.832907045194901</v>
      </c>
      <c r="CB105" s="20">
        <f t="shared" si="64"/>
        <v>632.97739369260296</v>
      </c>
      <c r="CC105" s="59">
        <f t="shared" si="65"/>
        <v>926.31072702593633</v>
      </c>
      <c r="CD105" s="59">
        <f ca="1">AVERAGE(OFFSET($CC$3,0,0,'Données projet'!$E$12+1,1))-AVERAGE(OFFSET($H$3,0,0,'Données projet'!$E$12+1,1))</f>
        <v>593.28343396240075</v>
      </c>
      <c r="CE105" s="59">
        <f t="shared" si="94"/>
        <v>289.66477662068695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12.141429774318755</v>
      </c>
      <c r="CL105" s="21">
        <f>EXP(-LN(2)/25)*CL104+(1-EXP(-LN(2)/25))/(LN(2)/25)*Calculateur!CG105*Calculateur!CI105*VLOOKUP('Données projet'!$B$12,Paramètres!$A$1:$I$89,3,0)*0.475*44/12</f>
        <v>30.772520346406381</v>
      </c>
      <c r="CM105" s="21">
        <f>EXP(-LN(2)/2)*CM104+(1-EXP(-LN(2)/2))/(LN(2)/2)*CG105*CJ105*VLOOKUP('Données projet'!$B$12,Paramètres!$A$1:$I$89,3,0)*0.475*44/12</f>
        <v>0.41790415370870915</v>
      </c>
      <c r="CN105" s="22">
        <f t="shared" si="66"/>
        <v>43.331854274433844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2.2737367544323206E-13</v>
      </c>
      <c r="CU105" s="17">
        <f>CT105*VLOOKUP('Données projet'!$B$13,Paramètres!$A$1:$I$89,3,0)*VLOOKUP('Données projet'!$B$13,Paramètres!$A$1:$I$89,5,0)</f>
        <v>2.3765096557326618E-13</v>
      </c>
      <c r="CV105" s="13">
        <f t="shared" si="95"/>
        <v>3.2279907425805489E-12</v>
      </c>
      <c r="CW105" s="20">
        <f t="shared" si="67"/>
        <v>6.0359926417012276E-12</v>
      </c>
      <c r="CX105" s="59">
        <f t="shared" si="68"/>
        <v>293.33333333333934</v>
      </c>
      <c r="CY105" s="59">
        <f ca="1">AVERAGE(OFFSET($CX$3,0,0,'Données projet'!$E$13+1,1))-AVERAGE(OFFSET($H$3,0,0,'Données projet'!$E$13+1,1))</f>
        <v>260.65406541614402</v>
      </c>
      <c r="CZ105" s="59">
        <f t="shared" si="96"/>
        <v>277.63456890196886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14.204146219366082</v>
      </c>
      <c r="DG105" s="21">
        <f>EXP(-LN(2)/25)*DG104+(1-EXP(-LN(2)/25))/(LN(2)/25)*Calculateur!DB105*Calculateur!DD105*VLOOKUP('Données projet'!$B$13,Paramètres!$A$1:$I$89,3,0)*0.475*44/12</f>
        <v>35.518830983274661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49.722977202640742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2.2737367544323206E-13</v>
      </c>
      <c r="DP105" s="17">
        <f>DO105*VLOOKUP('Données projet'!$B$14,Paramètres!$A$1:$I$89,3,0)*VLOOKUP('Données projet'!$B$14,Paramètres!$A$1:$I$89,5,0)</f>
        <v>1.4897523215040565E-13</v>
      </c>
      <c r="DQ105" s="13">
        <f t="shared" si="97"/>
        <v>2.136562777003313E-12</v>
      </c>
      <c r="DR105" s="20">
        <f t="shared" si="70"/>
        <v>3.9806453659427267E-12</v>
      </c>
      <c r="DS105" s="59">
        <f t="shared" si="71"/>
        <v>293.33333333333729</v>
      </c>
      <c r="DT105" s="59">
        <f ca="1">AVERAGE(OFFSET($DS$3,0,0,'Données projet'!$E$14+1,1))-AVERAGE(OFFSET($H$3,0,0,'Données projet'!$E$14+1,1))</f>
        <v>181.4272795535777</v>
      </c>
      <c r="DU105" s="59">
        <f t="shared" si="98"/>
        <v>187.67131775419904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13.329624326382289</v>
      </c>
      <c r="EB105" s="21">
        <f>EXP(-LN(2)/25)*EB104+(1-EXP(-LN(2)/25))/(LN(2)/25)*Calculateur!DW105*Calculateur!DY105*VLOOKUP('Données projet'!$B$14,Paramètres!$A$1:$I$89,3,0)*0.475*44/12</f>
        <v>12.936133672522175</v>
      </c>
      <c r="EC105" s="21">
        <f>EXP(-LN(2)/2)*EC104+(1-EXP(-LN(2)/2))/(LN(2)/2)*DW105*DZ105*VLOOKUP('Données projet'!$B$14,Paramètres!$A$1:$I$89,3,0)*0.475*44/12</f>
        <v>0.39206140073272566</v>
      </c>
      <c r="ED105" s="22">
        <f t="shared" si="72"/>
        <v>26.657819399637187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1.1368683772161603E-13</v>
      </c>
      <c r="EK105" s="17">
        <f>EJ105*VLOOKUP('Données projet'!$B$15,Paramètres!$A$1:$I$89,3,0)*VLOOKUP('Données projet'!$B$15,Paramètres!$A$1:$I$89,5,0)</f>
        <v>9.2222762759774927E-14</v>
      </c>
      <c r="EL105" s="13">
        <f t="shared" si="99"/>
        <v>1.3985662224947967E-12</v>
      </c>
      <c r="EM105" s="20">
        <f t="shared" si="73"/>
        <v>2.5964574826517121E-12</v>
      </c>
      <c r="EN105" s="59">
        <f t="shared" si="74"/>
        <v>293.33333333333593</v>
      </c>
      <c r="EO105" s="59">
        <f ca="1">AVERAGE(OFFSET($EN$3,0,0,'Données projet'!$E$15+1,1))-AVERAGE(OFFSET($H$3,0,0,'Données projet'!$E$15+1,1))</f>
        <v>159.68591355116837</v>
      </c>
      <c r="EP105" s="59">
        <f t="shared" si="100"/>
        <v>284.32631786390112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4.2718676209960407</v>
      </c>
      <c r="EW105" s="21">
        <f>EXP(-LN(2)/25)*EW104+(1-EXP(-LN(2)/25))/(LN(2)/25)*Calculateur!ER105*Calculateur!ET105*VLOOKUP('Données projet'!$B$15,Paramètres!$A$1:$I$89,3,0)*0.475*44/12</f>
        <v>3.4630066509862307</v>
      </c>
      <c r="EX105" s="21">
        <f>EXP(-LN(2)/2)*EX104+(1-EXP(-LN(2)/2))/(LN(2)/2)*ER105*EU105*VLOOKUP('Données projet'!$B$15,Paramètres!$A$1:$I$89,3,0)*0.475*44/12</f>
        <v>1.3588980955451658E-8</v>
      </c>
      <c r="EY105" s="22">
        <f t="shared" si="75"/>
        <v>7.7348742855712516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-1.3567387213697657E-13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299.10536994156814</v>
      </c>
      <c r="FK105" s="59">
        <f t="shared" si="102"/>
        <v>292.57799203101769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26.27580150586639</v>
      </c>
      <c r="FR105" s="21">
        <f>EXP(-LN(2)/25)*FR104+(1-EXP(-LN(2)/25))/(LN(2)/25)*Calculateur!FM105*Calculateur!FO105*VLOOKUP('Données projet'!$B$16,Paramètres!$A$1:$I$89,3,0)*0.475*44/12</f>
        <v>23.018171006036745</v>
      </c>
      <c r="FS105" s="21">
        <f>EXP(-LN(2)/2)*FS104+(1-EXP(-LN(2)/2))/(LN(2)/2)*FM105*FP105*VLOOKUP('Données projet'!$B$16,Paramètres!$A$1:$I$89,3,0)*0.475*44/12</f>
        <v>2.5380828508527783E-2</v>
      </c>
      <c r="FT105" s="22">
        <f t="shared" si="78"/>
        <v>49.319353340411666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5.6843418860808015E-14</v>
      </c>
      <c r="GA105" s="17">
        <f>FZ105*VLOOKUP('Données projet'!$B$17,Paramètres!$A$1:$I$89,3,0)*VLOOKUP('Données projet'!$B$17,Paramètres!$A$1:$I$89,5,0)</f>
        <v>5.1431925385259088E-14</v>
      </c>
      <c r="GB105" s="13">
        <f t="shared" si="103"/>
        <v>8.3482866290946129E-13</v>
      </c>
      <c r="GC105" s="20">
        <f t="shared" si="79"/>
        <v>1.5435705246133045E-12</v>
      </c>
      <c r="GD105" s="59">
        <f t="shared" si="80"/>
        <v>293.33333333333485</v>
      </c>
      <c r="GE105" s="59">
        <f ca="1">AVERAGE(OFFSET($GD$3,0,0,'Données projet'!$E$17+1,1))-AVERAGE(OFFSET($H$3,0,0,'Données projet'!$E$17+1,1))</f>
        <v>204.78565758021779</v>
      </c>
      <c r="GF105" s="59">
        <f t="shared" si="104"/>
        <v>287.25131613242439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5.0481654586442364</v>
      </c>
      <c r="GM105" s="21">
        <f>EXP(-LN(2)/25)*GM104+(1-EXP(-LN(2)/25))/(LN(2)/25)*Calculateur!GH105*Calculateur!GJ105*VLOOKUP('Données projet'!$B$17,Paramètres!$A$1:$I$89,3,0)*0.475*44/12</f>
        <v>2.721351177817148</v>
      </c>
      <c r="GN105" s="21">
        <f>EXP(-LN(2)/2)*GN104+(1-EXP(-LN(2)/2))/(LN(2)/2)*GH105*GK105*VLOOKUP('Données projet'!$B$17,Paramètres!$A$1:$I$89,3,0)*0.475*44/12</f>
        <v>3.6326867602375725E-8</v>
      </c>
      <c r="GO105" s="21">
        <f t="shared" si="81"/>
        <v>7.7695166727882521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5.6843418860808015E-14</v>
      </c>
      <c r="GV105" s="17">
        <f>GU105*VLOOKUP('Données projet'!$B$18,Paramètres!$A$1:$I$89,3,0)*VLOOKUP('Données projet'!$B$18,Paramètres!$A$1:$I$89,5,0)</f>
        <v>4.4337866711430253E-14</v>
      </c>
      <c r="GW105" s="13">
        <f t="shared" si="105"/>
        <v>7.3222115536967035E-13</v>
      </c>
      <c r="GX105" s="20">
        <f t="shared" si="82"/>
        <v>1.3525069634579169E-12</v>
      </c>
      <c r="GY105" s="59">
        <f t="shared" si="83"/>
        <v>293.33333333333468</v>
      </c>
      <c r="GZ105" s="59">
        <f ca="1">AVERAGE(OFFSET($GY$3,0,0,'Données projet'!$E$18+1,1))-AVERAGE(OFFSET($H$3,0,0,'Données projet'!$E$18+1,1))</f>
        <v>288.82868507674738</v>
      </c>
      <c r="HA105" s="59">
        <f t="shared" si="106"/>
        <v>283.48738729114024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22.367931959764892</v>
      </c>
      <c r="HH105" s="21">
        <f>EXP(-LN(2)/25)*HH104+(1-EXP(-LN(2)/25))/(LN(2)/25)*Calculateur!HC105*Calculateur!HE105*VLOOKUP('Données projet'!$B$18,Paramètres!$A$1:$I$89,3,0)*0.475*44/12</f>
        <v>16.956719499218252</v>
      </c>
      <c r="HI105" s="21">
        <f>EXP(-LN(2)/2)*HI104+(1-EXP(-LN(2)/2))/(LN(2)/2)*HC105*HF105*VLOOKUP('Données projet'!$B$18,Paramètres!$A$1:$I$89,3,0)*0.475*44/12</f>
        <v>6.5553275923085734E-4</v>
      </c>
      <c r="HJ105" s="22">
        <f t="shared" si="84"/>
        <v>39.325306991742373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349.71285006949597</v>
      </c>
      <c r="T106" s="59">
        <f t="shared" si="88"/>
        <v>258.51550516456842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97.191946063651244</v>
      </c>
      <c r="AA106" s="21">
        <f>EXP(-LN(2)/25)*AA105+(1-EXP(-LN(2)/25))/(LN(2)/25)*Calculateur!V106*Calculateur!X106*VLOOKUP('Données projet'!$B$9,Paramètres!$A$1:$I$89,3,0)*0.475*44/12</f>
        <v>27.347367762097043</v>
      </c>
      <c r="AB106" s="21">
        <f>EXP(-LN(2)/2)*AB105+(1-EXP(-LN(2)/2))/(LN(2)/2)*V106*Y106*VLOOKUP('Données projet'!$B$9,Paramètres!$A$1:$I$89,3,0)*0.475*44/12</f>
        <v>2.4416121907949964E-2</v>
      </c>
      <c r="AC106" s="22">
        <f t="shared" si="57"/>
        <v>124.56372994765623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371.4</v>
      </c>
      <c r="AG106" s="12">
        <f>VLOOKUP(A106,'Données projet'!$A$61:$I$81,9,0)</f>
        <v>8.9989999999999952</v>
      </c>
      <c r="AH106" s="12">
        <f t="array" ref="AH106">INDEX(AG:AG,MIN(IF(ISNUMBER(AG106:AG302),ROW(AG106:AG302),"")))</f>
        <v>8.9989999999999952</v>
      </c>
      <c r="AI106" s="13">
        <f>IF('Données projet'!$A$62&gt;35,AI105+AH106-AQ105,IF(A106&lt;'Données projet'!$A$62,$AF$205^A106,IF(A106='Données projet'!$A$62,'Données projet'!$B$62,AI105+AH106-AQ105)))</f>
        <v>371.40000000000009</v>
      </c>
      <c r="AJ106" s="13">
        <f>AI106*VLOOKUP('Données projet'!$B$10,Paramètres!$A$1:$I$89,3,0)*VLOOKUP('Données projet'!$B$10,Paramètres!$A$1:$I$89,5,0)</f>
        <v>353.42424000000011</v>
      </c>
      <c r="AK106" s="13">
        <f t="shared" si="89"/>
        <v>82.267197792875848</v>
      </c>
      <c r="AL106" s="20">
        <f t="shared" si="58"/>
        <v>758.82925415592547</v>
      </c>
      <c r="AM106" s="59">
        <f t="shared" si="59"/>
        <v>1052.1625874892588</v>
      </c>
      <c r="AN106" s="59">
        <f ca="1">AVERAGE(OFFSET($AM$3,0,0,'Données projet'!$E$10+1,1))-AVERAGE(OFFSET($H$3,0,0,'Données projet'!$E$10+1,1))</f>
        <v>449.28947235329758</v>
      </c>
      <c r="AO106" s="59">
        <f t="shared" si="90"/>
        <v>289.36994109443964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67.759999999999991</v>
      </c>
      <c r="AR106" s="16">
        <f>IF(ISNA(VLOOKUP(A106,'Données projet'!$A$61:$I$81,5,0)),0%,VLOOKUP(A106,'Données projet'!$A$61:$I$81,5,0)*VLOOKUP('Données projet'!$B$10,Paramètres!$A$1:$I$89,7,0))</f>
        <v>0.215</v>
      </c>
      <c r="AS106" s="16">
        <f>IF(ISNA(VLOOKUP(A106,'Données projet'!$A$61:$I$81,6,0)),0%,VLOOKUP(A106,'Données projet'!$A$61:$I$81,6,0)*VLOOKUP('Données projet'!$B$10,Paramètres!$A$1:$I$89,7,0))</f>
        <v>8.6000000000000007E-2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45.755926610580673</v>
      </c>
      <c r="AV106" s="21">
        <f>EXP(-LN(2)/25)*AV105+(1-EXP(-LN(2)/25))/(LN(2)/25)*Calculateur!AQ106*Calculateur!AS106*VLOOKUP('Données projet'!$B$10,Paramètres!$A$1:$I$89,3,0)*0.475*44/12</f>
        <v>25.867149942164669</v>
      </c>
      <c r="AW106" s="21">
        <f>EXP(-LN(2)/2)*AW105+(1-EXP(-LN(2)/2))/(LN(2)/2)*AQ106*AT106*VLOOKUP('Données projet'!$B$10,Paramètres!$A$1:$I$89,3,0)*0.475*44/12</f>
        <v>4.6363922845958977E-3</v>
      </c>
      <c r="AX106" s="21">
        <f t="shared" si="60"/>
        <v>71.627712945029941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355.81983840000049</v>
      </c>
      <c r="BF106" s="13">
        <f t="shared" si="91"/>
        <v>82.759723795307863</v>
      </c>
      <c r="BG106" s="20">
        <f t="shared" si="61"/>
        <v>763.85940415682887</v>
      </c>
      <c r="BH106" s="59">
        <f t="shared" si="62"/>
        <v>1057.1927374901622</v>
      </c>
      <c r="BI106" s="59">
        <f ca="1">AVERAGE(OFFSET($BH$3,0,0,'Données projet'!$E$11+1,1))-AVERAGE(OFFSET($H$3,0,0,'Données projet'!$E$11+1,1))</f>
        <v>635.71275911100679</v>
      </c>
      <c r="BJ106" s="59">
        <f t="shared" si="92"/>
        <v>281.7776857269169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23.60952547441445</v>
      </c>
      <c r="BQ106" s="21">
        <f>EXP(-LN(2)/25)*BQ105+(1-EXP(-LN(2)/25))/(LN(2)/25)*Calculateur!BL106*Calculateur!BN106*VLOOKUP('Données projet'!$B$11,Paramètres!$A$1:$I$89,3,0)*0.475*44/12</f>
        <v>21.96227371354798</v>
      </c>
      <c r="BR106" s="21">
        <f>EXP(-LN(2)/2)*BR105+(1-EXP(-LN(2)/2))/(LN(2)/2)*BL106*BO106*VLOOKUP('Données projet'!$B$11,Paramètres!$A$1:$I$89,3,0)*0.475*44/12</f>
        <v>0.26216869845378982</v>
      </c>
      <c r="BS106" s="22">
        <f t="shared" si="63"/>
        <v>45.833967886416218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6.7777777777777777</v>
      </c>
      <c r="BY106" s="12">
        <f>IF('Données projet'!$A$114&gt;35,BY105+BX106-CG105,IF(A106&lt;'Données projet'!$A$114,$BV$205^A106,IF(A106='Données projet'!$A$114,'Données projet'!$B$114,BY105+BX106-CG105)))</f>
        <v>264.59222222222206</v>
      </c>
      <c r="BZ106" s="13">
        <f>BY106*VLOOKUP('Données projet'!$B$12,Paramètres!$A$1:$I$89,3,0)*VLOOKUP('Données projet'!$B$12,Paramètres!$A$1:$I$89,5,0)</f>
        <v>301.31762266666647</v>
      </c>
      <c r="CA106" s="13">
        <f t="shared" si="93"/>
        <v>71.452617304074849</v>
      </c>
      <c r="CB106" s="20">
        <f t="shared" si="64"/>
        <v>649.24150128237454</v>
      </c>
      <c r="CC106" s="59">
        <f t="shared" si="65"/>
        <v>942.57483461570791</v>
      </c>
      <c r="CD106" s="59">
        <f ca="1">AVERAGE(OFFSET($CC$3,0,0,'Données projet'!$E$12+1,1))-AVERAGE(OFFSET($H$3,0,0,'Données projet'!$E$12+1,1))</f>
        <v>593.28343396240075</v>
      </c>
      <c r="CE106" s="59">
        <f t="shared" si="94"/>
        <v>289.66477662068695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11.903343741985291</v>
      </c>
      <c r="CL106" s="21">
        <f>EXP(-LN(2)/25)*CL105+(1-EXP(-LN(2)/25))/(LN(2)/25)*Calculateur!CG106*Calculateur!CI106*VLOOKUP('Données projet'!$B$12,Paramètres!$A$1:$I$89,3,0)*0.475*44/12</f>
        <v>29.931044159277384</v>
      </c>
      <c r="CM106" s="21">
        <f>EXP(-LN(2)/2)*CM105+(1-EXP(-LN(2)/2))/(LN(2)/2)*CG106*CJ106*VLOOKUP('Données projet'!$B$12,Paramètres!$A$1:$I$89,3,0)*0.475*44/12</f>
        <v>0.29550286097345352</v>
      </c>
      <c r="CN106" s="22">
        <f t="shared" si="66"/>
        <v>42.12989076223613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2.2737367544323206E-13</v>
      </c>
      <c r="CU106" s="17">
        <f>CT106*VLOOKUP('Données projet'!$B$13,Paramètres!$A$1:$I$89,3,0)*VLOOKUP('Données projet'!$B$13,Paramètres!$A$1:$I$89,5,0)</f>
        <v>2.3765096557326618E-13</v>
      </c>
      <c r="CV106" s="13">
        <f t="shared" si="95"/>
        <v>3.2279907425805489E-12</v>
      </c>
      <c r="CW106" s="20">
        <f t="shared" si="67"/>
        <v>6.0359926417012276E-12</v>
      </c>
      <c r="CX106" s="59">
        <f t="shared" si="68"/>
        <v>293.33333333333934</v>
      </c>
      <c r="CY106" s="59">
        <f ca="1">AVERAGE(OFFSET($CX$3,0,0,'Données projet'!$E$13+1,1))-AVERAGE(OFFSET($H$3,0,0,'Données projet'!$E$13+1,1))</f>
        <v>260.65406541614402</v>
      </c>
      <c r="CZ106" s="59">
        <f t="shared" si="96"/>
        <v>277.63456890196886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13.92561157567804</v>
      </c>
      <c r="DG106" s="21">
        <f>EXP(-LN(2)/25)*DG105+(1-EXP(-LN(2)/25))/(LN(2)/25)*Calculateur!DB106*Calculateur!DD106*VLOOKUP('Données projet'!$B$13,Paramètres!$A$1:$I$89,3,0)*0.475*44/12</f>
        <v>34.547566682182875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48.473178257860916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2.2737367544323206E-13</v>
      </c>
      <c r="DP106" s="17">
        <f>DO106*VLOOKUP('Données projet'!$B$14,Paramètres!$A$1:$I$89,3,0)*VLOOKUP('Données projet'!$B$14,Paramètres!$A$1:$I$89,5,0)</f>
        <v>1.4897523215040565E-13</v>
      </c>
      <c r="DQ106" s="13">
        <f t="shared" si="97"/>
        <v>2.136562777003313E-12</v>
      </c>
      <c r="DR106" s="20">
        <f t="shared" si="70"/>
        <v>3.9806453659427267E-12</v>
      </c>
      <c r="DS106" s="59">
        <f t="shared" si="71"/>
        <v>293.33333333333729</v>
      </c>
      <c r="DT106" s="59">
        <f ca="1">AVERAGE(OFFSET($DS$3,0,0,'Données projet'!$E$14+1,1))-AVERAGE(OFFSET($H$3,0,0,'Données projet'!$E$14+1,1))</f>
        <v>181.4272795535777</v>
      </c>
      <c r="DU106" s="59">
        <f t="shared" si="98"/>
        <v>187.67131775419904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13.068238523609974</v>
      </c>
      <c r="EB106" s="21">
        <f>EXP(-LN(2)/25)*EB105+(1-EXP(-LN(2)/25))/(LN(2)/25)*Calculateur!DW106*Calculateur!DY106*VLOOKUP('Données projet'!$B$14,Paramètres!$A$1:$I$89,3,0)*0.475*44/12</f>
        <v>12.582394416965352</v>
      </c>
      <c r="EC106" s="21">
        <f>EXP(-LN(2)/2)*EC105+(1-EXP(-LN(2)/2))/(LN(2)/2)*DW106*DZ106*VLOOKUP('Données projet'!$B$14,Paramètres!$A$1:$I$89,3,0)*0.475*44/12</f>
        <v>0.27722927509960676</v>
      </c>
      <c r="ED106" s="22">
        <f t="shared" si="72"/>
        <v>25.927862215674935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1.1368683772161603E-13</v>
      </c>
      <c r="EK106" s="17">
        <f>EJ106*VLOOKUP('Données projet'!$B$15,Paramètres!$A$1:$I$89,3,0)*VLOOKUP('Données projet'!$B$15,Paramètres!$A$1:$I$89,5,0)</f>
        <v>9.2222762759774927E-14</v>
      </c>
      <c r="EL106" s="13">
        <f t="shared" si="99"/>
        <v>1.3985662224947967E-12</v>
      </c>
      <c r="EM106" s="20">
        <f t="shared" si="73"/>
        <v>2.5964574826517121E-12</v>
      </c>
      <c r="EN106" s="59">
        <f t="shared" si="74"/>
        <v>293.33333333333593</v>
      </c>
      <c r="EO106" s="59">
        <f ca="1">AVERAGE(OFFSET($EN$3,0,0,'Données projet'!$E$15+1,1))-AVERAGE(OFFSET($H$3,0,0,'Données projet'!$E$15+1,1))</f>
        <v>159.68591355116837</v>
      </c>
      <c r="EP106" s="59">
        <f t="shared" si="100"/>
        <v>284.32631786390112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4.1880989025302773</v>
      </c>
      <c r="EW106" s="21">
        <f>EXP(-LN(2)/25)*EW105+(1-EXP(-LN(2)/25))/(LN(2)/25)*Calculateur!ER106*Calculateur!ET106*VLOOKUP('Données projet'!$B$15,Paramètres!$A$1:$I$89,3,0)*0.475*44/12</f>
        <v>3.3683105520034071</v>
      </c>
      <c r="EX106" s="21">
        <f>EXP(-LN(2)/2)*EX105+(1-EXP(-LN(2)/2))/(LN(2)/2)*ER106*EU106*VLOOKUP('Données projet'!$B$15,Paramètres!$A$1:$I$89,3,0)*0.475*44/12</f>
        <v>9.6088605830147168E-9</v>
      </c>
      <c r="EY106" s="22">
        <f t="shared" si="75"/>
        <v>7.5564094641425443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-1.3567387213697657E-13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299.10536994156814</v>
      </c>
      <c r="FK106" s="59">
        <f t="shared" si="102"/>
        <v>292.57799203101769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25.76054906499277</v>
      </c>
      <c r="FR106" s="21">
        <f>EXP(-LN(2)/25)*FR105+(1-EXP(-LN(2)/25))/(LN(2)/25)*Calculateur!FM106*Calculateur!FO106*VLOOKUP('Données projet'!$B$16,Paramètres!$A$1:$I$89,3,0)*0.475*44/12</f>
        <v>22.388737909403666</v>
      </c>
      <c r="FS106" s="21">
        <f>EXP(-LN(2)/2)*FS105+(1-EXP(-LN(2)/2))/(LN(2)/2)*FM106*FP106*VLOOKUP('Données projet'!$B$16,Paramètres!$A$1:$I$89,3,0)*0.475*44/12</f>
        <v>1.7946955950512843E-2</v>
      </c>
      <c r="FT106" s="22">
        <f t="shared" si="78"/>
        <v>48.167233930346946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5.6843418860808015E-14</v>
      </c>
      <c r="GA106" s="17">
        <f>FZ106*VLOOKUP('Données projet'!$B$17,Paramètres!$A$1:$I$89,3,0)*VLOOKUP('Données projet'!$B$17,Paramètres!$A$1:$I$89,5,0)</f>
        <v>5.1431925385259088E-14</v>
      </c>
      <c r="GB106" s="13">
        <f t="shared" si="103"/>
        <v>8.3482866290946129E-13</v>
      </c>
      <c r="GC106" s="20">
        <f t="shared" si="79"/>
        <v>1.5435705246133045E-12</v>
      </c>
      <c r="GD106" s="59">
        <f t="shared" si="80"/>
        <v>293.33333333333485</v>
      </c>
      <c r="GE106" s="59">
        <f ca="1">AVERAGE(OFFSET($GD$3,0,0,'Données projet'!$E$17+1,1))-AVERAGE(OFFSET($H$3,0,0,'Données projet'!$E$17+1,1))</f>
        <v>204.78565758021779</v>
      </c>
      <c r="GF106" s="59">
        <f t="shared" si="104"/>
        <v>287.25131613242439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4.9491740130771191</v>
      </c>
      <c r="GM106" s="21">
        <f>EXP(-LN(2)/25)*GM105+(1-EXP(-LN(2)/25))/(LN(2)/25)*Calculateur!GH106*Calculateur!GJ106*VLOOKUP('Données projet'!$B$17,Paramètres!$A$1:$I$89,3,0)*0.475*44/12</f>
        <v>2.6469356867500995</v>
      </c>
      <c r="GN106" s="21">
        <f>EXP(-LN(2)/2)*GN105+(1-EXP(-LN(2)/2))/(LN(2)/2)*GH106*GK106*VLOOKUP('Données projet'!$B$17,Paramètres!$A$1:$I$89,3,0)*0.475*44/12</f>
        <v>2.5686974420905774E-8</v>
      </c>
      <c r="GO106" s="21">
        <f t="shared" si="81"/>
        <v>7.5961097255141929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5.6843418860808015E-14</v>
      </c>
      <c r="GV106" s="17">
        <f>GU106*VLOOKUP('Données projet'!$B$18,Paramètres!$A$1:$I$89,3,0)*VLOOKUP('Données projet'!$B$18,Paramètres!$A$1:$I$89,5,0)</f>
        <v>4.4337866711430253E-14</v>
      </c>
      <c r="GW106" s="13">
        <f t="shared" si="105"/>
        <v>7.3222115536967035E-13</v>
      </c>
      <c r="GX106" s="20">
        <f t="shared" si="82"/>
        <v>1.3525069634579169E-12</v>
      </c>
      <c r="GY106" s="59">
        <f t="shared" si="83"/>
        <v>293.33333333333468</v>
      </c>
      <c r="GZ106" s="59">
        <f ca="1">AVERAGE(OFFSET($GY$3,0,0,'Données projet'!$E$18+1,1))-AVERAGE(OFFSET($H$3,0,0,'Données projet'!$E$18+1,1))</f>
        <v>288.82868507674738</v>
      </c>
      <c r="HA106" s="59">
        <f t="shared" si="106"/>
        <v>283.48738729114024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21.929310457125254</v>
      </c>
      <c r="HH106" s="21">
        <f>EXP(-LN(2)/25)*HH105+(1-EXP(-LN(2)/25))/(LN(2)/25)*Calculateur!HC106*Calculateur!HE106*VLOOKUP('Données projet'!$B$18,Paramètres!$A$1:$I$89,3,0)*0.475*44/12</f>
        <v>16.493037112797005</v>
      </c>
      <c r="HI106" s="21">
        <f>EXP(-LN(2)/2)*HI105+(1-EXP(-LN(2)/2))/(LN(2)/2)*HC106*HF106*VLOOKUP('Données projet'!$B$18,Paramètres!$A$1:$I$89,3,0)*0.475*44/12</f>
        <v>4.6353165934206759E-4</v>
      </c>
      <c r="HJ106" s="22">
        <f t="shared" si="84"/>
        <v>38.422811101581601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349.71285006949597</v>
      </c>
      <c r="T107" s="59">
        <f t="shared" si="88"/>
        <v>258.51550516456842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95.2860712825766</v>
      </c>
      <c r="AA107" s="21">
        <f>EXP(-LN(2)/25)*AA106+(1-EXP(-LN(2)/25))/(LN(2)/25)*Calculateur!V107*Calculateur!X107*VLOOKUP('Données projet'!$B$9,Paramètres!$A$1:$I$89,3,0)*0.475*44/12</f>
        <v>26.599552552506932</v>
      </c>
      <c r="AB107" s="21">
        <f>EXP(-LN(2)/2)*AB106+(1-EXP(-LN(2)/2))/(LN(2)/2)*V107*Y107*VLOOKUP('Données projet'!$B$9,Paramètres!$A$1:$I$89,3,0)*0.475*44/12</f>
        <v>1.7264805371388844E-2</v>
      </c>
      <c r="AC107" s="22">
        <f t="shared" si="57"/>
        <v>121.90288864045492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8.7540000000000013</v>
      </c>
      <c r="AI107" s="13">
        <f>IF('Données projet'!$A$62&gt;35,AI106+AH107-AQ106,IF(A107&lt;'Données projet'!$A$62,$AF$205^A107,IF(A107='Données projet'!$A$62,'Données projet'!$B$62,AI106+AH107-AQ106)))</f>
        <v>312.39400000000012</v>
      </c>
      <c r="AJ107" s="13">
        <f>AI107*VLOOKUP('Données projet'!$B$10,Paramètres!$A$1:$I$89,3,0)*VLOOKUP('Données projet'!$B$10,Paramètres!$A$1:$I$89,5,0)</f>
        <v>297.27413040000016</v>
      </c>
      <c r="AK107" s="13">
        <f t="shared" si="89"/>
        <v>70.604713287138281</v>
      </c>
      <c r="AL107" s="20">
        <f t="shared" si="58"/>
        <v>640.72231942176609</v>
      </c>
      <c r="AM107" s="59">
        <f t="shared" si="59"/>
        <v>934.05565275509935</v>
      </c>
      <c r="AN107" s="59">
        <f ca="1">AVERAGE(OFFSET($AM$3,0,0,'Données projet'!$E$10+1,1))-AVERAGE(OFFSET($H$3,0,0,'Données projet'!$E$10+1,1))</f>
        <v>449.28947235329758</v>
      </c>
      <c r="AO107" s="59">
        <f t="shared" si="90"/>
        <v>289.36994109443964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44.858680798106697</v>
      </c>
      <c r="AV107" s="21">
        <f>EXP(-LN(2)/25)*AV106+(1-EXP(-LN(2)/25))/(LN(2)/25)*Calculateur!AQ107*Calculateur!AS107*VLOOKUP('Données projet'!$B$10,Paramètres!$A$1:$I$89,3,0)*0.475*44/12</f>
        <v>25.159811366701881</v>
      </c>
      <c r="AW107" s="21">
        <f>EXP(-LN(2)/2)*AW106+(1-EXP(-LN(2)/2))/(LN(2)/2)*AQ107*AT107*VLOOKUP('Données projet'!$B$10,Paramètres!$A$1:$I$89,3,0)*0.475*44/12</f>
        <v>3.2784244246787486E-3</v>
      </c>
      <c r="AX107" s="21">
        <f t="shared" si="60"/>
        <v>70.021770589233256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363.91056000000049</v>
      </c>
      <c r="BF107" s="13">
        <f t="shared" si="91"/>
        <v>84.42031043556446</v>
      </c>
      <c r="BG107" s="20">
        <f t="shared" si="61"/>
        <v>780.84293267527562</v>
      </c>
      <c r="BH107" s="59">
        <f t="shared" si="62"/>
        <v>1074.176266008609</v>
      </c>
      <c r="BI107" s="59">
        <f ca="1">AVERAGE(OFFSET($BH$3,0,0,'Données projet'!$E$11+1,1))-AVERAGE(OFFSET($H$3,0,0,'Données projet'!$E$11+1,1))</f>
        <v>635.71275911100679</v>
      </c>
      <c r="BJ107" s="59">
        <f t="shared" si="92"/>
        <v>281.7776857269169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33.09538580102793</v>
      </c>
      <c r="BQ107" s="21">
        <f>EXP(-LN(2)/25)*BQ106+(1-EXP(-LN(2)/25))/(LN(2)/25)*Calculateur!BL107*Calculateur!BN107*VLOOKUP('Données projet'!$B$11,Paramètres!$A$1:$I$89,3,0)*0.475*44/12</f>
        <v>27.024374978935796</v>
      </c>
      <c r="BR107" s="21">
        <f>EXP(-LN(2)/2)*BR106+(1-EXP(-LN(2)/2))/(LN(2)/2)*BL107*BO107*VLOOKUP('Données projet'!$B$11,Paramètres!$A$1:$I$89,3,0)*0.475*44/12</f>
        <v>5.8275053982732432</v>
      </c>
      <c r="BS107" s="22">
        <f t="shared" si="63"/>
        <v>65.947266178236973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271.37</v>
      </c>
      <c r="BW107" s="12">
        <f>VLOOKUP(A107,'Données projet'!$A$113:$I$133,9,0)</f>
        <v>6.7777777777777777</v>
      </c>
      <c r="BX107" s="12">
        <f t="array" ref="BX107">INDEX(BW:BW,MIN(IF(ISNUMBER(BW107:BW303),ROW(BW107:BW303),"")))</f>
        <v>6.7777777777777777</v>
      </c>
      <c r="BY107" s="12">
        <f>IF('Données projet'!$A$114&gt;35,BY106+BX107-CG106,IF(A107&lt;'Données projet'!$A$114,$BV$205^A107,IF(A107='Données projet'!$A$114,'Données projet'!$B$114,BY106+BX107-CG106)))</f>
        <v>271.36999999999983</v>
      </c>
      <c r="BZ107" s="13">
        <f>BY107*VLOOKUP('Données projet'!$B$12,Paramètres!$A$1:$I$89,3,0)*VLOOKUP('Données projet'!$B$12,Paramètres!$A$1:$I$89,5,0)</f>
        <v>309.03615599999983</v>
      </c>
      <c r="CA107" s="13">
        <f t="shared" si="93"/>
        <v>73.067504716284731</v>
      </c>
      <c r="CB107" s="20">
        <f t="shared" si="64"/>
        <v>665.49720908086226</v>
      </c>
      <c r="CC107" s="59">
        <f t="shared" si="65"/>
        <v>958.83054241419563</v>
      </c>
      <c r="CD107" s="59">
        <f ca="1">AVERAGE(OFFSET($CC$3,0,0,'Données projet'!$E$12+1,1))-AVERAGE(OFFSET($H$3,0,0,'Données projet'!$E$12+1,1))</f>
        <v>593.28343396240075</v>
      </c>
      <c r="CE107" s="59">
        <f t="shared" si="94"/>
        <v>289.66477662068695</v>
      </c>
      <c r="CF107" s="15">
        <f>IF(ISNA(VLOOKUP(A107,'Données projet'!$A$113:$I$133,3,0)),0,VLOOKUP(A107,'Données projet'!$A$113:$I$133,3,0))</f>
        <v>6</v>
      </c>
      <c r="CG107" s="15">
        <f>IF(ISNA(VLOOKUP(A107,'Données projet'!$A$113:$I$133,4,0)),0,VLOOKUP(A107,'Données projet'!$A$113:$I$133,4,0))</f>
        <v>39.400000000000006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19.134883091125175</v>
      </c>
      <c r="CL107" s="21">
        <f>EXP(-LN(2)/25)*CL106+(1-EXP(-LN(2)/25))/(LN(2)/25)*Calculateur!CG107*Calculateur!CI107*VLOOKUP('Données projet'!$B$12,Paramètres!$A$1:$I$89,3,0)*0.475*44/12</f>
        <v>33.361472057512231</v>
      </c>
      <c r="CM107" s="21">
        <f>EXP(-LN(2)/2)*CM106+(1-EXP(-LN(2)/2))/(LN(2)/2)*CG107*CJ107*VLOOKUP('Données projet'!$B$12,Paramètres!$A$1:$I$89,3,0)*0.475*44/12</f>
        <v>4.4424365712436629</v>
      </c>
      <c r="CN107" s="22">
        <f t="shared" si="66"/>
        <v>56.938791719881067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2.2737367544323206E-13</v>
      </c>
      <c r="CU107" s="17">
        <f>CT107*VLOOKUP('Données projet'!$B$13,Paramètres!$A$1:$I$89,3,0)*VLOOKUP('Données projet'!$B$13,Paramètres!$A$1:$I$89,5,0)</f>
        <v>2.3765096557326618E-13</v>
      </c>
      <c r="CV107" s="13">
        <f t="shared" si="95"/>
        <v>3.2279907425805489E-12</v>
      </c>
      <c r="CW107" s="20">
        <f t="shared" si="67"/>
        <v>6.0359926417012276E-12</v>
      </c>
      <c r="CX107" s="59">
        <f t="shared" si="68"/>
        <v>293.33333333333934</v>
      </c>
      <c r="CY107" s="59">
        <f ca="1">AVERAGE(OFFSET($CX$3,0,0,'Données projet'!$E$13+1,1))-AVERAGE(OFFSET($H$3,0,0,'Données projet'!$E$13+1,1))</f>
        <v>260.65406541614402</v>
      </c>
      <c r="CZ107" s="59">
        <f t="shared" si="96"/>
        <v>277.63456890196886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13.652538826463363</v>
      </c>
      <c r="DG107" s="21">
        <f>EXP(-LN(2)/25)*DG106+(1-EXP(-LN(2)/25))/(LN(2)/25)*Calculateur!DB107*Calculateur!DD107*VLOOKUP('Données projet'!$B$13,Paramètres!$A$1:$I$89,3,0)*0.475*44/12</f>
        <v>33.602861654481011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47.255400480944374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2.2737367544323206E-13</v>
      </c>
      <c r="DP107" s="17">
        <f>DO107*VLOOKUP('Données projet'!$B$14,Paramètres!$A$1:$I$89,3,0)*VLOOKUP('Données projet'!$B$14,Paramètres!$A$1:$I$89,5,0)</f>
        <v>1.4897523215040565E-13</v>
      </c>
      <c r="DQ107" s="13">
        <f t="shared" si="97"/>
        <v>2.136562777003313E-12</v>
      </c>
      <c r="DR107" s="20">
        <f t="shared" si="70"/>
        <v>3.9806453659427267E-12</v>
      </c>
      <c r="DS107" s="59">
        <f t="shared" si="71"/>
        <v>293.33333333333729</v>
      </c>
      <c r="DT107" s="59">
        <f ca="1">AVERAGE(OFFSET($DS$3,0,0,'Données projet'!$E$14+1,1))-AVERAGE(OFFSET($H$3,0,0,'Données projet'!$E$14+1,1))</f>
        <v>181.4272795535777</v>
      </c>
      <c r="DU107" s="59">
        <f t="shared" si="98"/>
        <v>187.67131775419904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12.811978337000427</v>
      </c>
      <c r="EB107" s="21">
        <f>EXP(-LN(2)/25)*EB106+(1-EXP(-LN(2)/25))/(LN(2)/25)*Calculateur!DW107*Calculateur!DY107*VLOOKUP('Données projet'!$B$14,Paramètres!$A$1:$I$89,3,0)*0.475*44/12</f>
        <v>12.238328179954069</v>
      </c>
      <c r="EC107" s="21">
        <f>EXP(-LN(2)/2)*EC106+(1-EXP(-LN(2)/2))/(LN(2)/2)*DW107*DZ107*VLOOKUP('Données projet'!$B$14,Paramètres!$A$1:$I$89,3,0)*0.475*44/12</f>
        <v>0.19603070036636283</v>
      </c>
      <c r="ED107" s="22">
        <f t="shared" si="72"/>
        <v>25.24633721732086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1.1368683772161603E-13</v>
      </c>
      <c r="EK107" s="17">
        <f>EJ107*VLOOKUP('Données projet'!$B$15,Paramètres!$A$1:$I$89,3,0)*VLOOKUP('Données projet'!$B$15,Paramètres!$A$1:$I$89,5,0)</f>
        <v>9.2222762759774927E-14</v>
      </c>
      <c r="EL107" s="13">
        <f t="shared" si="99"/>
        <v>1.3985662224947967E-12</v>
      </c>
      <c r="EM107" s="20">
        <f t="shared" si="73"/>
        <v>2.5964574826517121E-12</v>
      </c>
      <c r="EN107" s="59">
        <f t="shared" si="74"/>
        <v>293.33333333333593</v>
      </c>
      <c r="EO107" s="59">
        <f ca="1">AVERAGE(OFFSET($EN$3,0,0,'Données projet'!$E$15+1,1))-AVERAGE(OFFSET($H$3,0,0,'Données projet'!$E$15+1,1))</f>
        <v>159.68591355116837</v>
      </c>
      <c r="EP107" s="59">
        <f t="shared" si="100"/>
        <v>284.32631786390112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4.1059728375397544</v>
      </c>
      <c r="EW107" s="21">
        <f>EXP(-LN(2)/25)*EW106+(1-EXP(-LN(2)/25))/(LN(2)/25)*Calculateur!ER107*Calculateur!ET107*VLOOKUP('Données projet'!$B$15,Paramètres!$A$1:$I$89,3,0)*0.475*44/12</f>
        <v>3.2762039228271203</v>
      </c>
      <c r="EX107" s="21">
        <f>EXP(-LN(2)/2)*EX106+(1-EXP(-LN(2)/2))/(LN(2)/2)*ER107*EU107*VLOOKUP('Données projet'!$B$15,Paramètres!$A$1:$I$89,3,0)*0.475*44/12</f>
        <v>6.7944904777258289E-9</v>
      </c>
      <c r="EY107" s="22">
        <f t="shared" si="75"/>
        <v>7.3821767671613649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-1.3567387213697657E-13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299.10536994156814</v>
      </c>
      <c r="FK107" s="59">
        <f t="shared" si="102"/>
        <v>292.57799203101769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25.25540041021172</v>
      </c>
      <c r="FR107" s="21">
        <f>EXP(-LN(2)/25)*FR106+(1-EXP(-LN(2)/25))/(LN(2)/25)*Calculateur!FM107*Calculateur!FO107*VLOOKUP('Données projet'!$B$16,Paramètres!$A$1:$I$89,3,0)*0.475*44/12</f>
        <v>21.776516693898465</v>
      </c>
      <c r="FS107" s="21">
        <f>EXP(-LN(2)/2)*FS106+(1-EXP(-LN(2)/2))/(LN(2)/2)*FM107*FP107*VLOOKUP('Données projet'!$B$16,Paramètres!$A$1:$I$89,3,0)*0.475*44/12</f>
        <v>1.2690414254263892E-2</v>
      </c>
      <c r="FT107" s="22">
        <f t="shared" si="78"/>
        <v>47.044607518364451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5.6843418860808015E-14</v>
      </c>
      <c r="GA107" s="17">
        <f>FZ107*VLOOKUP('Données projet'!$B$17,Paramètres!$A$1:$I$89,3,0)*VLOOKUP('Données projet'!$B$17,Paramètres!$A$1:$I$89,5,0)</f>
        <v>5.1431925385259088E-14</v>
      </c>
      <c r="GB107" s="13">
        <f t="shared" si="103"/>
        <v>8.3482866290946129E-13</v>
      </c>
      <c r="GC107" s="20">
        <f t="shared" si="79"/>
        <v>1.5435705246133045E-12</v>
      </c>
      <c r="GD107" s="59">
        <f t="shared" si="80"/>
        <v>293.33333333333485</v>
      </c>
      <c r="GE107" s="59">
        <f ca="1">AVERAGE(OFFSET($GD$3,0,0,'Données projet'!$E$17+1,1))-AVERAGE(OFFSET($H$3,0,0,'Données projet'!$E$17+1,1))</f>
        <v>204.78565758021779</v>
      </c>
      <c r="GF107" s="59">
        <f t="shared" si="104"/>
        <v>287.25131613242439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4.8521237293787527</v>
      </c>
      <c r="GM107" s="21">
        <f>EXP(-LN(2)/25)*GM106+(1-EXP(-LN(2)/25))/(LN(2)/25)*Calculateur!GH107*Calculateur!GJ107*VLOOKUP('Données projet'!$B$17,Paramètres!$A$1:$I$89,3,0)*0.475*44/12</f>
        <v>2.57455509119962</v>
      </c>
      <c r="GN107" s="21">
        <f>EXP(-LN(2)/2)*GN106+(1-EXP(-LN(2)/2))/(LN(2)/2)*GH107*GK107*VLOOKUP('Données projet'!$B$17,Paramètres!$A$1:$I$89,3,0)*0.475*44/12</f>
        <v>1.8163433801187862E-8</v>
      </c>
      <c r="GO107" s="21">
        <f t="shared" si="81"/>
        <v>7.4266788387418057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5.6843418860808015E-14</v>
      </c>
      <c r="GV107" s="17">
        <f>GU107*VLOOKUP('Données projet'!$B$18,Paramètres!$A$1:$I$89,3,0)*VLOOKUP('Données projet'!$B$18,Paramètres!$A$1:$I$89,5,0)</f>
        <v>4.4337866711430253E-14</v>
      </c>
      <c r="GW107" s="13">
        <f t="shared" si="105"/>
        <v>7.3222115536967035E-13</v>
      </c>
      <c r="GX107" s="20">
        <f t="shared" si="82"/>
        <v>1.3525069634579169E-12</v>
      </c>
      <c r="GY107" s="59">
        <f t="shared" si="83"/>
        <v>293.33333333333468</v>
      </c>
      <c r="GZ107" s="59">
        <f ca="1">AVERAGE(OFFSET($GY$3,0,0,'Données projet'!$E$18+1,1))-AVERAGE(OFFSET($H$3,0,0,'Données projet'!$E$18+1,1))</f>
        <v>288.82868507674738</v>
      </c>
      <c r="HA107" s="59">
        <f t="shared" si="106"/>
        <v>283.48738729114024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21.499290054619681</v>
      </c>
      <c r="HH107" s="21">
        <f>EXP(-LN(2)/25)*HH106+(1-EXP(-LN(2)/25))/(LN(2)/25)*Calculateur!HC107*Calculateur!HE107*VLOOKUP('Données projet'!$B$18,Paramètres!$A$1:$I$89,3,0)*0.475*44/12</f>
        <v>16.042034145616444</v>
      </c>
      <c r="HI107" s="21">
        <f>EXP(-LN(2)/2)*HI106+(1-EXP(-LN(2)/2))/(LN(2)/2)*HC107*HF107*VLOOKUP('Données projet'!$B$18,Paramètres!$A$1:$I$89,3,0)*0.475*44/12</f>
        <v>3.2776637961542867E-4</v>
      </c>
      <c r="HJ107" s="22">
        <f t="shared" si="84"/>
        <v>37.541651966615738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349.71285006949597</v>
      </c>
      <c r="T108" s="59">
        <f t="shared" si="88"/>
        <v>258.51550516456842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93.417569543490004</v>
      </c>
      <c r="AA108" s="21">
        <f>EXP(-LN(2)/25)*AA107+(1-EXP(-LN(2)/25))/(LN(2)/25)*Calculateur!V108*Calculateur!X108*VLOOKUP('Données projet'!$B$9,Paramètres!$A$1:$I$89,3,0)*0.475*44/12</f>
        <v>25.872186389148954</v>
      </c>
      <c r="AB108" s="21">
        <f>EXP(-LN(2)/2)*AB107+(1-EXP(-LN(2)/2))/(LN(2)/2)*V108*Y108*VLOOKUP('Données projet'!$B$9,Paramètres!$A$1:$I$89,3,0)*0.475*44/12</f>
        <v>1.2208060953974982E-2</v>
      </c>
      <c r="AC108" s="22">
        <f t="shared" si="57"/>
        <v>119.30196399359293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8.7540000000000013</v>
      </c>
      <c r="AI108" s="13">
        <f>IF('Données projet'!$A$62&gt;35,AI107+AH108-AQ107,IF(A108&lt;'Données projet'!$A$62,$AF$205^A108,IF(A108='Données projet'!$A$62,'Données projet'!$B$62,AI107+AH108-AQ107)))</f>
        <v>321.14800000000014</v>
      </c>
      <c r="AJ108" s="13">
        <f>AI108*VLOOKUP('Données projet'!$B$10,Paramètres!$A$1:$I$89,3,0)*VLOOKUP('Données projet'!$B$10,Paramètres!$A$1:$I$89,5,0)</f>
        <v>305.60443680000009</v>
      </c>
      <c r="AK108" s="13">
        <f t="shared" si="89"/>
        <v>72.350100063341856</v>
      </c>
      <c r="AL108" s="20">
        <f t="shared" si="58"/>
        <v>658.27081837032063</v>
      </c>
      <c r="AM108" s="59">
        <f t="shared" si="59"/>
        <v>951.604151703654</v>
      </c>
      <c r="AN108" s="59">
        <f ca="1">AVERAGE(OFFSET($AM$3,0,0,'Données projet'!$E$10+1,1))-AVERAGE(OFFSET($H$3,0,0,'Données projet'!$E$10+1,1))</f>
        <v>449.28947235329758</v>
      </c>
      <c r="AO108" s="59">
        <f t="shared" si="90"/>
        <v>289.36994109443964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43.979029428749428</v>
      </c>
      <c r="AV108" s="21">
        <f>EXP(-LN(2)/25)*AV107+(1-EXP(-LN(2)/25))/(LN(2)/25)*Calculateur!AQ108*Calculateur!AS108*VLOOKUP('Données projet'!$B$10,Paramètres!$A$1:$I$89,3,0)*0.475*44/12</f>
        <v>24.471815001782442</v>
      </c>
      <c r="AW108" s="21">
        <f>EXP(-LN(2)/2)*AW107+(1-EXP(-LN(2)/2))/(LN(2)/2)*AQ108*AT108*VLOOKUP('Données projet'!$B$10,Paramètres!$A$1:$I$89,3,0)*0.475*44/12</f>
        <v>2.3181961422979488E-3</v>
      </c>
      <c r="AX108" s="21">
        <f t="shared" si="60"/>
        <v>68.453162626674171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312.11528400000049</v>
      </c>
      <c r="BF108" s="13">
        <f t="shared" si="91"/>
        <v>73.71041067221141</v>
      </c>
      <c r="BG108" s="20">
        <f t="shared" si="61"/>
        <v>671.97975155410234</v>
      </c>
      <c r="BH108" s="59">
        <f t="shared" si="62"/>
        <v>965.31308488743571</v>
      </c>
      <c r="BI108" s="59">
        <f ca="1">AVERAGE(OFFSET($BH$3,0,0,'Données projet'!$E$11+1,1))-AVERAGE(OFFSET($H$3,0,0,'Données projet'!$E$11+1,1))</f>
        <v>635.71275911100679</v>
      </c>
      <c r="BJ108" s="59">
        <f t="shared" si="92"/>
        <v>281.7776857269169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32.44640547166189</v>
      </c>
      <c r="BQ108" s="21">
        <f>EXP(-LN(2)/25)*BQ107+(1-EXP(-LN(2)/25))/(LN(2)/25)*Calculateur!BL108*Calculateur!BN108*VLOOKUP('Données projet'!$B$11,Paramètres!$A$1:$I$89,3,0)*0.475*44/12</f>
        <v>26.285392023986681</v>
      </c>
      <c r="BR108" s="21">
        <f>EXP(-LN(2)/2)*BR107+(1-EXP(-LN(2)/2))/(LN(2)/2)*BL108*BO108*VLOOKUP('Données projet'!$B$11,Paramètres!$A$1:$I$89,3,0)*0.475*44/12</f>
        <v>4.1206685845202227</v>
      </c>
      <c r="BS108" s="22">
        <f t="shared" si="63"/>
        <v>62.852466080168796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6.8811111111111085</v>
      </c>
      <c r="BY108" s="12">
        <f>IF('Données projet'!$A$114&gt;35,BY107+BX108-CG107,IF(A108&lt;'Données projet'!$A$114,$BV$205^A108,IF(A108='Données projet'!$A$114,'Données projet'!$B$114,BY107+BX108-CG107)))</f>
        <v>238.85111111111095</v>
      </c>
      <c r="BZ108" s="13">
        <f>BY108*VLOOKUP('Données projet'!$B$12,Paramètres!$A$1:$I$89,3,0)*VLOOKUP('Données projet'!$B$12,Paramètres!$A$1:$I$89,5,0)</f>
        <v>272.00364533333311</v>
      </c>
      <c r="CA108" s="13">
        <f t="shared" si="93"/>
        <v>65.274310248407801</v>
      </c>
      <c r="CB108" s="20">
        <f t="shared" si="64"/>
        <v>587.42577263819874</v>
      </c>
      <c r="CC108" s="59">
        <f t="shared" si="65"/>
        <v>880.75910597153211</v>
      </c>
      <c r="CD108" s="59">
        <f ca="1">AVERAGE(OFFSET($CC$3,0,0,'Données projet'!$E$12+1,1))-AVERAGE(OFFSET($H$3,0,0,'Données projet'!$E$12+1,1))</f>
        <v>593.28343396240075</v>
      </c>
      <c r="CE108" s="59">
        <f t="shared" si="94"/>
        <v>289.66477662068695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18.759659704834469</v>
      </c>
      <c r="CL108" s="21">
        <f>EXP(-LN(2)/25)*CL107+(1-EXP(-LN(2)/25))/(LN(2)/25)*Calculateur!CG108*Calculateur!CI108*VLOOKUP('Données projet'!$B$12,Paramètres!$A$1:$I$89,3,0)*0.475*44/12</f>
        <v>32.449200849695991</v>
      </c>
      <c r="CM108" s="21">
        <f>EXP(-LN(2)/2)*CM107+(1-EXP(-LN(2)/2))/(LN(2)/2)*CG108*CJ108*VLOOKUP('Données projet'!$B$12,Paramètres!$A$1:$I$89,3,0)*0.475*44/12</f>
        <v>3.1412770245175095</v>
      </c>
      <c r="CN108" s="22">
        <f t="shared" si="66"/>
        <v>54.350137579047967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2.2737367544323206E-13</v>
      </c>
      <c r="CU108" s="17">
        <f>CT108*VLOOKUP('Données projet'!$B$13,Paramètres!$A$1:$I$89,3,0)*VLOOKUP('Données projet'!$B$13,Paramètres!$A$1:$I$89,5,0)</f>
        <v>2.3765096557326618E-13</v>
      </c>
      <c r="CV108" s="13">
        <f t="shared" si="95"/>
        <v>3.2279907425805489E-12</v>
      </c>
      <c r="CW108" s="20">
        <f t="shared" si="67"/>
        <v>6.0359926417012276E-12</v>
      </c>
      <c r="CX108" s="59">
        <f t="shared" si="68"/>
        <v>293.33333333333934</v>
      </c>
      <c r="CY108" s="59">
        <f ca="1">AVERAGE(OFFSET($CX$3,0,0,'Données projet'!$E$13+1,1))-AVERAGE(OFFSET($H$3,0,0,'Données projet'!$E$13+1,1))</f>
        <v>260.65406541614402</v>
      </c>
      <c r="CZ108" s="59">
        <f t="shared" si="96"/>
        <v>277.63456890196886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13.384820867302855</v>
      </c>
      <c r="DG108" s="21">
        <f>EXP(-LN(2)/25)*DG107+(1-EXP(-LN(2)/25))/(LN(2)/25)*Calculateur!DB108*Calculateur!DD108*VLOOKUP('Données projet'!$B$13,Paramètres!$A$1:$I$89,3,0)*0.475*44/12</f>
        <v>32.683989635441534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46.068810502744391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2.2737367544323206E-13</v>
      </c>
      <c r="DP108" s="17">
        <f>DO108*VLOOKUP('Données projet'!$B$14,Paramètres!$A$1:$I$89,3,0)*VLOOKUP('Données projet'!$B$14,Paramètres!$A$1:$I$89,5,0)</f>
        <v>1.4897523215040565E-13</v>
      </c>
      <c r="DQ108" s="13">
        <f t="shared" si="97"/>
        <v>2.136562777003313E-12</v>
      </c>
      <c r="DR108" s="20">
        <f t="shared" si="70"/>
        <v>3.9806453659427267E-12</v>
      </c>
      <c r="DS108" s="59">
        <f t="shared" si="71"/>
        <v>293.33333333333729</v>
      </c>
      <c r="DT108" s="59">
        <f ca="1">AVERAGE(OFFSET($DS$3,0,0,'Données projet'!$E$14+1,1))-AVERAGE(OFFSET($H$3,0,0,'Données projet'!$E$14+1,1))</f>
        <v>181.4272795535777</v>
      </c>
      <c r="DU108" s="59">
        <f t="shared" si="98"/>
        <v>187.67131775419904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12.560743256347013</v>
      </c>
      <c r="EB108" s="21">
        <f>EXP(-LN(2)/25)*EB107+(1-EXP(-LN(2)/25))/(LN(2)/25)*Calculateur!DW108*Calculateur!DY108*VLOOKUP('Données projet'!$B$14,Paramètres!$A$1:$I$89,3,0)*0.475*44/12</f>
        <v>11.903670452287516</v>
      </c>
      <c r="EC108" s="21">
        <f>EXP(-LN(2)/2)*EC107+(1-EXP(-LN(2)/2))/(LN(2)/2)*DW108*DZ108*VLOOKUP('Données projet'!$B$14,Paramètres!$A$1:$I$89,3,0)*0.475*44/12</f>
        <v>0.13861463754980338</v>
      </c>
      <c r="ED108" s="22">
        <f t="shared" si="72"/>
        <v>24.603028346184335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1.1368683772161603E-13</v>
      </c>
      <c r="EK108" s="17">
        <f>EJ108*VLOOKUP('Données projet'!$B$15,Paramètres!$A$1:$I$89,3,0)*VLOOKUP('Données projet'!$B$15,Paramètres!$A$1:$I$89,5,0)</f>
        <v>9.2222762759774927E-14</v>
      </c>
      <c r="EL108" s="13">
        <f t="shared" si="99"/>
        <v>1.3985662224947967E-12</v>
      </c>
      <c r="EM108" s="20">
        <f t="shared" si="73"/>
        <v>2.5964574826517121E-12</v>
      </c>
      <c r="EN108" s="59">
        <f t="shared" si="74"/>
        <v>293.33333333333593</v>
      </c>
      <c r="EO108" s="59">
        <f ca="1">AVERAGE(OFFSET($EN$3,0,0,'Données projet'!$E$15+1,1))-AVERAGE(OFFSET($H$3,0,0,'Données projet'!$E$15+1,1))</f>
        <v>159.68591355116837</v>
      </c>
      <c r="EP108" s="59">
        <f t="shared" si="100"/>
        <v>284.32631786390112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4.025457214591742</v>
      </c>
      <c r="EW108" s="21">
        <f>EXP(-LN(2)/25)*EW107+(1-EXP(-LN(2)/25))/(LN(2)/25)*Calculateur!ER108*Calculateur!ET108*VLOOKUP('Données projet'!$B$15,Paramètres!$A$1:$I$89,3,0)*0.475*44/12</f>
        <v>3.1866159542693362</v>
      </c>
      <c r="EX108" s="21">
        <f>EXP(-LN(2)/2)*EX107+(1-EXP(-LN(2)/2))/(LN(2)/2)*ER108*EU108*VLOOKUP('Données projet'!$B$15,Paramètres!$A$1:$I$89,3,0)*0.475*44/12</f>
        <v>4.8044302915073584E-9</v>
      </c>
      <c r="EY108" s="22">
        <f t="shared" si="75"/>
        <v>7.2120731736655088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-1.3567387213697657E-13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299.10536994156814</v>
      </c>
      <c r="FK108" s="59">
        <f t="shared" si="102"/>
        <v>292.57799203101769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24.760157412440673</v>
      </c>
      <c r="FR108" s="21">
        <f>EXP(-LN(2)/25)*FR107+(1-EXP(-LN(2)/25))/(LN(2)/25)*Calculateur!FM108*Calculateur!FO108*VLOOKUP('Données projet'!$B$16,Paramètres!$A$1:$I$89,3,0)*0.475*44/12</f>
        <v>21.181036699726569</v>
      </c>
      <c r="FS108" s="21">
        <f>EXP(-LN(2)/2)*FS107+(1-EXP(-LN(2)/2))/(LN(2)/2)*FM108*FP108*VLOOKUP('Données projet'!$B$16,Paramètres!$A$1:$I$89,3,0)*0.475*44/12</f>
        <v>8.9734779752564213E-3</v>
      </c>
      <c r="FT108" s="22">
        <f t="shared" si="78"/>
        <v>45.950167590142492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5.6843418860808015E-14</v>
      </c>
      <c r="GA108" s="17">
        <f>FZ108*VLOOKUP('Données projet'!$B$17,Paramètres!$A$1:$I$89,3,0)*VLOOKUP('Données projet'!$B$17,Paramètres!$A$1:$I$89,5,0)</f>
        <v>5.1431925385259088E-14</v>
      </c>
      <c r="GB108" s="13">
        <f t="shared" si="103"/>
        <v>8.3482866290946129E-13</v>
      </c>
      <c r="GC108" s="20">
        <f t="shared" si="79"/>
        <v>1.5435705246133045E-12</v>
      </c>
      <c r="GD108" s="59">
        <f t="shared" si="80"/>
        <v>293.33333333333485</v>
      </c>
      <c r="GE108" s="59">
        <f ca="1">AVERAGE(OFFSET($GD$3,0,0,'Données projet'!$E$17+1,1))-AVERAGE(OFFSET($H$3,0,0,'Données projet'!$E$17+1,1))</f>
        <v>204.78565758021779</v>
      </c>
      <c r="GF108" s="59">
        <f t="shared" si="104"/>
        <v>287.25131613242439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4.7569765425488839</v>
      </c>
      <c r="GM108" s="21">
        <f>EXP(-LN(2)/25)*GM107+(1-EXP(-LN(2)/25))/(LN(2)/25)*Calculateur!GH108*Calculateur!GJ108*VLOOKUP('Données projet'!$B$17,Paramètres!$A$1:$I$89,3,0)*0.475*44/12</f>
        <v>2.5041537468407982</v>
      </c>
      <c r="GN108" s="21">
        <f>EXP(-LN(2)/2)*GN107+(1-EXP(-LN(2)/2))/(LN(2)/2)*GH108*GK108*VLOOKUP('Données projet'!$B$17,Paramètres!$A$1:$I$89,3,0)*0.475*44/12</f>
        <v>1.2843487210452887E-8</v>
      </c>
      <c r="GO108" s="21">
        <f t="shared" si="81"/>
        <v>7.2611303022331688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5.6843418860808015E-14</v>
      </c>
      <c r="GV108" s="17">
        <f>GU108*VLOOKUP('Données projet'!$B$18,Paramètres!$A$1:$I$89,3,0)*VLOOKUP('Données projet'!$B$18,Paramètres!$A$1:$I$89,5,0)</f>
        <v>4.4337866711430253E-14</v>
      </c>
      <c r="GW108" s="13">
        <f t="shared" si="105"/>
        <v>7.3222115536967035E-13</v>
      </c>
      <c r="GX108" s="20">
        <f t="shared" si="82"/>
        <v>1.3525069634579169E-12</v>
      </c>
      <c r="GY108" s="59">
        <f t="shared" si="83"/>
        <v>293.33333333333468</v>
      </c>
      <c r="GZ108" s="59">
        <f ca="1">AVERAGE(OFFSET($GY$3,0,0,'Données projet'!$E$18+1,1))-AVERAGE(OFFSET($H$3,0,0,'Données projet'!$E$18+1,1))</f>
        <v>288.82868507674738</v>
      </c>
      <c r="HA108" s="59">
        <f t="shared" si="106"/>
        <v>283.48738729114024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21.077702089920695</v>
      </c>
      <c r="HH108" s="21">
        <f>EXP(-LN(2)/25)*HH107+(1-EXP(-LN(2)/25))/(LN(2)/25)*Calculateur!HC108*Calculateur!HE108*VLOOKUP('Données projet'!$B$18,Paramètres!$A$1:$I$89,3,0)*0.475*44/12</f>
        <v>15.603363878290651</v>
      </c>
      <c r="HI108" s="21">
        <f>EXP(-LN(2)/2)*HI107+(1-EXP(-LN(2)/2))/(LN(2)/2)*HC108*HF108*VLOOKUP('Données projet'!$B$18,Paramètres!$A$1:$I$89,3,0)*0.475*44/12</f>
        <v>2.3176582967103379E-4</v>
      </c>
      <c r="HJ108" s="22">
        <f t="shared" si="84"/>
        <v>36.68129773404101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349.71285006949597</v>
      </c>
      <c r="T109" s="59">
        <f t="shared" si="88"/>
        <v>258.51550516456842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91.585707983833373</v>
      </c>
      <c r="AA109" s="21">
        <f>EXP(-LN(2)/25)*AA108+(1-EXP(-LN(2)/25))/(LN(2)/25)*Calculateur!V109*Calculateur!X109*VLOOKUP('Données projet'!$B$9,Paramètres!$A$1:$I$89,3,0)*0.475*44/12</f>
        <v>25.164710091778524</v>
      </c>
      <c r="AB109" s="21">
        <f>EXP(-LN(2)/2)*AB108+(1-EXP(-LN(2)/2))/(LN(2)/2)*V109*Y109*VLOOKUP('Données projet'!$B$9,Paramètres!$A$1:$I$89,3,0)*0.475*44/12</f>
        <v>8.6324026856944222E-3</v>
      </c>
      <c r="AC109" s="22">
        <f t="shared" si="57"/>
        <v>116.75905047829758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8.7540000000000013</v>
      </c>
      <c r="AI109" s="13">
        <f>IF('Données projet'!$A$62&gt;35,AI108+AH109-AQ108,IF(A109&lt;'Données projet'!$A$62,$AF$205^A109,IF(A109='Données projet'!$A$62,'Données projet'!$B$62,AI108+AH109-AQ108)))</f>
        <v>329.90200000000016</v>
      </c>
      <c r="AJ109" s="13">
        <f>AI109*VLOOKUP('Données projet'!$B$10,Paramètres!$A$1:$I$89,3,0)*VLOOKUP('Données projet'!$B$10,Paramètres!$A$1:$I$89,5,0)</f>
        <v>313.93474320000013</v>
      </c>
      <c r="AK109" s="13">
        <f t="shared" si="89"/>
        <v>74.089956981068127</v>
      </c>
      <c r="AL109" s="20">
        <f t="shared" si="58"/>
        <v>675.80968614869391</v>
      </c>
      <c r="AM109" s="59">
        <f t="shared" si="59"/>
        <v>969.14301948202728</v>
      </c>
      <c r="AN109" s="59">
        <f ca="1">AVERAGE(OFFSET($AM$3,0,0,'Données projet'!$E$10+1,1))-AVERAGE(OFFSET($H$3,0,0,'Données projet'!$E$10+1,1))</f>
        <v>449.28947235329758</v>
      </c>
      <c r="AO109" s="59">
        <f t="shared" si="90"/>
        <v>289.36994109443964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43.116627486210895</v>
      </c>
      <c r="AV109" s="21">
        <f>EXP(-LN(2)/25)*AV108+(1-EXP(-LN(2)/25))/(LN(2)/25)*Calculateur!AQ109*Calculateur!AS109*VLOOKUP('Données projet'!$B$10,Paramètres!$A$1:$I$89,3,0)*0.475*44/12</f>
        <v>23.80263193364188</v>
      </c>
      <c r="AW109" s="21">
        <f>EXP(-LN(2)/2)*AW108+(1-EXP(-LN(2)/2))/(LN(2)/2)*AQ109*AT109*VLOOKUP('Données projet'!$B$10,Paramètres!$A$1:$I$89,3,0)*0.475*44/12</f>
        <v>1.6392122123393743E-3</v>
      </c>
      <c r="AX109" s="21">
        <f t="shared" si="60"/>
        <v>66.920898632065118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320.11824000000047</v>
      </c>
      <c r="BF109" s="13">
        <f t="shared" si="91"/>
        <v>75.377955265343587</v>
      </c>
      <c r="BG109" s="20">
        <f t="shared" si="61"/>
        <v>688.82254008714096</v>
      </c>
      <c r="BH109" s="59">
        <f t="shared" si="62"/>
        <v>982.15587342047434</v>
      </c>
      <c r="BI109" s="59">
        <f ca="1">AVERAGE(OFFSET($BH$3,0,0,'Données projet'!$E$11+1,1))-AVERAGE(OFFSET($H$3,0,0,'Données projet'!$E$11+1,1))</f>
        <v>635.71275911100679</v>
      </c>
      <c r="BJ109" s="59">
        <f t="shared" si="92"/>
        <v>281.7776857269169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31.810151250715805</v>
      </c>
      <c r="BQ109" s="21">
        <f>EXP(-LN(2)/25)*BQ108+(1-EXP(-LN(2)/25))/(LN(2)/25)*Calculateur!BL109*Calculateur!BN109*VLOOKUP('Données projet'!$B$11,Paramètres!$A$1:$I$89,3,0)*0.475*44/12</f>
        <v>25.566616596802074</v>
      </c>
      <c r="BR109" s="21">
        <f>EXP(-LN(2)/2)*BR108+(1-EXP(-LN(2)/2))/(LN(2)/2)*BL109*BO109*VLOOKUP('Données projet'!$B$11,Paramètres!$A$1:$I$89,3,0)*0.475*44/12</f>
        <v>2.9137526991366216</v>
      </c>
      <c r="BS109" s="22">
        <f t="shared" si="63"/>
        <v>60.290520546654506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6.8811111111111085</v>
      </c>
      <c r="BY109" s="12">
        <f>IF('Données projet'!$A$114&gt;35,BY108+BX109-CG108,IF(A109&lt;'Données projet'!$A$114,$BV$205^A109,IF(A109='Données projet'!$A$114,'Données projet'!$B$114,BY108+BX109-CG108)))</f>
        <v>245.73222222222205</v>
      </c>
      <c r="BZ109" s="13">
        <f>BY109*VLOOKUP('Données projet'!$B$12,Paramètres!$A$1:$I$89,3,0)*VLOOKUP('Données projet'!$B$12,Paramètres!$A$1:$I$89,5,0)</f>
        <v>279.8398546666665</v>
      </c>
      <c r="CA109" s="13">
        <f t="shared" si="93"/>
        <v>66.933164441747081</v>
      </c>
      <c r="CB109" s="20">
        <f t="shared" si="64"/>
        <v>603.96300828048697</v>
      </c>
      <c r="CC109" s="59">
        <f t="shared" si="65"/>
        <v>897.29634161382023</v>
      </c>
      <c r="CD109" s="59">
        <f ca="1">AVERAGE(OFFSET($CC$3,0,0,'Données projet'!$E$12+1,1))-AVERAGE(OFFSET($H$3,0,0,'Données projet'!$E$12+1,1))</f>
        <v>593.28343396240075</v>
      </c>
      <c r="CE109" s="59">
        <f t="shared" si="94"/>
        <v>289.66477662068695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18.391794220285256</v>
      </c>
      <c r="CL109" s="21">
        <f>EXP(-LN(2)/25)*CL108+(1-EXP(-LN(2)/25))/(LN(2)/25)*Calculateur!CG109*Calculateur!CI109*VLOOKUP('Données projet'!$B$12,Paramètres!$A$1:$I$89,3,0)*0.475*44/12</f>
        <v>31.561875746031745</v>
      </c>
      <c r="CM109" s="21">
        <f>EXP(-LN(2)/2)*CM108+(1-EXP(-LN(2)/2))/(LN(2)/2)*CG109*CJ109*VLOOKUP('Données projet'!$B$12,Paramètres!$A$1:$I$89,3,0)*0.475*44/12</f>
        <v>2.2212182856218319</v>
      </c>
      <c r="CN109" s="22">
        <f t="shared" si="66"/>
        <v>52.174888251938832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2.2737367544323206E-13</v>
      </c>
      <c r="CU109" s="17">
        <f>CT109*VLOOKUP('Données projet'!$B$13,Paramètres!$A$1:$I$89,3,0)*VLOOKUP('Données projet'!$B$13,Paramètres!$A$1:$I$89,5,0)</f>
        <v>2.3765096557326618E-13</v>
      </c>
      <c r="CV109" s="13">
        <f t="shared" si="95"/>
        <v>3.2279907425805489E-12</v>
      </c>
      <c r="CW109" s="20">
        <f t="shared" si="67"/>
        <v>6.0359926417012276E-12</v>
      </c>
      <c r="CX109" s="59">
        <f t="shared" si="68"/>
        <v>293.33333333333934</v>
      </c>
      <c r="CY109" s="59">
        <f ca="1">AVERAGE(OFFSET($CX$3,0,0,'Données projet'!$E$13+1,1))-AVERAGE(OFFSET($H$3,0,0,'Données projet'!$E$13+1,1))</f>
        <v>260.65406541614402</v>
      </c>
      <c r="CZ109" s="59">
        <f t="shared" si="96"/>
        <v>277.63456890196886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13.122352694029653</v>
      </c>
      <c r="DG109" s="21">
        <f>EXP(-LN(2)/25)*DG108+(1-EXP(-LN(2)/25))/(LN(2)/25)*Calculateur!DB109*Calculateur!DD109*VLOOKUP('Données projet'!$B$13,Paramètres!$A$1:$I$89,3,0)*0.475*44/12</f>
        <v>31.79024422008407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44.91259691411372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2.2737367544323206E-13</v>
      </c>
      <c r="DP109" s="17">
        <f>DO109*VLOOKUP('Données projet'!$B$14,Paramètres!$A$1:$I$89,3,0)*VLOOKUP('Données projet'!$B$14,Paramètres!$A$1:$I$89,5,0)</f>
        <v>1.4897523215040565E-13</v>
      </c>
      <c r="DQ109" s="13">
        <f t="shared" si="97"/>
        <v>2.136562777003313E-12</v>
      </c>
      <c r="DR109" s="20">
        <f t="shared" si="70"/>
        <v>3.9806453659427267E-12</v>
      </c>
      <c r="DS109" s="59">
        <f t="shared" si="71"/>
        <v>293.33333333333729</v>
      </c>
      <c r="DT109" s="59">
        <f ca="1">AVERAGE(OFFSET($DS$3,0,0,'Données projet'!$E$14+1,1))-AVERAGE(OFFSET($H$3,0,0,'Données projet'!$E$14+1,1))</f>
        <v>181.4272795535777</v>
      </c>
      <c r="DU109" s="59">
        <f t="shared" si="98"/>
        <v>187.67131775419904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12.314434742386945</v>
      </c>
      <c r="EB109" s="21">
        <f>EXP(-LN(2)/25)*EB108+(1-EXP(-LN(2)/25))/(LN(2)/25)*Calculateur!DW109*Calculateur!DY109*VLOOKUP('Données projet'!$B$14,Paramètres!$A$1:$I$89,3,0)*0.475*44/12</f>
        <v>11.578163957782891</v>
      </c>
      <c r="EC109" s="21">
        <f>EXP(-LN(2)/2)*EC108+(1-EXP(-LN(2)/2))/(LN(2)/2)*DW109*DZ109*VLOOKUP('Données projet'!$B$14,Paramètres!$A$1:$I$89,3,0)*0.475*44/12</f>
        <v>9.8015350183181416E-2</v>
      </c>
      <c r="ED109" s="22">
        <f t="shared" si="72"/>
        <v>23.990614050353017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1.1368683772161603E-13</v>
      </c>
      <c r="EK109" s="17">
        <f>EJ109*VLOOKUP('Données projet'!$B$15,Paramètres!$A$1:$I$89,3,0)*VLOOKUP('Données projet'!$B$15,Paramètres!$A$1:$I$89,5,0)</f>
        <v>9.2222762759774927E-14</v>
      </c>
      <c r="EL109" s="13">
        <f t="shared" si="99"/>
        <v>1.3985662224947967E-12</v>
      </c>
      <c r="EM109" s="20">
        <f t="shared" si="73"/>
        <v>2.5964574826517121E-12</v>
      </c>
      <c r="EN109" s="59">
        <f t="shared" si="74"/>
        <v>293.33333333333593</v>
      </c>
      <c r="EO109" s="59">
        <f ca="1">AVERAGE(OFFSET($EN$3,0,0,'Données projet'!$E$15+1,1))-AVERAGE(OFFSET($H$3,0,0,'Données projet'!$E$15+1,1))</f>
        <v>159.68591355116837</v>
      </c>
      <c r="EP109" s="59">
        <f t="shared" si="100"/>
        <v>284.32631786390112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3.9465204539000593</v>
      </c>
      <c r="EW109" s="21">
        <f>EXP(-LN(2)/25)*EW108+(1-EXP(-LN(2)/25))/(LN(2)/25)*Calculateur!ER109*Calculateur!ET109*VLOOKUP('Données projet'!$B$15,Paramètres!$A$1:$I$89,3,0)*0.475*44/12</f>
        <v>3.0994777734229912</v>
      </c>
      <c r="EX109" s="21">
        <f>EXP(-LN(2)/2)*EX108+(1-EXP(-LN(2)/2))/(LN(2)/2)*ER109*EU109*VLOOKUP('Données projet'!$B$15,Paramètres!$A$1:$I$89,3,0)*0.475*44/12</f>
        <v>3.3972452388629144E-9</v>
      </c>
      <c r="EY109" s="22">
        <f t="shared" si="75"/>
        <v>7.0459982307202953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-1.3567387213697657E-13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299.10536994156814</v>
      </c>
      <c r="FK109" s="59">
        <f t="shared" si="102"/>
        <v>292.57799203101769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24.274625827787514</v>
      </c>
      <c r="FR109" s="21">
        <f>EXP(-LN(2)/25)*FR108+(1-EXP(-LN(2)/25))/(LN(2)/25)*Calculateur!FM109*Calculateur!FO109*VLOOKUP('Données projet'!$B$16,Paramètres!$A$1:$I$89,3,0)*0.475*44/12</f>
        <v>20.601840137310237</v>
      </c>
      <c r="FS109" s="21">
        <f>EXP(-LN(2)/2)*FS108+(1-EXP(-LN(2)/2))/(LN(2)/2)*FM109*FP109*VLOOKUP('Données projet'!$B$16,Paramètres!$A$1:$I$89,3,0)*0.475*44/12</f>
        <v>6.3452071271319459E-3</v>
      </c>
      <c r="FT109" s="22">
        <f t="shared" si="78"/>
        <v>44.882811172224883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5.6843418860808015E-14</v>
      </c>
      <c r="GA109" s="17">
        <f>FZ109*VLOOKUP('Données projet'!$B$17,Paramètres!$A$1:$I$89,3,0)*VLOOKUP('Données projet'!$B$17,Paramètres!$A$1:$I$89,5,0)</f>
        <v>5.1431925385259088E-14</v>
      </c>
      <c r="GB109" s="13">
        <f t="shared" si="103"/>
        <v>8.3482866290946129E-13</v>
      </c>
      <c r="GC109" s="20">
        <f t="shared" si="79"/>
        <v>1.5435705246133045E-12</v>
      </c>
      <c r="GD109" s="59">
        <f t="shared" si="80"/>
        <v>293.33333333333485</v>
      </c>
      <c r="GE109" s="59">
        <f ca="1">AVERAGE(OFFSET($GD$3,0,0,'Données projet'!$E$17+1,1))-AVERAGE(OFFSET($H$3,0,0,'Données projet'!$E$17+1,1))</f>
        <v>204.78565758021779</v>
      </c>
      <c r="GF109" s="59">
        <f t="shared" si="104"/>
        <v>287.25131613242439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4.6636951340186954</v>
      </c>
      <c r="GM109" s="21">
        <f>EXP(-LN(2)/25)*GM108+(1-EXP(-LN(2)/25))/(LN(2)/25)*Calculateur!GH109*Calculateur!GJ109*VLOOKUP('Données projet'!$B$17,Paramètres!$A$1:$I$89,3,0)*0.475*44/12</f>
        <v>2.4356775309457142</v>
      </c>
      <c r="GN109" s="21">
        <f>EXP(-LN(2)/2)*GN108+(1-EXP(-LN(2)/2))/(LN(2)/2)*GH109*GK109*VLOOKUP('Données projet'!$B$17,Paramètres!$A$1:$I$89,3,0)*0.475*44/12</f>
        <v>9.0817169005939312E-9</v>
      </c>
      <c r="GO109" s="21">
        <f t="shared" si="81"/>
        <v>7.0993726740461263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5.6843418860808015E-14</v>
      </c>
      <c r="GV109" s="17">
        <f>GU109*VLOOKUP('Données projet'!$B$18,Paramètres!$A$1:$I$89,3,0)*VLOOKUP('Données projet'!$B$18,Paramètres!$A$1:$I$89,5,0)</f>
        <v>4.4337866711430253E-14</v>
      </c>
      <c r="GW109" s="13">
        <f t="shared" si="105"/>
        <v>7.3222115536967035E-13</v>
      </c>
      <c r="GX109" s="20">
        <f t="shared" si="82"/>
        <v>1.3525069634579169E-12</v>
      </c>
      <c r="GY109" s="59">
        <f t="shared" si="83"/>
        <v>293.33333333333468</v>
      </c>
      <c r="GZ109" s="59">
        <f ca="1">AVERAGE(OFFSET($GY$3,0,0,'Données projet'!$E$18+1,1))-AVERAGE(OFFSET($H$3,0,0,'Données projet'!$E$18+1,1))</f>
        <v>288.82868507674738</v>
      </c>
      <c r="HA109" s="59">
        <f t="shared" si="106"/>
        <v>283.48738729114024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20.664381208066189</v>
      </c>
      <c r="HH109" s="21">
        <f>EXP(-LN(2)/25)*HH108+(1-EXP(-LN(2)/25))/(LN(2)/25)*Calculateur!HC109*Calculateur!HE109*VLOOKUP('Données projet'!$B$18,Paramètres!$A$1:$I$89,3,0)*0.475*44/12</f>
        <v>15.176689072493549</v>
      </c>
      <c r="HI109" s="21">
        <f>EXP(-LN(2)/2)*HI108+(1-EXP(-LN(2)/2))/(LN(2)/2)*HC109*HF109*VLOOKUP('Données projet'!$B$18,Paramètres!$A$1:$I$89,3,0)*0.475*44/12</f>
        <v>1.6388318980771433E-4</v>
      </c>
      <c r="HJ109" s="22">
        <f t="shared" si="84"/>
        <v>35.84123416374954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349.71285006949597</v>
      </c>
      <c r="T110" s="59">
        <f t="shared" si="88"/>
        <v>258.51550516456842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89.789768112036384</v>
      </c>
      <c r="AA110" s="21">
        <f>EXP(-LN(2)/25)*AA109+(1-EXP(-LN(2)/25))/(LN(2)/25)*Calculateur!V110*Calculateur!X110*VLOOKUP('Données projet'!$B$9,Paramètres!$A$1:$I$89,3,0)*0.475*44/12</f>
        <v>24.47657977096425</v>
      </c>
      <c r="AB110" s="21">
        <f>EXP(-LN(2)/2)*AB109+(1-EXP(-LN(2)/2))/(LN(2)/2)*V110*Y110*VLOOKUP('Données projet'!$B$9,Paramètres!$A$1:$I$89,3,0)*0.475*44/12</f>
        <v>6.104030476987491E-3</v>
      </c>
      <c r="AC110" s="22">
        <f t="shared" si="57"/>
        <v>114.27245191347762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8.7540000000000013</v>
      </c>
      <c r="AI110" s="13">
        <f>IF('Données projet'!$A$62&gt;35,AI109+AH110-AQ109,IF(A110&lt;'Données projet'!$A$62,$AF$205^A110,IF(A110='Données projet'!$A$62,'Données projet'!$B$62,AI109+AH110-AQ109)))</f>
        <v>338.65600000000018</v>
      </c>
      <c r="AJ110" s="13">
        <f>AI110*VLOOKUP('Données projet'!$B$10,Paramètres!$A$1:$I$89,3,0)*VLOOKUP('Données projet'!$B$10,Paramètres!$A$1:$I$89,5,0)</f>
        <v>322.26504960000017</v>
      </c>
      <c r="AK110" s="13">
        <f t="shared" si="89"/>
        <v>75.824447642126486</v>
      </c>
      <c r="AL110" s="20">
        <f t="shared" si="58"/>
        <v>693.33920769670385</v>
      </c>
      <c r="AM110" s="59">
        <f t="shared" si="59"/>
        <v>986.67254103003711</v>
      </c>
      <c r="AN110" s="59">
        <f ca="1">AVERAGE(OFFSET($AM$3,0,0,'Données projet'!$E$10+1,1))-AVERAGE(OFFSET($H$3,0,0,'Données projet'!$E$10+1,1))</f>
        <v>449.28947235329758</v>
      </c>
      <c r="AO110" s="59">
        <f t="shared" si="90"/>
        <v>289.36994109443964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42.271136719752299</v>
      </c>
      <c r="AV110" s="21">
        <f>EXP(-LN(2)/25)*AV109+(1-EXP(-LN(2)/25))/(LN(2)/25)*Calculateur!AQ110*Calculateur!AS110*VLOOKUP('Données projet'!$B$10,Paramètres!$A$1:$I$89,3,0)*0.475*44/12</f>
        <v>23.15174771169043</v>
      </c>
      <c r="AW110" s="21">
        <f>EXP(-LN(2)/2)*AW109+(1-EXP(-LN(2)/2))/(LN(2)/2)*AQ110*AT110*VLOOKUP('Données projet'!$B$10,Paramètres!$A$1:$I$89,3,0)*0.475*44/12</f>
        <v>1.1590980711489744E-3</v>
      </c>
      <c r="AX110" s="21">
        <f t="shared" si="60"/>
        <v>65.424043529513881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328.12119600000045</v>
      </c>
      <c r="BF110" s="13">
        <f t="shared" si="91"/>
        <v>77.040653823854953</v>
      </c>
      <c r="BG110" s="20">
        <f t="shared" si="61"/>
        <v>705.65688844321483</v>
      </c>
      <c r="BH110" s="59">
        <f t="shared" si="62"/>
        <v>998.9902217765482</v>
      </c>
      <c r="BI110" s="59">
        <f ca="1">AVERAGE(OFFSET($BH$3,0,0,'Données projet'!$E$11+1,1))-AVERAGE(OFFSET($H$3,0,0,'Données projet'!$E$11+1,1))</f>
        <v>635.71275911100679</v>
      </c>
      <c r="BJ110" s="59">
        <f t="shared" si="92"/>
        <v>281.7776857269169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31.186373586965715</v>
      </c>
      <c r="BQ110" s="21">
        <f>EXP(-LN(2)/25)*BQ109+(1-EXP(-LN(2)/25))/(LN(2)/25)*Calculateur!BL110*Calculateur!BN110*VLOOKUP('Données projet'!$B$11,Paramètres!$A$1:$I$89,3,0)*0.475*44/12</f>
        <v>24.867496121472588</v>
      </c>
      <c r="BR110" s="21">
        <f>EXP(-LN(2)/2)*BR109+(1-EXP(-LN(2)/2))/(LN(2)/2)*BL110*BO110*VLOOKUP('Données projet'!$B$11,Paramètres!$A$1:$I$89,3,0)*0.475*44/12</f>
        <v>2.0603342922601113</v>
      </c>
      <c r="BS110" s="22">
        <f t="shared" si="63"/>
        <v>58.114204000698408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6.8811111111111085</v>
      </c>
      <c r="BY110" s="12">
        <f>IF('Données projet'!$A$114&gt;35,BY109+BX110-CG109,IF(A110&lt;'Données projet'!$A$114,$BV$205^A110,IF(A110='Données projet'!$A$114,'Données projet'!$B$114,BY109+BX110-CG109)))</f>
        <v>252.61333333333314</v>
      </c>
      <c r="BZ110" s="13">
        <f>BY110*VLOOKUP('Données projet'!$B$12,Paramètres!$A$1:$I$89,3,0)*VLOOKUP('Données projet'!$B$12,Paramètres!$A$1:$I$89,5,0)</f>
        <v>287.67606399999983</v>
      </c>
      <c r="CA110" s="13">
        <f t="shared" si="93"/>
        <v>68.586619675955717</v>
      </c>
      <c r="CB110" s="20">
        <f t="shared" si="64"/>
        <v>620.49084073562256</v>
      </c>
      <c r="CC110" s="59">
        <f t="shared" si="65"/>
        <v>913.82417406895593</v>
      </c>
      <c r="CD110" s="59">
        <f ca="1">AVERAGE(OFFSET($CC$3,0,0,'Données projet'!$E$12+1,1))-AVERAGE(OFFSET($H$3,0,0,'Données projet'!$E$12+1,1))</f>
        <v>593.28343396240075</v>
      </c>
      <c r="CE110" s="59">
        <f t="shared" si="94"/>
        <v>289.66477662068695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18.031142353512262</v>
      </c>
      <c r="CL110" s="21">
        <f>EXP(-LN(2)/25)*CL109+(1-EXP(-LN(2)/25))/(LN(2)/25)*Calculateur!CG110*Calculateur!CI110*VLOOKUP('Données projet'!$B$12,Paramètres!$A$1:$I$89,3,0)*0.475*44/12</f>
        <v>30.698814593989596</v>
      </c>
      <c r="CM110" s="21">
        <f>EXP(-LN(2)/2)*CM109+(1-EXP(-LN(2)/2))/(LN(2)/2)*CG110*CJ110*VLOOKUP('Données projet'!$B$12,Paramètres!$A$1:$I$89,3,0)*0.475*44/12</f>
        <v>1.5706385122587549</v>
      </c>
      <c r="CN110" s="22">
        <f t="shared" si="66"/>
        <v>50.300595459760615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2.2737367544323206E-13</v>
      </c>
      <c r="CU110" s="17">
        <f>CT110*VLOOKUP('Données projet'!$B$13,Paramètres!$A$1:$I$89,3,0)*VLOOKUP('Données projet'!$B$13,Paramètres!$A$1:$I$89,5,0)</f>
        <v>2.3765096557326618E-13</v>
      </c>
      <c r="CV110" s="13">
        <f t="shared" si="95"/>
        <v>3.2279907425805489E-12</v>
      </c>
      <c r="CW110" s="20">
        <f t="shared" si="67"/>
        <v>6.0359926417012276E-12</v>
      </c>
      <c r="CX110" s="59">
        <f t="shared" si="68"/>
        <v>293.33333333333934</v>
      </c>
      <c r="CY110" s="59">
        <f ca="1">AVERAGE(OFFSET($CX$3,0,0,'Données projet'!$E$13+1,1))-AVERAGE(OFFSET($H$3,0,0,'Données projet'!$E$13+1,1))</f>
        <v>260.65406541614402</v>
      </c>
      <c r="CZ110" s="59">
        <f t="shared" si="96"/>
        <v>277.63456890196886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12.86503136154456</v>
      </c>
      <c r="DG110" s="21">
        <f>EXP(-LN(2)/25)*DG109+(1-EXP(-LN(2)/25))/(LN(2)/25)*Calculateur!DB110*Calculateur!DD110*VLOOKUP('Données projet'!$B$13,Paramètres!$A$1:$I$89,3,0)*0.475*44/12</f>
        <v>30.920938320109585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43.785969681654144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2.2737367544323206E-13</v>
      </c>
      <c r="DP110" s="17">
        <f>DO110*VLOOKUP('Données projet'!$B$14,Paramètres!$A$1:$I$89,3,0)*VLOOKUP('Données projet'!$B$14,Paramètres!$A$1:$I$89,5,0)</f>
        <v>1.4897523215040565E-13</v>
      </c>
      <c r="DQ110" s="13">
        <f t="shared" si="97"/>
        <v>2.136562777003313E-12</v>
      </c>
      <c r="DR110" s="20">
        <f t="shared" si="70"/>
        <v>3.9806453659427267E-12</v>
      </c>
      <c r="DS110" s="59">
        <f t="shared" si="71"/>
        <v>293.33333333333729</v>
      </c>
      <c r="DT110" s="59">
        <f ca="1">AVERAGE(OFFSET($DS$3,0,0,'Données projet'!$E$14+1,1))-AVERAGE(OFFSET($H$3,0,0,'Données projet'!$E$14+1,1))</f>
        <v>181.4272795535777</v>
      </c>
      <c r="DU110" s="59">
        <f t="shared" si="98"/>
        <v>187.67131775419904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12.072956188152274</v>
      </c>
      <c r="EB110" s="21">
        <f>EXP(-LN(2)/25)*EB109+(1-EXP(-LN(2)/25))/(LN(2)/25)*Calculateur!DW110*Calculateur!DY110*VLOOKUP('Données projet'!$B$14,Paramètres!$A$1:$I$89,3,0)*0.475*44/12</f>
        <v>11.261558455488137</v>
      </c>
      <c r="EC110" s="21">
        <f>EXP(-LN(2)/2)*EC109+(1-EXP(-LN(2)/2))/(LN(2)/2)*DW110*DZ110*VLOOKUP('Données projet'!$B$14,Paramètres!$A$1:$I$89,3,0)*0.475*44/12</f>
        <v>6.9307318774901691E-2</v>
      </c>
      <c r="ED110" s="22">
        <f t="shared" si="72"/>
        <v>23.403821962415311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1.1368683772161603E-13</v>
      </c>
      <c r="EK110" s="17">
        <f>EJ110*VLOOKUP('Données projet'!$B$15,Paramètres!$A$1:$I$89,3,0)*VLOOKUP('Données projet'!$B$15,Paramètres!$A$1:$I$89,5,0)</f>
        <v>9.2222762759774927E-14</v>
      </c>
      <c r="EL110" s="13">
        <f t="shared" si="99"/>
        <v>1.3985662224947967E-12</v>
      </c>
      <c r="EM110" s="20">
        <f t="shared" si="73"/>
        <v>2.5964574826517121E-12</v>
      </c>
      <c r="EN110" s="59">
        <f t="shared" si="74"/>
        <v>293.33333333333593</v>
      </c>
      <c r="EO110" s="59">
        <f ca="1">AVERAGE(OFFSET($EN$3,0,0,'Données projet'!$E$15+1,1))-AVERAGE(OFFSET($H$3,0,0,'Données projet'!$E$15+1,1))</f>
        <v>159.68591355116837</v>
      </c>
      <c r="EP110" s="59">
        <f t="shared" si="100"/>
        <v>284.32631786390112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3.8691315949388709</v>
      </c>
      <c r="EW110" s="21">
        <f>EXP(-LN(2)/25)*EW109+(1-EXP(-LN(2)/25))/(LN(2)/25)*Calculateur!ER110*Calculateur!ET110*VLOOKUP('Données projet'!$B$15,Paramètres!$A$1:$I$89,3,0)*0.475*44/12</f>
        <v>3.0147223907142875</v>
      </c>
      <c r="EX110" s="21">
        <f>EXP(-LN(2)/2)*EX109+(1-EXP(-LN(2)/2))/(LN(2)/2)*ER110*EU110*VLOOKUP('Données projet'!$B$15,Paramètres!$A$1:$I$89,3,0)*0.475*44/12</f>
        <v>2.4022151457536792E-9</v>
      </c>
      <c r="EY110" s="22">
        <f t="shared" si="75"/>
        <v>6.8838539880553737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-1.3567387213697657E-13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299.10536994156814</v>
      </c>
      <c r="FK110" s="59">
        <f t="shared" si="102"/>
        <v>292.57799203101769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23.798615221364379</v>
      </c>
      <c r="FR110" s="21">
        <f>EXP(-LN(2)/25)*FR109+(1-EXP(-LN(2)/25))/(LN(2)/25)*Calculateur!FM110*Calculateur!FO110*VLOOKUP('Données projet'!$B$16,Paramètres!$A$1:$I$89,3,0)*0.475*44/12</f>
        <v>20.038481735351802</v>
      </c>
      <c r="FS110" s="21">
        <f>EXP(-LN(2)/2)*FS109+(1-EXP(-LN(2)/2))/(LN(2)/2)*FM110*FP110*VLOOKUP('Données projet'!$B$16,Paramètres!$A$1:$I$89,3,0)*0.475*44/12</f>
        <v>4.4867389876282106E-3</v>
      </c>
      <c r="FT110" s="22">
        <f t="shared" si="78"/>
        <v>43.841583695703811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5.6843418860808015E-14</v>
      </c>
      <c r="GA110" s="17">
        <f>FZ110*VLOOKUP('Données projet'!$B$17,Paramètres!$A$1:$I$89,3,0)*VLOOKUP('Données projet'!$B$17,Paramètres!$A$1:$I$89,5,0)</f>
        <v>5.1431925385259088E-14</v>
      </c>
      <c r="GB110" s="13">
        <f t="shared" si="103"/>
        <v>8.3482866290946129E-13</v>
      </c>
      <c r="GC110" s="20">
        <f t="shared" si="79"/>
        <v>1.5435705246133045E-12</v>
      </c>
      <c r="GD110" s="59">
        <f t="shared" si="80"/>
        <v>293.33333333333485</v>
      </c>
      <c r="GE110" s="59">
        <f ca="1">AVERAGE(OFFSET($GD$3,0,0,'Données projet'!$E$17+1,1))-AVERAGE(OFFSET($H$3,0,0,'Données projet'!$E$17+1,1))</f>
        <v>204.78565758021779</v>
      </c>
      <c r="GF110" s="59">
        <f t="shared" si="104"/>
        <v>287.25131613242439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4.5722429170137424</v>
      </c>
      <c r="GM110" s="21">
        <f>EXP(-LN(2)/25)*GM109+(1-EXP(-LN(2)/25))/(LN(2)/25)*Calculateur!GH110*Calculateur!GJ110*VLOOKUP('Données projet'!$B$17,Paramètres!$A$1:$I$89,3,0)*0.475*44/12</f>
        <v>2.369073800775289</v>
      </c>
      <c r="GN110" s="21">
        <f>EXP(-LN(2)/2)*GN109+(1-EXP(-LN(2)/2))/(LN(2)/2)*GH110*GK110*VLOOKUP('Données projet'!$B$17,Paramètres!$A$1:$I$89,3,0)*0.475*44/12</f>
        <v>6.4217436052264436E-9</v>
      </c>
      <c r="GO110" s="21">
        <f t="shared" si="81"/>
        <v>6.9413167242107754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5.6843418860808015E-14</v>
      </c>
      <c r="GV110" s="17">
        <f>GU110*VLOOKUP('Données projet'!$B$18,Paramètres!$A$1:$I$89,3,0)*VLOOKUP('Données projet'!$B$18,Paramètres!$A$1:$I$89,5,0)</f>
        <v>4.4337866711430253E-14</v>
      </c>
      <c r="GW110" s="13">
        <f t="shared" si="105"/>
        <v>7.3222115536967035E-13</v>
      </c>
      <c r="GX110" s="20">
        <f t="shared" si="82"/>
        <v>1.3525069634579169E-12</v>
      </c>
      <c r="GY110" s="59">
        <f t="shared" si="83"/>
        <v>293.33333333333468</v>
      </c>
      <c r="GZ110" s="59">
        <f ca="1">AVERAGE(OFFSET($GY$3,0,0,'Données projet'!$E$18+1,1))-AVERAGE(OFFSET($H$3,0,0,'Données projet'!$E$18+1,1))</f>
        <v>288.82868507674738</v>
      </c>
      <c r="HA110" s="59">
        <f t="shared" si="106"/>
        <v>283.48738729114024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20.259165296604003</v>
      </c>
      <c r="HH110" s="21">
        <f>EXP(-LN(2)/25)*HH109+(1-EXP(-LN(2)/25))/(LN(2)/25)*Calculateur!HC110*Calculateur!HE110*VLOOKUP('Données projet'!$B$18,Paramètres!$A$1:$I$89,3,0)*0.475*44/12</f>
        <v>14.76168171169882</v>
      </c>
      <c r="HI110" s="21">
        <f>EXP(-LN(2)/2)*HI109+(1-EXP(-LN(2)/2))/(LN(2)/2)*HC110*HF110*VLOOKUP('Données projet'!$B$18,Paramètres!$A$1:$I$89,3,0)*0.475*44/12</f>
        <v>1.158829148355169E-4</v>
      </c>
      <c r="HJ110" s="22">
        <f t="shared" si="84"/>
        <v>35.020962891217657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349.71285006949597</v>
      </c>
      <c r="T111" s="59">
        <f t="shared" si="88"/>
        <v>258.51550516456842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88.029045525710174</v>
      </c>
      <c r="AA111" s="21">
        <f>EXP(-LN(2)/25)*AA110+(1-EXP(-LN(2)/25))/(LN(2)/25)*Calculateur!V111*Calculateur!X111*VLOOKUP('Données projet'!$B$9,Paramètres!$A$1:$I$89,3,0)*0.475*44/12</f>
        <v>23.807266409959844</v>
      </c>
      <c r="AB111" s="21">
        <f>EXP(-LN(2)/2)*AB110+(1-EXP(-LN(2)/2))/(LN(2)/2)*V111*Y111*VLOOKUP('Données projet'!$B$9,Paramètres!$A$1:$I$89,3,0)*0.475*44/12</f>
        <v>4.3162013428472111E-3</v>
      </c>
      <c r="AC111" s="22">
        <f t="shared" si="57"/>
        <v>111.84062813701286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8.7540000000000013</v>
      </c>
      <c r="AI111" s="13">
        <f>IF('Données projet'!$A$62&gt;35,AI110+AH111-AQ110,IF(A111&lt;'Données projet'!$A$62,$AF$205^A111,IF(A111='Données projet'!$A$62,'Données projet'!$B$62,AI110+AH111-AQ110)))</f>
        <v>347.4100000000002</v>
      </c>
      <c r="AJ111" s="13">
        <f>AI111*VLOOKUP('Données projet'!$B$10,Paramètres!$A$1:$I$89,3,0)*VLOOKUP('Données projet'!$B$10,Paramètres!$A$1:$I$89,5,0)</f>
        <v>330.59535600000015</v>
      </c>
      <c r="AK111" s="13">
        <f t="shared" si="89"/>
        <v>77.553726708555331</v>
      </c>
      <c r="AL111" s="20">
        <f t="shared" si="58"/>
        <v>710.85965238406754</v>
      </c>
      <c r="AM111" s="59">
        <f t="shared" si="59"/>
        <v>1004.1929857174009</v>
      </c>
      <c r="AN111" s="59">
        <f ca="1">AVERAGE(OFFSET($AM$3,0,0,'Données projet'!$E$10+1,1))-AVERAGE(OFFSET($H$3,0,0,'Données projet'!$E$10+1,1))</f>
        <v>449.28947235329758</v>
      </c>
      <c r="AO111" s="59">
        <f t="shared" si="90"/>
        <v>289.36994109443964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41.442225511525514</v>
      </c>
      <c r="AV111" s="21">
        <f>EXP(-LN(2)/25)*AV110+(1-EXP(-LN(2)/25))/(LN(2)/25)*Calculateur!AQ111*Calculateur!AS111*VLOOKUP('Données projet'!$B$10,Paramètres!$A$1:$I$89,3,0)*0.475*44/12</f>
        <v>22.518661953016757</v>
      </c>
      <c r="AW111" s="21">
        <f>EXP(-LN(2)/2)*AW110+(1-EXP(-LN(2)/2))/(LN(2)/2)*AQ111*AT111*VLOOKUP('Données projet'!$B$10,Paramètres!$A$1:$I$89,3,0)*0.475*44/12</f>
        <v>8.1960610616968715E-4</v>
      </c>
      <c r="AX111" s="21">
        <f t="shared" si="60"/>
        <v>63.961707070648437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336.12415200000049</v>
      </c>
      <c r="BF111" s="13">
        <f t="shared" si="91"/>
        <v>78.698638141016232</v>
      </c>
      <c r="BG111" s="20">
        <f t="shared" si="61"/>
        <v>722.4830261622709</v>
      </c>
      <c r="BH111" s="59">
        <f t="shared" si="62"/>
        <v>1015.8163594956043</v>
      </c>
      <c r="BI111" s="59">
        <f ca="1">AVERAGE(OFFSET($BH$3,0,0,'Données projet'!$E$11+1,1))-AVERAGE(OFFSET($H$3,0,0,'Données projet'!$E$11+1,1))</f>
        <v>635.71275911100679</v>
      </c>
      <c r="BJ111" s="59">
        <f t="shared" si="92"/>
        <v>281.7776857269169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30.574827822734957</v>
      </c>
      <c r="BQ111" s="21">
        <f>EXP(-LN(2)/25)*BQ110+(1-EXP(-LN(2)/25))/(LN(2)/25)*Calculateur!BL111*Calculateur!BN111*VLOOKUP('Données projet'!$B$11,Paramètres!$A$1:$I$89,3,0)*0.475*44/12</f>
        <v>24.187493132306134</v>
      </c>
      <c r="BR111" s="21">
        <f>EXP(-LN(2)/2)*BR110+(1-EXP(-LN(2)/2))/(LN(2)/2)*BL111*BO111*VLOOKUP('Données projet'!$B$11,Paramètres!$A$1:$I$89,3,0)*0.475*44/12</f>
        <v>1.4568763495683108</v>
      </c>
      <c r="BS111" s="22">
        <f t="shared" si="63"/>
        <v>56.219197304609402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6.8811111111111085</v>
      </c>
      <c r="BY111" s="12">
        <f>IF('Données projet'!$A$114&gt;35,BY110+BX111-CG110,IF(A111&lt;'Données projet'!$A$114,$BV$205^A111,IF(A111='Données projet'!$A$114,'Données projet'!$B$114,BY110+BX111-CG110)))</f>
        <v>259.49444444444424</v>
      </c>
      <c r="BZ111" s="13">
        <f>BY111*VLOOKUP('Données projet'!$B$12,Paramètres!$A$1:$I$89,3,0)*VLOOKUP('Données projet'!$B$12,Paramètres!$A$1:$I$89,5,0)</f>
        <v>295.5122733333331</v>
      </c>
      <c r="CA111" s="13">
        <f t="shared" si="93"/>
        <v>70.234839916588783</v>
      </c>
      <c r="CB111" s="20">
        <f t="shared" si="64"/>
        <v>637.00955557694726</v>
      </c>
      <c r="CC111" s="59">
        <f t="shared" si="65"/>
        <v>930.34288891028064</v>
      </c>
      <c r="CD111" s="59">
        <f ca="1">AVERAGE(OFFSET($CC$3,0,0,'Données projet'!$E$12+1,1))-AVERAGE(OFFSET($H$3,0,0,'Données projet'!$E$12+1,1))</f>
        <v>593.28343396240075</v>
      </c>
      <c r="CE111" s="59">
        <f t="shared" si="94"/>
        <v>289.66477662068695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17.677562649870769</v>
      </c>
      <c r="CL111" s="21">
        <f>EXP(-LN(2)/25)*CL110+(1-EXP(-LN(2)/25))/(LN(2)/25)*Calculateur!CG111*Calculateur!CI111*VLOOKUP('Données projet'!$B$12,Paramètres!$A$1:$I$89,3,0)*0.475*44/12</f>
        <v>29.859353894536454</v>
      </c>
      <c r="CM111" s="21">
        <f>EXP(-LN(2)/2)*CM110+(1-EXP(-LN(2)/2))/(LN(2)/2)*CG111*CJ111*VLOOKUP('Données projet'!$B$12,Paramètres!$A$1:$I$89,3,0)*0.475*44/12</f>
        <v>1.1106091428109162</v>
      </c>
      <c r="CN111" s="22">
        <f t="shared" si="66"/>
        <v>48.647525687218135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2.2737367544323206E-13</v>
      </c>
      <c r="CU111" s="17">
        <f>CT111*VLOOKUP('Données projet'!$B$13,Paramètres!$A$1:$I$89,3,0)*VLOOKUP('Données projet'!$B$13,Paramètres!$A$1:$I$89,5,0)</f>
        <v>2.3765096557326618E-13</v>
      </c>
      <c r="CV111" s="13">
        <f t="shared" si="95"/>
        <v>3.2279907425805489E-12</v>
      </c>
      <c r="CW111" s="20">
        <f t="shared" si="67"/>
        <v>6.0359926417012276E-12</v>
      </c>
      <c r="CX111" s="59">
        <f t="shared" si="68"/>
        <v>293.33333333333934</v>
      </c>
      <c r="CY111" s="59">
        <f ca="1">AVERAGE(OFFSET($CX$3,0,0,'Données projet'!$E$13+1,1))-AVERAGE(OFFSET($H$3,0,0,'Données projet'!$E$13+1,1))</f>
        <v>260.65406541614402</v>
      </c>
      <c r="CZ111" s="59">
        <f t="shared" si="96"/>
        <v>277.63456890196886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12.612755943438986</v>
      </c>
      <c r="DG111" s="21">
        <f>EXP(-LN(2)/25)*DG110+(1-EXP(-LN(2)/25))/(LN(2)/25)*Calculateur!DB111*Calculateur!DD111*VLOOKUP('Données projet'!$B$13,Paramètres!$A$1:$I$89,3,0)*0.475*44/12</f>
        <v>30.075403635684712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42.688159579123699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2.2737367544323206E-13</v>
      </c>
      <c r="DP111" s="17">
        <f>DO111*VLOOKUP('Données projet'!$B$14,Paramètres!$A$1:$I$89,3,0)*VLOOKUP('Données projet'!$B$14,Paramètres!$A$1:$I$89,5,0)</f>
        <v>1.4897523215040565E-13</v>
      </c>
      <c r="DQ111" s="13">
        <f t="shared" si="97"/>
        <v>2.136562777003313E-12</v>
      </c>
      <c r="DR111" s="20">
        <f t="shared" si="70"/>
        <v>3.9806453659427267E-12</v>
      </c>
      <c r="DS111" s="59">
        <f t="shared" si="71"/>
        <v>293.33333333333729</v>
      </c>
      <c r="DT111" s="59">
        <f ca="1">AVERAGE(OFFSET($DS$3,0,0,'Données projet'!$E$14+1,1))-AVERAGE(OFFSET($H$3,0,0,'Données projet'!$E$14+1,1))</f>
        <v>181.4272795535777</v>
      </c>
      <c r="DU111" s="59">
        <f t="shared" si="98"/>
        <v>187.67131775419904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11.836212881078771</v>
      </c>
      <c r="EB111" s="21">
        <f>EXP(-LN(2)/25)*EB110+(1-EXP(-LN(2)/25))/(LN(2)/25)*Calculateur!DW111*Calculateur!DY111*VLOOKUP('Données projet'!$B$14,Paramètres!$A$1:$I$89,3,0)*0.475*44/12</f>
        <v>10.953610547303194</v>
      </c>
      <c r="EC111" s="21">
        <f>EXP(-LN(2)/2)*EC110+(1-EXP(-LN(2)/2))/(LN(2)/2)*DW111*DZ111*VLOOKUP('Données projet'!$B$14,Paramètres!$A$1:$I$89,3,0)*0.475*44/12</f>
        <v>4.9007675091590708E-2</v>
      </c>
      <c r="ED111" s="22">
        <f t="shared" si="72"/>
        <v>22.838831103473556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1.1368683772161603E-13</v>
      </c>
      <c r="EK111" s="17">
        <f>EJ111*VLOOKUP('Données projet'!$B$15,Paramètres!$A$1:$I$89,3,0)*VLOOKUP('Données projet'!$B$15,Paramètres!$A$1:$I$89,5,0)</f>
        <v>9.2222762759774927E-14</v>
      </c>
      <c r="EL111" s="13">
        <f t="shared" si="99"/>
        <v>1.3985662224947967E-12</v>
      </c>
      <c r="EM111" s="20">
        <f t="shared" si="73"/>
        <v>2.5964574826517121E-12</v>
      </c>
      <c r="EN111" s="59">
        <f t="shared" si="74"/>
        <v>293.33333333333593</v>
      </c>
      <c r="EO111" s="59">
        <f ca="1">AVERAGE(OFFSET($EN$3,0,0,'Données projet'!$E$15+1,1))-AVERAGE(OFFSET($H$3,0,0,'Données projet'!$E$15+1,1))</f>
        <v>159.68591355116837</v>
      </c>
      <c r="EP111" s="59">
        <f t="shared" si="100"/>
        <v>284.32631786390112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3.7932602842993681</v>
      </c>
      <c r="EW111" s="21">
        <f>EXP(-LN(2)/25)*EW110+(1-EXP(-LN(2)/25))/(LN(2)/25)*Calculateur!ER111*Calculateur!ET111*VLOOKUP('Données projet'!$B$15,Paramètres!$A$1:$I$89,3,0)*0.475*44/12</f>
        <v>2.9322846484028449</v>
      </c>
      <c r="EX111" s="21">
        <f>EXP(-LN(2)/2)*EX110+(1-EXP(-LN(2)/2))/(LN(2)/2)*ER111*EU111*VLOOKUP('Données projet'!$B$15,Paramètres!$A$1:$I$89,3,0)*0.475*44/12</f>
        <v>1.6986226194314572E-9</v>
      </c>
      <c r="EY111" s="22">
        <f t="shared" si="75"/>
        <v>6.725544934400836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-1.3567387213697657E-13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299.10536994156814</v>
      </c>
      <c r="FK111" s="59">
        <f t="shared" si="102"/>
        <v>292.57799203101769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23.331938892595399</v>
      </c>
      <c r="FR111" s="21">
        <f>EXP(-LN(2)/25)*FR110+(1-EXP(-LN(2)/25))/(LN(2)/25)*Calculateur!FM111*Calculateur!FO111*VLOOKUP('Données projet'!$B$16,Paramètres!$A$1:$I$89,3,0)*0.475*44/12</f>
        <v>19.490528398520652</v>
      </c>
      <c r="FS111" s="21">
        <f>EXP(-LN(2)/2)*FS110+(1-EXP(-LN(2)/2))/(LN(2)/2)*FM111*FP111*VLOOKUP('Données projet'!$B$16,Paramètres!$A$1:$I$89,3,0)*0.475*44/12</f>
        <v>3.1726035635659729E-3</v>
      </c>
      <c r="FT111" s="22">
        <f t="shared" si="78"/>
        <v>42.825639894679618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5.6843418860808015E-14</v>
      </c>
      <c r="GA111" s="17">
        <f>FZ111*VLOOKUP('Données projet'!$B$17,Paramètres!$A$1:$I$89,3,0)*VLOOKUP('Données projet'!$B$17,Paramètres!$A$1:$I$89,5,0)</f>
        <v>5.1431925385259088E-14</v>
      </c>
      <c r="GB111" s="13">
        <f t="shared" si="103"/>
        <v>8.3482866290946129E-13</v>
      </c>
      <c r="GC111" s="20">
        <f t="shared" si="79"/>
        <v>1.5435705246133045E-12</v>
      </c>
      <c r="GD111" s="59">
        <f t="shared" si="80"/>
        <v>293.33333333333485</v>
      </c>
      <c r="GE111" s="59">
        <f ca="1">AVERAGE(OFFSET($GD$3,0,0,'Données projet'!$E$17+1,1))-AVERAGE(OFFSET($H$3,0,0,'Données projet'!$E$17+1,1))</f>
        <v>204.78565758021779</v>
      </c>
      <c r="GF111" s="59">
        <f t="shared" si="104"/>
        <v>287.25131613242439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4.4825840222039117</v>
      </c>
      <c r="GM111" s="21">
        <f>EXP(-LN(2)/25)*GM110+(1-EXP(-LN(2)/25))/(LN(2)/25)*Calculateur!GH111*Calculateur!GJ111*VLOOKUP('Données projet'!$B$17,Paramètres!$A$1:$I$89,3,0)*0.475*44/12</f>
        <v>2.304291353108912</v>
      </c>
      <c r="GN111" s="21">
        <f>EXP(-LN(2)/2)*GN110+(1-EXP(-LN(2)/2))/(LN(2)/2)*GH111*GK111*VLOOKUP('Données projet'!$B$17,Paramètres!$A$1:$I$89,3,0)*0.475*44/12</f>
        <v>4.5408584502969656E-9</v>
      </c>
      <c r="GO111" s="21">
        <f t="shared" si="81"/>
        <v>6.7868753798536821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5.6843418860808015E-14</v>
      </c>
      <c r="GV111" s="17">
        <f>GU111*VLOOKUP('Données projet'!$B$18,Paramètres!$A$1:$I$89,3,0)*VLOOKUP('Données projet'!$B$18,Paramètres!$A$1:$I$89,5,0)</f>
        <v>4.4337866711430253E-14</v>
      </c>
      <c r="GW111" s="13">
        <f t="shared" si="105"/>
        <v>7.3222115536967035E-13</v>
      </c>
      <c r="GX111" s="20">
        <f t="shared" si="82"/>
        <v>1.3525069634579169E-12</v>
      </c>
      <c r="GY111" s="59">
        <f t="shared" si="83"/>
        <v>293.33333333333468</v>
      </c>
      <c r="GZ111" s="59">
        <f ca="1">AVERAGE(OFFSET($GY$3,0,0,'Données projet'!$E$18+1,1))-AVERAGE(OFFSET($H$3,0,0,'Données projet'!$E$18+1,1))</f>
        <v>288.82868507674738</v>
      </c>
      <c r="HA111" s="59">
        <f t="shared" si="106"/>
        <v>283.48738729114024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19.861895422008288</v>
      </c>
      <c r="HH111" s="21">
        <f>EXP(-LN(2)/25)*HH110+(1-EXP(-LN(2)/25))/(LN(2)/25)*Calculateur!HC111*Calculateur!HE111*VLOOKUP('Données projet'!$B$18,Paramètres!$A$1:$I$89,3,0)*0.475*44/12</f>
        <v>14.358022749009313</v>
      </c>
      <c r="HI111" s="21">
        <f>EXP(-LN(2)/2)*HI110+(1-EXP(-LN(2)/2))/(LN(2)/2)*HC111*HF111*VLOOKUP('Données projet'!$B$18,Paramètres!$A$1:$I$89,3,0)*0.475*44/12</f>
        <v>8.1941594903857167E-5</v>
      </c>
      <c r="HJ111" s="22">
        <f t="shared" si="84"/>
        <v>34.22000011261251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349.71285006949597</v>
      </c>
      <c r="T112" s="59">
        <f t="shared" si="88"/>
        <v>258.51550516456842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86.302849635367082</v>
      </c>
      <c r="AA112" s="21">
        <f>EXP(-LN(2)/25)*AA111+(1-EXP(-LN(2)/25))/(LN(2)/25)*Calculateur!V112*Calculateur!X112*VLOOKUP('Données projet'!$B$9,Paramètres!$A$1:$I$89,3,0)*0.475*44/12</f>
        <v>23.156255458009763</v>
      </c>
      <c r="AB112" s="21">
        <f>EXP(-LN(2)/2)*AB111+(1-EXP(-LN(2)/2))/(LN(2)/2)*V112*Y112*VLOOKUP('Données projet'!$B$9,Paramètres!$A$1:$I$89,3,0)*0.475*44/12</f>
        <v>3.0520152384937455E-3</v>
      </c>
      <c r="AC112" s="22">
        <f t="shared" si="57"/>
        <v>109.46215710861534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8.7540000000000013</v>
      </c>
      <c r="AI112" s="13">
        <f>IF('Données projet'!$A$62&gt;35,AI111+AH112-AQ111,IF(A112&lt;'Données projet'!$A$62,$AF$205^A112,IF(A112='Données projet'!$A$62,'Données projet'!$B$62,AI111+AH112-AQ111)))</f>
        <v>356.16400000000021</v>
      </c>
      <c r="AJ112" s="13">
        <f>AI112*VLOOKUP('Données projet'!$B$10,Paramètres!$A$1:$I$89,3,0)*VLOOKUP('Données projet'!$B$10,Paramètres!$A$1:$I$89,5,0)</f>
        <v>338.92566240000019</v>
      </c>
      <c r="AK112" s="13">
        <f t="shared" si="89"/>
        <v>79.27794060390417</v>
      </c>
      <c r="AL112" s="20">
        <f t="shared" si="58"/>
        <v>728.37127523180015</v>
      </c>
      <c r="AM112" s="59">
        <f t="shared" si="59"/>
        <v>1021.7046085651334</v>
      </c>
      <c r="AN112" s="59">
        <f ca="1">AVERAGE(OFFSET($AM$3,0,0,'Données projet'!$E$10+1,1))-AVERAGE(OFFSET($H$3,0,0,'Données projet'!$E$10+1,1))</f>
        <v>449.28947235329758</v>
      </c>
      <c r="AO112" s="59">
        <f t="shared" si="90"/>
        <v>289.36994109443964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40.629568746506138</v>
      </c>
      <c r="AV112" s="21">
        <f>EXP(-LN(2)/25)*AV111+(1-EXP(-LN(2)/25))/(LN(2)/25)*Calculateur!AQ112*Calculateur!AS112*VLOOKUP('Données projet'!$B$10,Paramètres!$A$1:$I$89,3,0)*0.475*44/12</f>
        <v>21.90288795770655</v>
      </c>
      <c r="AW112" s="21">
        <f>EXP(-LN(2)/2)*AW111+(1-EXP(-LN(2)/2))/(LN(2)/2)*AQ112*AT112*VLOOKUP('Données projet'!$B$10,Paramètres!$A$1:$I$89,3,0)*0.475*44/12</f>
        <v>5.7954903557448721E-4</v>
      </c>
      <c r="AX112" s="21">
        <f t="shared" si="60"/>
        <v>62.53303625324827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344.12710800000053</v>
      </c>
      <c r="BF112" s="13">
        <f t="shared" si="91"/>
        <v>80.352033376279337</v>
      </c>
      <c r="BG112" s="20">
        <f t="shared" si="61"/>
        <v>739.30117123035416</v>
      </c>
      <c r="BH112" s="59">
        <f t="shared" si="62"/>
        <v>1032.6345045636874</v>
      </c>
      <c r="BI112" s="59">
        <f ca="1">AVERAGE(OFFSET($BH$3,0,0,'Données projet'!$E$11+1,1))-AVERAGE(OFFSET($H$3,0,0,'Données projet'!$E$11+1,1))</f>
        <v>635.71275911100679</v>
      </c>
      <c r="BJ112" s="59">
        <f t="shared" si="92"/>
        <v>281.7776857269169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29.97527409793468</v>
      </c>
      <c r="BQ112" s="21">
        <f>EXP(-LN(2)/25)*BQ111+(1-EXP(-LN(2)/25))/(LN(2)/25)*Calculateur!BL112*Calculateur!BN112*VLOOKUP('Données projet'!$B$11,Paramètres!$A$1:$I$89,3,0)*0.475*44/12</f>
        <v>23.526084860638239</v>
      </c>
      <c r="BR112" s="21">
        <f>EXP(-LN(2)/2)*BR111+(1-EXP(-LN(2)/2))/(LN(2)/2)*BL112*BO112*VLOOKUP('Données projet'!$B$11,Paramètres!$A$1:$I$89,3,0)*0.475*44/12</f>
        <v>1.0301671461300557</v>
      </c>
      <c r="BS112" s="22">
        <f t="shared" si="63"/>
        <v>54.531526104702976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6.8811111111111085</v>
      </c>
      <c r="BY112" s="12">
        <f>IF('Données projet'!$A$114&gt;35,BY111+BX112-CG111,IF(A112&lt;'Données projet'!$A$114,$BV$205^A112,IF(A112='Données projet'!$A$114,'Données projet'!$B$114,BY111+BX112-CG111)))</f>
        <v>266.37555555555537</v>
      </c>
      <c r="BZ112" s="13">
        <f>BY112*VLOOKUP('Données projet'!$B$12,Paramètres!$A$1:$I$89,3,0)*VLOOKUP('Données projet'!$B$12,Paramètres!$A$1:$I$89,5,0)</f>
        <v>303.34848266666648</v>
      </c>
      <c r="CA112" s="13">
        <f t="shared" si="93"/>
        <v>71.877979938164458</v>
      </c>
      <c r="CB112" s="20">
        <f t="shared" si="64"/>
        <v>653.51942237008052</v>
      </c>
      <c r="CC112" s="59">
        <f t="shared" si="65"/>
        <v>946.85275570341378</v>
      </c>
      <c r="CD112" s="59">
        <f ca="1">AVERAGE(OFFSET($CC$3,0,0,'Données projet'!$E$12+1,1))-AVERAGE(OFFSET($H$3,0,0,'Données projet'!$E$12+1,1))</f>
        <v>593.28343396240075</v>
      </c>
      <c r="CE112" s="59">
        <f t="shared" si="94"/>
        <v>289.66477662068695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17.330916428555362</v>
      </c>
      <c r="CL112" s="21">
        <f>EXP(-LN(2)/25)*CL111+(1-EXP(-LN(2)/25))/(LN(2)/25)*Calculateur!CG112*Calculateur!CI112*VLOOKUP('Données projet'!$B$12,Paramètres!$A$1:$I$89,3,0)*0.475*44/12</f>
        <v>29.042848292055179</v>
      </c>
      <c r="CM112" s="21">
        <f>EXP(-LN(2)/2)*CM111+(1-EXP(-LN(2)/2))/(LN(2)/2)*CG112*CJ112*VLOOKUP('Données projet'!$B$12,Paramètres!$A$1:$I$89,3,0)*0.475*44/12</f>
        <v>0.7853192561293777</v>
      </c>
      <c r="CN112" s="22">
        <f t="shared" si="66"/>
        <v>47.159083976739915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2.2737367544323206E-13</v>
      </c>
      <c r="CU112" s="17">
        <f>CT112*VLOOKUP('Données projet'!$B$13,Paramètres!$A$1:$I$89,3,0)*VLOOKUP('Données projet'!$B$13,Paramètres!$A$1:$I$89,5,0)</f>
        <v>2.3765096557326618E-13</v>
      </c>
      <c r="CV112" s="13">
        <f t="shared" si="95"/>
        <v>3.2279907425805489E-12</v>
      </c>
      <c r="CW112" s="20">
        <f t="shared" si="67"/>
        <v>6.0359926417012276E-12</v>
      </c>
      <c r="CX112" s="59">
        <f t="shared" si="68"/>
        <v>293.33333333333934</v>
      </c>
      <c r="CY112" s="59">
        <f ca="1">AVERAGE(OFFSET($CX$3,0,0,'Données projet'!$E$13+1,1))-AVERAGE(OFFSET($H$3,0,0,'Données projet'!$E$13+1,1))</f>
        <v>260.65406541614402</v>
      </c>
      <c r="CZ112" s="59">
        <f t="shared" si="96"/>
        <v>277.63456890196886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12.365427492409649</v>
      </c>
      <c r="DG112" s="21">
        <f>EXP(-LN(2)/25)*DG111+(1-EXP(-LN(2)/25))/(LN(2)/25)*Calculateur!DB112*Calculateur!DD112*VLOOKUP('Données projet'!$B$13,Paramètres!$A$1:$I$89,3,0)*0.475*44/12</f>
        <v>29.252990141670175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41.618417634079826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2.2737367544323206E-13</v>
      </c>
      <c r="DP112" s="17">
        <f>DO112*VLOOKUP('Données projet'!$B$14,Paramètres!$A$1:$I$89,3,0)*VLOOKUP('Données projet'!$B$14,Paramètres!$A$1:$I$89,5,0)</f>
        <v>1.4897523215040565E-13</v>
      </c>
      <c r="DQ112" s="13">
        <f t="shared" si="97"/>
        <v>2.136562777003313E-12</v>
      </c>
      <c r="DR112" s="20">
        <f t="shared" si="70"/>
        <v>3.9806453659427267E-12</v>
      </c>
      <c r="DS112" s="59">
        <f t="shared" si="71"/>
        <v>293.33333333333729</v>
      </c>
      <c r="DT112" s="59">
        <f ca="1">AVERAGE(OFFSET($DS$3,0,0,'Données projet'!$E$14+1,1))-AVERAGE(OFFSET($H$3,0,0,'Données projet'!$E$14+1,1))</f>
        <v>181.4272795535777</v>
      </c>
      <c r="DU112" s="59">
        <f t="shared" si="98"/>
        <v>187.67131775419904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11.604111965857818</v>
      </c>
      <c r="EB112" s="21">
        <f>EXP(-LN(2)/25)*EB111+(1-EXP(-LN(2)/25))/(LN(2)/25)*Calculateur!DW112*Calculateur!DY112*VLOOKUP('Données projet'!$B$14,Paramètres!$A$1:$I$89,3,0)*0.475*44/12</f>
        <v>10.654083490861844</v>
      </c>
      <c r="EC112" s="21">
        <f>EXP(-LN(2)/2)*EC111+(1-EXP(-LN(2)/2))/(LN(2)/2)*DW112*DZ112*VLOOKUP('Données projet'!$B$14,Paramètres!$A$1:$I$89,3,0)*0.475*44/12</f>
        <v>3.4653659387450846E-2</v>
      </c>
      <c r="ED112" s="22">
        <f t="shared" si="72"/>
        <v>22.292849116107114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1.1368683772161603E-13</v>
      </c>
      <c r="EK112" s="17">
        <f>EJ112*VLOOKUP('Données projet'!$B$15,Paramètres!$A$1:$I$89,3,0)*VLOOKUP('Données projet'!$B$15,Paramètres!$A$1:$I$89,5,0)</f>
        <v>9.2222762759774927E-14</v>
      </c>
      <c r="EL112" s="13">
        <f t="shared" si="99"/>
        <v>1.3985662224947967E-12</v>
      </c>
      <c r="EM112" s="20">
        <f t="shared" si="73"/>
        <v>2.5964574826517121E-12</v>
      </c>
      <c r="EN112" s="59">
        <f t="shared" si="74"/>
        <v>293.33333333333593</v>
      </c>
      <c r="EO112" s="59">
        <f ca="1">AVERAGE(OFFSET($EN$3,0,0,'Données projet'!$E$15+1,1))-AVERAGE(OFFSET($H$3,0,0,'Données projet'!$E$15+1,1))</f>
        <v>159.68591355116837</v>
      </c>
      <c r="EP112" s="59">
        <f t="shared" si="100"/>
        <v>284.32631786390112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3.7188767637845759</v>
      </c>
      <c r="EW112" s="21">
        <f>EXP(-LN(2)/25)*EW111+(1-EXP(-LN(2)/25))/(LN(2)/25)*Calculateur!ER112*Calculateur!ET112*VLOOKUP('Données projet'!$B$15,Paramètres!$A$1:$I$89,3,0)*0.475*44/12</f>
        <v>2.8521011704901214</v>
      </c>
      <c r="EX112" s="21">
        <f>EXP(-LN(2)/2)*EX111+(1-EXP(-LN(2)/2))/(LN(2)/2)*ER112*EU112*VLOOKUP('Données projet'!$B$15,Paramètres!$A$1:$I$89,3,0)*0.475*44/12</f>
        <v>1.2011075728768396E-9</v>
      </c>
      <c r="EY112" s="22">
        <f t="shared" si="75"/>
        <v>6.5709779354758053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-1.3567387213697657E-13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299.10536994156814</v>
      </c>
      <c r="FK112" s="59">
        <f t="shared" si="102"/>
        <v>292.57799203101769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22.874413801989125</v>
      </c>
      <c r="FR112" s="21">
        <f>EXP(-LN(2)/25)*FR111+(1-EXP(-LN(2)/25))/(LN(2)/25)*Calculateur!FM112*Calculateur!FO112*VLOOKUP('Données projet'!$B$16,Paramètres!$A$1:$I$89,3,0)*0.475*44/12</f>
        <v>18.957558874500762</v>
      </c>
      <c r="FS112" s="21">
        <f>EXP(-LN(2)/2)*FS111+(1-EXP(-LN(2)/2))/(LN(2)/2)*FM112*FP112*VLOOKUP('Données projet'!$B$16,Paramètres!$A$1:$I$89,3,0)*0.475*44/12</f>
        <v>2.2433694938141053E-3</v>
      </c>
      <c r="FT112" s="22">
        <f t="shared" si="78"/>
        <v>41.834216045983695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5.6843418860808015E-14</v>
      </c>
      <c r="GA112" s="17">
        <f>FZ112*VLOOKUP('Données projet'!$B$17,Paramètres!$A$1:$I$89,3,0)*VLOOKUP('Données projet'!$B$17,Paramètres!$A$1:$I$89,5,0)</f>
        <v>5.1431925385259088E-14</v>
      </c>
      <c r="GB112" s="13">
        <f t="shared" si="103"/>
        <v>8.3482866290946129E-13</v>
      </c>
      <c r="GC112" s="20">
        <f t="shared" si="79"/>
        <v>1.5435705246133045E-12</v>
      </c>
      <c r="GD112" s="59">
        <f t="shared" si="80"/>
        <v>293.33333333333485</v>
      </c>
      <c r="GE112" s="59">
        <f ca="1">AVERAGE(OFFSET($GD$3,0,0,'Données projet'!$E$17+1,1))-AVERAGE(OFFSET($H$3,0,0,'Données projet'!$E$17+1,1))</f>
        <v>204.78565758021779</v>
      </c>
      <c r="GF112" s="59">
        <f t="shared" si="104"/>
        <v>287.25131613242439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4.3946832836347758</v>
      </c>
      <c r="GM112" s="21">
        <f>EXP(-LN(2)/25)*GM111+(1-EXP(-LN(2)/25))/(LN(2)/25)*Calculateur!GH112*Calculateur!GJ112*VLOOKUP('Données projet'!$B$17,Paramètres!$A$1:$I$89,3,0)*0.475*44/12</f>
        <v>2.2412803848807332</v>
      </c>
      <c r="GN112" s="21">
        <f>EXP(-LN(2)/2)*GN111+(1-EXP(-LN(2)/2))/(LN(2)/2)*GH112*GK112*VLOOKUP('Données projet'!$B$17,Paramètres!$A$1:$I$89,3,0)*0.475*44/12</f>
        <v>3.2108718026132218E-9</v>
      </c>
      <c r="GO112" s="21">
        <f t="shared" si="81"/>
        <v>6.6359636717263806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5.6843418860808015E-14</v>
      </c>
      <c r="GV112" s="17">
        <f>GU112*VLOOKUP('Données projet'!$B$18,Paramètres!$A$1:$I$89,3,0)*VLOOKUP('Données projet'!$B$18,Paramètres!$A$1:$I$89,5,0)</f>
        <v>4.4337866711430253E-14</v>
      </c>
      <c r="GW112" s="13">
        <f t="shared" si="105"/>
        <v>7.3222115536967035E-13</v>
      </c>
      <c r="GX112" s="20">
        <f t="shared" si="82"/>
        <v>1.3525069634579169E-12</v>
      </c>
      <c r="GY112" s="59">
        <f t="shared" si="83"/>
        <v>293.33333333333468</v>
      </c>
      <c r="GZ112" s="59">
        <f ca="1">AVERAGE(OFFSET($GY$3,0,0,'Données projet'!$E$18+1,1))-AVERAGE(OFFSET($H$3,0,0,'Données projet'!$E$18+1,1))</f>
        <v>288.82868507674738</v>
      </c>
      <c r="HA112" s="59">
        <f t="shared" si="106"/>
        <v>283.48738729114024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19.472415767342699</v>
      </c>
      <c r="HH112" s="21">
        <f>EXP(-LN(2)/25)*HH111+(1-EXP(-LN(2)/25))/(LN(2)/25)*Calculateur!HC112*Calculateur!HE112*VLOOKUP('Données projet'!$B$18,Paramètres!$A$1:$I$89,3,0)*0.475*44/12</f>
        <v>13.965401861882054</v>
      </c>
      <c r="HI112" s="21">
        <f>EXP(-LN(2)/2)*HI111+(1-EXP(-LN(2)/2))/(LN(2)/2)*HC112*HF112*VLOOKUP('Données projet'!$B$18,Paramètres!$A$1:$I$89,3,0)*0.475*44/12</f>
        <v>5.7941457417758449E-5</v>
      </c>
      <c r="HJ112" s="22">
        <f t="shared" si="84"/>
        <v>33.437875570682174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349.71285006949597</v>
      </c>
      <c r="T113" s="59">
        <f t="shared" si="88"/>
        <v>258.51550516456842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84.610503393558091</v>
      </c>
      <c r="AA113" s="21">
        <f>EXP(-LN(2)/25)*AA112+(1-EXP(-LN(2)/25))/(LN(2)/25)*Calculateur!V113*Calculateur!X113*VLOOKUP('Données projet'!$B$9,Paramètres!$A$1:$I$89,3,0)*0.475*44/12</f>
        <v>22.523046434775935</v>
      </c>
      <c r="AB113" s="21">
        <f>EXP(-LN(2)/2)*AB112+(1-EXP(-LN(2)/2))/(LN(2)/2)*V113*Y113*VLOOKUP('Données projet'!$B$9,Paramètres!$A$1:$I$89,3,0)*0.475*44/12</f>
        <v>2.1581006714236056E-3</v>
      </c>
      <c r="AC113" s="22">
        <f t="shared" si="57"/>
        <v>107.13570792900545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8.7540000000000013</v>
      </c>
      <c r="AI113" s="13">
        <f>IF('Données projet'!$A$62&gt;35,AI112+AH113-AQ112,IF(A113&lt;'Données projet'!$A$62,$AF$205^A113,IF(A113='Données projet'!$A$62,'Données projet'!$B$62,AI112+AH113-AQ112)))</f>
        <v>364.91800000000023</v>
      </c>
      <c r="AJ113" s="13">
        <f>AI113*VLOOKUP('Données projet'!$B$10,Paramètres!$A$1:$I$89,3,0)*VLOOKUP('Données projet'!$B$10,Paramètres!$A$1:$I$89,5,0)</f>
        <v>347.25596880000023</v>
      </c>
      <c r="AK113" s="13">
        <f t="shared" si="89"/>
        <v>80.997228143628277</v>
      </c>
      <c r="AL113" s="20">
        <f t="shared" si="58"/>
        <v>745.87431801015293</v>
      </c>
      <c r="AM113" s="59">
        <f t="shared" si="59"/>
        <v>1039.2076513434863</v>
      </c>
      <c r="AN113" s="59">
        <f ca="1">AVERAGE(OFFSET($AM$3,0,0,'Données projet'!$E$10+1,1))-AVERAGE(OFFSET($H$3,0,0,'Données projet'!$E$10+1,1))</f>
        <v>449.28947235329758</v>
      </c>
      <c r="AO113" s="59">
        <f t="shared" si="90"/>
        <v>289.36994109443964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39.832847684977111</v>
      </c>
      <c r="AV113" s="21">
        <f>EXP(-LN(2)/25)*AV112+(1-EXP(-LN(2)/25))/(LN(2)/25)*Calculateur!AQ113*Calculateur!AS113*VLOOKUP('Données projet'!$B$10,Paramètres!$A$1:$I$89,3,0)*0.475*44/12</f>
        <v>21.303952334680247</v>
      </c>
      <c r="AW113" s="21">
        <f>EXP(-LN(2)/2)*AW112+(1-EXP(-LN(2)/2))/(LN(2)/2)*AQ113*AT113*VLOOKUP('Données projet'!$B$10,Paramètres!$A$1:$I$89,3,0)*0.475*44/12</f>
        <v>4.0980305308484357E-4</v>
      </c>
      <c r="AX113" s="21">
        <f t="shared" si="60"/>
        <v>61.137209822710446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352.13006400000057</v>
      </c>
      <c r="BF113" s="13">
        <f t="shared" si="91"/>
        <v>82.000958535583734</v>
      </c>
      <c r="BG113" s="20">
        <f t="shared" si="61"/>
        <v>756.11153091614267</v>
      </c>
      <c r="BH113" s="59">
        <f t="shared" si="62"/>
        <v>1049.444864249476</v>
      </c>
      <c r="BI113" s="59">
        <f ca="1">AVERAGE(OFFSET($BH$3,0,0,'Données projet'!$E$11+1,1))-AVERAGE(OFFSET($H$3,0,0,'Données projet'!$E$11+1,1))</f>
        <v>635.71275911100679</v>
      </c>
      <c r="BJ113" s="59">
        <f t="shared" si="92"/>
        <v>281.7776857269169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29.387477255986074</v>
      </c>
      <c r="BQ113" s="21">
        <f>EXP(-LN(2)/25)*BQ112+(1-EXP(-LN(2)/25))/(LN(2)/25)*Calculateur!BL113*Calculateur!BN113*VLOOKUP('Données projet'!$B$11,Paramètres!$A$1:$I$89,3,0)*0.475*44/12</f>
        <v>22.882762832941054</v>
      </c>
      <c r="BR113" s="21">
        <f>EXP(-LN(2)/2)*BR112+(1-EXP(-LN(2)/2))/(LN(2)/2)*BL113*BO113*VLOOKUP('Données projet'!$B$11,Paramètres!$A$1:$I$89,3,0)*0.475*44/12</f>
        <v>0.7284381747841554</v>
      </c>
      <c r="BS113" s="22">
        <f t="shared" si="63"/>
        <v>52.998678263711277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6.8811111111111085</v>
      </c>
      <c r="BY113" s="12">
        <f>IF('Données projet'!$A$114&gt;35,BY112+BX113-CG112,IF(A113&lt;'Données projet'!$A$114,$BV$205^A113,IF(A113='Données projet'!$A$114,'Données projet'!$B$114,BY112+BX113-CG112)))</f>
        <v>273.25666666666649</v>
      </c>
      <c r="BZ113" s="13">
        <f>BY113*VLOOKUP('Données projet'!$B$12,Paramètres!$A$1:$I$89,3,0)*VLOOKUP('Données projet'!$B$12,Paramètres!$A$1:$I$89,5,0)</f>
        <v>311.18469199999981</v>
      </c>
      <c r="CA113" s="13">
        <f t="shared" si="93"/>
        <v>73.51618606329977</v>
      </c>
      <c r="CB113" s="20">
        <f t="shared" si="64"/>
        <v>670.02069596024683</v>
      </c>
      <c r="CC113" s="59">
        <f t="shared" si="65"/>
        <v>963.3540292935802</v>
      </c>
      <c r="CD113" s="59">
        <f ca="1">AVERAGE(OFFSET($CC$3,0,0,'Données projet'!$E$12+1,1))-AVERAGE(OFFSET($H$3,0,0,'Données projet'!$E$12+1,1))</f>
        <v>593.28343396240075</v>
      </c>
      <c r="CE113" s="59">
        <f t="shared" si="94"/>
        <v>289.66477662068695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16.99106772820663</v>
      </c>
      <c r="CL113" s="21">
        <f>EXP(-LN(2)/25)*CL112+(1-EXP(-LN(2)/25))/(LN(2)/25)*Calculateur!CG113*Calculateur!CI113*VLOOKUP('Données projet'!$B$12,Paramètres!$A$1:$I$89,3,0)*0.475*44/12</f>
        <v>28.248670078211916</v>
      </c>
      <c r="CM113" s="21">
        <f>EXP(-LN(2)/2)*CM112+(1-EXP(-LN(2)/2))/(LN(2)/2)*CG113*CJ113*VLOOKUP('Données projet'!$B$12,Paramètres!$A$1:$I$89,3,0)*0.475*44/12</f>
        <v>0.55530457140545819</v>
      </c>
      <c r="CN113" s="22">
        <f t="shared" si="66"/>
        <v>45.795042377824004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2.2737367544323206E-13</v>
      </c>
      <c r="CU113" s="17">
        <f>CT113*VLOOKUP('Données projet'!$B$13,Paramètres!$A$1:$I$89,3,0)*VLOOKUP('Données projet'!$B$13,Paramètres!$A$1:$I$89,5,0)</f>
        <v>2.3765096557326618E-13</v>
      </c>
      <c r="CV113" s="13">
        <f t="shared" si="95"/>
        <v>3.2279907425805489E-12</v>
      </c>
      <c r="CW113" s="20">
        <f t="shared" si="67"/>
        <v>6.0359926417012276E-12</v>
      </c>
      <c r="CX113" s="59">
        <f t="shared" si="68"/>
        <v>293.33333333333934</v>
      </c>
      <c r="CY113" s="59">
        <f ca="1">AVERAGE(OFFSET($CX$3,0,0,'Données projet'!$E$13+1,1))-AVERAGE(OFFSET($H$3,0,0,'Données projet'!$E$13+1,1))</f>
        <v>260.65406541614402</v>
      </c>
      <c r="CZ113" s="59">
        <f t="shared" si="96"/>
        <v>277.63456890196886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12.122949001449539</v>
      </c>
      <c r="DG113" s="21">
        <f>EXP(-LN(2)/25)*DG112+(1-EXP(-LN(2)/25))/(LN(2)/25)*Calculateur!DB113*Calculateur!DD113*VLOOKUP('Données projet'!$B$13,Paramètres!$A$1:$I$89,3,0)*0.475*44/12</f>
        <v>28.453065587898312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40.576014589347849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2.2737367544323206E-13</v>
      </c>
      <c r="DP113" s="17">
        <f>DO113*VLOOKUP('Données projet'!$B$14,Paramètres!$A$1:$I$89,3,0)*VLOOKUP('Données projet'!$B$14,Paramètres!$A$1:$I$89,5,0)</f>
        <v>1.4897523215040565E-13</v>
      </c>
      <c r="DQ113" s="13">
        <f t="shared" si="97"/>
        <v>2.136562777003313E-12</v>
      </c>
      <c r="DR113" s="20">
        <f t="shared" si="70"/>
        <v>3.9806453659427267E-12</v>
      </c>
      <c r="DS113" s="59">
        <f t="shared" si="71"/>
        <v>293.33333333333729</v>
      </c>
      <c r="DT113" s="59">
        <f ca="1">AVERAGE(OFFSET($DS$3,0,0,'Données projet'!$E$14+1,1))-AVERAGE(OFFSET($H$3,0,0,'Données projet'!$E$14+1,1))</f>
        <v>181.4272795535777</v>
      </c>
      <c r="DU113" s="59">
        <f t="shared" si="98"/>
        <v>187.67131775419904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11.37656240801677</v>
      </c>
      <c r="EB113" s="21">
        <f>EXP(-LN(2)/25)*EB112+(1-EXP(-LN(2)/25))/(LN(2)/25)*Calculateur!DW113*Calculateur!DY113*VLOOKUP('Données projet'!$B$14,Paramètres!$A$1:$I$89,3,0)*0.475*44/12</f>
        <v>10.362747017530326</v>
      </c>
      <c r="EC113" s="21">
        <f>EXP(-LN(2)/2)*EC112+(1-EXP(-LN(2)/2))/(LN(2)/2)*DW113*DZ113*VLOOKUP('Données projet'!$B$14,Paramètres!$A$1:$I$89,3,0)*0.475*44/12</f>
        <v>2.4503837545795354E-2</v>
      </c>
      <c r="ED113" s="22">
        <f t="shared" si="72"/>
        <v>21.763813263092892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1.1368683772161603E-13</v>
      </c>
      <c r="EK113" s="17">
        <f>EJ113*VLOOKUP('Données projet'!$B$15,Paramètres!$A$1:$I$89,3,0)*VLOOKUP('Données projet'!$B$15,Paramètres!$A$1:$I$89,5,0)</f>
        <v>9.2222762759774927E-14</v>
      </c>
      <c r="EL113" s="13">
        <f t="shared" si="99"/>
        <v>1.3985662224947967E-12</v>
      </c>
      <c r="EM113" s="20">
        <f t="shared" si="73"/>
        <v>2.5964574826517121E-12</v>
      </c>
      <c r="EN113" s="59">
        <f t="shared" si="74"/>
        <v>293.33333333333593</v>
      </c>
      <c r="EO113" s="59">
        <f ca="1">AVERAGE(OFFSET($EN$3,0,0,'Données projet'!$E$15+1,1))-AVERAGE(OFFSET($H$3,0,0,'Données projet'!$E$15+1,1))</f>
        <v>159.68591355116837</v>
      </c>
      <c r="EP113" s="59">
        <f t="shared" si="100"/>
        <v>284.32631786390112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3.645951858737611</v>
      </c>
      <c r="EW113" s="21">
        <f>EXP(-LN(2)/25)*EW112+(1-EXP(-LN(2)/25))/(LN(2)/25)*Calculateur!ER113*Calculateur!ET113*VLOOKUP('Données projet'!$B$15,Paramètres!$A$1:$I$89,3,0)*0.475*44/12</f>
        <v>2.7741103139975869</v>
      </c>
      <c r="EX113" s="21">
        <f>EXP(-LN(2)/2)*EX112+(1-EXP(-LN(2)/2))/(LN(2)/2)*ER113*EU113*VLOOKUP('Données projet'!$B$15,Paramètres!$A$1:$I$89,3,0)*0.475*44/12</f>
        <v>8.4931130971572861E-10</v>
      </c>
      <c r="EY113" s="22">
        <f t="shared" si="75"/>
        <v>6.42006217358451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-1.3567387213697657E-13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299.10536994156814</v>
      </c>
      <c r="FK113" s="59">
        <f t="shared" si="102"/>
        <v>292.57799203101769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22.425860499346889</v>
      </c>
      <c r="FR113" s="21">
        <f>EXP(-LN(2)/25)*FR112+(1-EXP(-LN(2)/25))/(LN(2)/25)*Calculateur!FM113*Calculateur!FO113*VLOOKUP('Données projet'!$B$16,Paramètres!$A$1:$I$89,3,0)*0.475*44/12</f>
        <v>18.439163430142845</v>
      </c>
      <c r="FS113" s="21">
        <f>EXP(-LN(2)/2)*FS112+(1-EXP(-LN(2)/2))/(LN(2)/2)*FM113*FP113*VLOOKUP('Données projet'!$B$16,Paramètres!$A$1:$I$89,3,0)*0.475*44/12</f>
        <v>1.5863017817829865E-3</v>
      </c>
      <c r="FT113" s="22">
        <f t="shared" si="78"/>
        <v>40.866610231271522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5.6843418860808015E-14</v>
      </c>
      <c r="GA113" s="17">
        <f>FZ113*VLOOKUP('Données projet'!$B$17,Paramètres!$A$1:$I$89,3,0)*VLOOKUP('Données projet'!$B$17,Paramètres!$A$1:$I$89,5,0)</f>
        <v>5.1431925385259088E-14</v>
      </c>
      <c r="GB113" s="13">
        <f t="shared" si="103"/>
        <v>8.3482866290946129E-13</v>
      </c>
      <c r="GC113" s="20">
        <f t="shared" si="79"/>
        <v>1.5435705246133045E-12</v>
      </c>
      <c r="GD113" s="59">
        <f t="shared" si="80"/>
        <v>293.33333333333485</v>
      </c>
      <c r="GE113" s="59">
        <f ca="1">AVERAGE(OFFSET($GD$3,0,0,'Données projet'!$E$17+1,1))-AVERAGE(OFFSET($H$3,0,0,'Données projet'!$E$17+1,1))</f>
        <v>204.78565758021779</v>
      </c>
      <c r="GF113" s="59">
        <f t="shared" si="104"/>
        <v>287.25131613242439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4.308506224934824</v>
      </c>
      <c r="GM113" s="21">
        <f>EXP(-LN(2)/25)*GM112+(1-EXP(-LN(2)/25))/(LN(2)/25)*Calculateur!GH113*Calculateur!GJ113*VLOOKUP('Données projet'!$B$17,Paramètres!$A$1:$I$89,3,0)*0.475*44/12</f>
        <v>2.1799924548923566</v>
      </c>
      <c r="GN113" s="21">
        <f>EXP(-LN(2)/2)*GN112+(1-EXP(-LN(2)/2))/(LN(2)/2)*GH113*GK113*VLOOKUP('Données projet'!$B$17,Paramètres!$A$1:$I$89,3,0)*0.475*44/12</f>
        <v>2.2704292251484828E-9</v>
      </c>
      <c r="GO113" s="21">
        <f t="shared" si="81"/>
        <v>6.4884986820976103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5.6843418860808015E-14</v>
      </c>
      <c r="GV113" s="17">
        <f>GU113*VLOOKUP('Données projet'!$B$18,Paramètres!$A$1:$I$89,3,0)*VLOOKUP('Données projet'!$B$18,Paramètres!$A$1:$I$89,5,0)</f>
        <v>4.4337866711430253E-14</v>
      </c>
      <c r="GW113" s="13">
        <f t="shared" si="105"/>
        <v>7.3222115536967035E-13</v>
      </c>
      <c r="GX113" s="20">
        <f t="shared" si="82"/>
        <v>1.3525069634579169E-12</v>
      </c>
      <c r="GY113" s="59">
        <f t="shared" si="83"/>
        <v>293.33333333333468</v>
      </c>
      <c r="GZ113" s="59">
        <f ca="1">AVERAGE(OFFSET($GY$3,0,0,'Données projet'!$E$18+1,1))-AVERAGE(OFFSET($H$3,0,0,'Données projet'!$E$18+1,1))</f>
        <v>288.82868507674738</v>
      </c>
      <c r="HA113" s="59">
        <f t="shared" si="106"/>
        <v>283.48738729114024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19.090573571145971</v>
      </c>
      <c r="HH113" s="21">
        <f>EXP(-LN(2)/25)*HH112+(1-EXP(-LN(2)/25))/(LN(2)/25)*Calculateur!HC113*Calculateur!HE113*VLOOKUP('Données projet'!$B$18,Paramètres!$A$1:$I$89,3,0)*0.475*44/12</f>
        <v>13.583517213560324</v>
      </c>
      <c r="HI113" s="21">
        <f>EXP(-LN(2)/2)*HI112+(1-EXP(-LN(2)/2))/(LN(2)/2)*HC113*HF113*VLOOKUP('Données projet'!$B$18,Paramètres!$A$1:$I$89,3,0)*0.475*44/12</f>
        <v>4.0970797451928584E-5</v>
      </c>
      <c r="HJ113" s="22">
        <f t="shared" si="84"/>
        <v>32.674131755503744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349.71285006949597</v>
      </c>
      <c r="T114" s="59">
        <f t="shared" si="88"/>
        <v>258.51550516456842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82.951343029321691</v>
      </c>
      <c r="AA114" s="21">
        <f>EXP(-LN(2)/25)*AA113+(1-EXP(-LN(2)/25))/(LN(2)/25)*Calculateur!V114*Calculateur!X114*VLOOKUP('Données projet'!$B$9,Paramètres!$A$1:$I$89,3,0)*0.475*44/12</f>
        <v>21.907152545581454</v>
      </c>
      <c r="AB114" s="21">
        <f>EXP(-LN(2)/2)*AB113+(1-EXP(-LN(2)/2))/(LN(2)/2)*V114*Y114*VLOOKUP('Données projet'!$B$9,Paramètres!$A$1:$I$89,3,0)*0.475*44/12</f>
        <v>1.5260076192468728E-3</v>
      </c>
      <c r="AC114" s="22">
        <f t="shared" si="57"/>
        <v>104.86002158252239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8.7540000000000013</v>
      </c>
      <c r="AI114" s="13">
        <f>IF('Données projet'!$A$62&gt;35,AI113+AH114-AQ113,IF(A114&lt;'Données projet'!$A$62,$AF$205^A114,IF(A114='Données projet'!$A$62,'Données projet'!$B$62,AI113+AH114-AQ113)))</f>
        <v>373.67200000000025</v>
      </c>
      <c r="AJ114" s="13">
        <f>AI114*VLOOKUP('Données projet'!$B$10,Paramètres!$A$1:$I$89,3,0)*VLOOKUP('Données projet'!$B$10,Paramètres!$A$1:$I$89,5,0)</f>
        <v>355.58627520000022</v>
      </c>
      <c r="AK114" s="13">
        <f t="shared" si="89"/>
        <v>82.711721103289179</v>
      </c>
      <c r="AL114" s="20">
        <f t="shared" si="58"/>
        <v>763.36901022822894</v>
      </c>
      <c r="AM114" s="59">
        <f t="shared" si="59"/>
        <v>1056.7023435615622</v>
      </c>
      <c r="AN114" s="59">
        <f ca="1">AVERAGE(OFFSET($AM$3,0,0,'Données projet'!$E$10+1,1))-AVERAGE(OFFSET($H$3,0,0,'Données projet'!$E$10+1,1))</f>
        <v>449.28947235329758</v>
      </c>
      <c r="AO114" s="59">
        <f t="shared" si="90"/>
        <v>289.36994109443964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39.051749837512801</v>
      </c>
      <c r="AV114" s="21">
        <f>EXP(-LN(2)/25)*AV113+(1-EXP(-LN(2)/25))/(LN(2)/25)*Calculateur!AQ114*Calculateur!AS114*VLOOKUP('Données projet'!$B$10,Paramètres!$A$1:$I$89,3,0)*0.475*44/12</f>
        <v>20.721394637762252</v>
      </c>
      <c r="AW114" s="21">
        <f>EXP(-LN(2)/2)*AW113+(1-EXP(-LN(2)/2))/(LN(2)/2)*AQ114*AT114*VLOOKUP('Données projet'!$B$10,Paramètres!$A$1:$I$89,3,0)*0.475*44/12</f>
        <v>2.897745177872436E-4</v>
      </c>
      <c r="AX114" s="21">
        <f t="shared" si="60"/>
        <v>59.773434249792842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360.13302000000061</v>
      </c>
      <c r="BF114" s="13">
        <f t="shared" si="91"/>
        <v>83.645526906767415</v>
      </c>
      <c r="BG114" s="20">
        <f t="shared" si="61"/>
        <v>772.91430252928774</v>
      </c>
      <c r="BH114" s="59">
        <f t="shared" si="62"/>
        <v>1066.2476358626211</v>
      </c>
      <c r="BI114" s="59">
        <f ca="1">AVERAGE(OFFSET($BH$3,0,0,'Données projet'!$E$11+1,1))-AVERAGE(OFFSET($H$3,0,0,'Données projet'!$E$11+1,1))</f>
        <v>635.71275911100679</v>
      </c>
      <c r="BJ114" s="59">
        <f t="shared" si="92"/>
        <v>281.7776857269169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28.811206751587406</v>
      </c>
      <c r="BQ114" s="21">
        <f>EXP(-LN(2)/25)*BQ113+(1-EXP(-LN(2)/25))/(LN(2)/25)*Calculateur!BL114*Calculateur!BN114*VLOOKUP('Données projet'!$B$11,Paramètres!$A$1:$I$89,3,0)*0.475*44/12</f>
        <v>22.257032479922085</v>
      </c>
      <c r="BR114" s="21">
        <f>EXP(-LN(2)/2)*BR113+(1-EXP(-LN(2)/2))/(LN(2)/2)*BL114*BO114*VLOOKUP('Données projet'!$B$11,Paramètres!$A$1:$I$89,3,0)*0.475*44/12</f>
        <v>0.51508357306502783</v>
      </c>
      <c r="BS114" s="22">
        <f t="shared" si="63"/>
        <v>51.583322804574522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6.8811111111111085</v>
      </c>
      <c r="BY114" s="12">
        <f>IF('Données projet'!$A$114&gt;35,BY113+BX114-CG113,IF(A114&lt;'Données projet'!$A$114,$BV$205^A114,IF(A114='Données projet'!$A$114,'Données projet'!$B$114,BY113+BX114-CG113)))</f>
        <v>280.13777777777761</v>
      </c>
      <c r="BZ114" s="13">
        <f>BY114*VLOOKUP('Données projet'!$B$12,Paramètres!$A$1:$I$89,3,0)*VLOOKUP('Données projet'!$B$12,Paramètres!$A$1:$I$89,5,0)</f>
        <v>319.02090133333314</v>
      </c>
      <c r="CA114" s="13">
        <f t="shared" si="93"/>
        <v>75.149596825299852</v>
      </c>
      <c r="CB114" s="20">
        <f t="shared" si="64"/>
        <v>686.51361762628574</v>
      </c>
      <c r="CC114" s="59">
        <f t="shared" si="65"/>
        <v>979.84695095961911</v>
      </c>
      <c r="CD114" s="59">
        <f ca="1">AVERAGE(OFFSET($CC$3,0,0,'Données projet'!$E$12+1,1))-AVERAGE(OFFSET($H$3,0,0,'Données projet'!$E$12+1,1))</f>
        <v>593.28343396240075</v>
      </c>
      <c r="CE114" s="59">
        <f t="shared" si="94"/>
        <v>289.66477662068695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16.657883253584497</v>
      </c>
      <c r="CL114" s="21">
        <f>EXP(-LN(2)/25)*CL113+(1-EXP(-LN(2)/25))/(LN(2)/25)*Calculateur!CG114*Calculateur!CI114*VLOOKUP('Données projet'!$B$12,Paramètres!$A$1:$I$89,3,0)*0.475*44/12</f>
        <v>27.476208709390214</v>
      </c>
      <c r="CM114" s="21">
        <f>EXP(-LN(2)/2)*CM113+(1-EXP(-LN(2)/2))/(LN(2)/2)*CG114*CJ114*VLOOKUP('Données projet'!$B$12,Paramètres!$A$1:$I$89,3,0)*0.475*44/12</f>
        <v>0.3926596280646889</v>
      </c>
      <c r="CN114" s="22">
        <f t="shared" si="66"/>
        <v>44.5267515910394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2.2737367544323206E-13</v>
      </c>
      <c r="CU114" s="17">
        <f>CT114*VLOOKUP('Données projet'!$B$13,Paramètres!$A$1:$I$89,3,0)*VLOOKUP('Données projet'!$B$13,Paramètres!$A$1:$I$89,5,0)</f>
        <v>2.3765096557326618E-13</v>
      </c>
      <c r="CV114" s="13">
        <f t="shared" si="95"/>
        <v>3.2279907425805489E-12</v>
      </c>
      <c r="CW114" s="20">
        <f t="shared" si="67"/>
        <v>6.0359926417012276E-12</v>
      </c>
      <c r="CX114" s="59">
        <f t="shared" si="68"/>
        <v>293.33333333333934</v>
      </c>
      <c r="CY114" s="59">
        <f ca="1">AVERAGE(OFFSET($CX$3,0,0,'Données projet'!$E$13+1,1))-AVERAGE(OFFSET($H$3,0,0,'Données projet'!$E$13+1,1))</f>
        <v>260.65406541614402</v>
      </c>
      <c r="CZ114" s="59">
        <f t="shared" si="96"/>
        <v>277.63456890196886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11.885225365799881</v>
      </c>
      <c r="DG114" s="21">
        <f>EXP(-LN(2)/25)*DG113+(1-EXP(-LN(2)/25))/(LN(2)/25)*Calculateur!DB114*Calculateur!DD114*VLOOKUP('Données projet'!$B$13,Paramètres!$A$1:$I$89,3,0)*0.475*44/12</f>
        <v>27.675015013115544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39.560240378915424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2.2737367544323206E-13</v>
      </c>
      <c r="DP114" s="17">
        <f>DO114*VLOOKUP('Données projet'!$B$14,Paramètres!$A$1:$I$89,3,0)*VLOOKUP('Données projet'!$B$14,Paramètres!$A$1:$I$89,5,0)</f>
        <v>1.4897523215040565E-13</v>
      </c>
      <c r="DQ114" s="13">
        <f t="shared" si="97"/>
        <v>2.136562777003313E-12</v>
      </c>
      <c r="DR114" s="20">
        <f t="shared" si="70"/>
        <v>3.9806453659427267E-12</v>
      </c>
      <c r="DS114" s="59">
        <f t="shared" si="71"/>
        <v>293.33333333333729</v>
      </c>
      <c r="DT114" s="59">
        <f ca="1">AVERAGE(OFFSET($DS$3,0,0,'Données projet'!$E$14+1,1))-AVERAGE(OFFSET($H$3,0,0,'Données projet'!$E$14+1,1))</f>
        <v>181.4272795535777</v>
      </c>
      <c r="DU114" s="59">
        <f t="shared" si="98"/>
        <v>187.67131775419904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11.15347495821346</v>
      </c>
      <c r="EB114" s="21">
        <f>EXP(-LN(2)/25)*EB113+(1-EXP(-LN(2)/25))/(LN(2)/25)*Calculateur!DW114*Calculateur!DY114*VLOOKUP('Données projet'!$B$14,Paramètres!$A$1:$I$89,3,0)*0.475*44/12</f>
        <v>10.079377155382778</v>
      </c>
      <c r="EC114" s="21">
        <f>EXP(-LN(2)/2)*EC113+(1-EXP(-LN(2)/2))/(LN(2)/2)*DW114*DZ114*VLOOKUP('Données projet'!$B$14,Paramètres!$A$1:$I$89,3,0)*0.475*44/12</f>
        <v>1.7326829693725423E-2</v>
      </c>
      <c r="ED114" s="22">
        <f t="shared" si="72"/>
        <v>21.250178943289963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1.1368683772161603E-13</v>
      </c>
      <c r="EK114" s="17">
        <f>EJ114*VLOOKUP('Données projet'!$B$15,Paramètres!$A$1:$I$89,3,0)*VLOOKUP('Données projet'!$B$15,Paramètres!$A$1:$I$89,5,0)</f>
        <v>9.2222762759774927E-14</v>
      </c>
      <c r="EL114" s="13">
        <f t="shared" si="99"/>
        <v>1.3985662224947967E-12</v>
      </c>
      <c r="EM114" s="20">
        <f t="shared" si="73"/>
        <v>2.5964574826517121E-12</v>
      </c>
      <c r="EN114" s="59">
        <f t="shared" si="74"/>
        <v>293.33333333333593</v>
      </c>
      <c r="EO114" s="59">
        <f ca="1">AVERAGE(OFFSET($EN$3,0,0,'Données projet'!$E$15+1,1))-AVERAGE(OFFSET($H$3,0,0,'Données projet'!$E$15+1,1))</f>
        <v>159.68591355116837</v>
      </c>
      <c r="EP114" s="59">
        <f t="shared" si="100"/>
        <v>284.32631786390112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3.5744569665988171</v>
      </c>
      <c r="EW114" s="21">
        <f>EXP(-LN(2)/25)*EW113+(1-EXP(-LN(2)/25))/(LN(2)/25)*Calculateur!ER114*Calculateur!ET114*VLOOKUP('Données projet'!$B$15,Paramètres!$A$1:$I$89,3,0)*0.475*44/12</f>
        <v>2.6982521215772017</v>
      </c>
      <c r="EX114" s="21">
        <f>EXP(-LN(2)/2)*EX113+(1-EXP(-LN(2)/2))/(LN(2)/2)*ER114*EU114*VLOOKUP('Données projet'!$B$15,Paramètres!$A$1:$I$89,3,0)*0.475*44/12</f>
        <v>6.005537864384198E-10</v>
      </c>
      <c r="EY114" s="22">
        <f t="shared" si="75"/>
        <v>6.2727090887765717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-1.3567387213697657E-13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299.10536994156814</v>
      </c>
      <c r="FK114" s="59">
        <f t="shared" si="102"/>
        <v>292.57799203101769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21.986103053378969</v>
      </c>
      <c r="FR114" s="21">
        <f>EXP(-LN(2)/25)*FR113+(1-EXP(-LN(2)/25))/(LN(2)/25)*Calculateur!FM114*Calculateur!FO114*VLOOKUP('Données projet'!$B$16,Paramètres!$A$1:$I$89,3,0)*0.475*44/12</f>
        <v>17.934943536472126</v>
      </c>
      <c r="FS114" s="21">
        <f>EXP(-LN(2)/2)*FS113+(1-EXP(-LN(2)/2))/(LN(2)/2)*FM114*FP114*VLOOKUP('Données projet'!$B$16,Paramètres!$A$1:$I$89,3,0)*0.475*44/12</f>
        <v>1.1216847469070527E-3</v>
      </c>
      <c r="FT114" s="22">
        <f t="shared" si="78"/>
        <v>39.922168274598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5.6843418860808015E-14</v>
      </c>
      <c r="GA114" s="17">
        <f>FZ114*VLOOKUP('Données projet'!$B$17,Paramètres!$A$1:$I$89,3,0)*VLOOKUP('Données projet'!$B$17,Paramètres!$A$1:$I$89,5,0)</f>
        <v>5.1431925385259088E-14</v>
      </c>
      <c r="GB114" s="13">
        <f t="shared" si="103"/>
        <v>8.3482866290946129E-13</v>
      </c>
      <c r="GC114" s="20">
        <f t="shared" si="79"/>
        <v>1.5435705246133045E-12</v>
      </c>
      <c r="GD114" s="59">
        <f t="shared" si="80"/>
        <v>293.33333333333485</v>
      </c>
      <c r="GE114" s="59">
        <f ca="1">AVERAGE(OFFSET($GD$3,0,0,'Données projet'!$E$17+1,1))-AVERAGE(OFFSET($H$3,0,0,'Données projet'!$E$17+1,1))</f>
        <v>204.78565758021779</v>
      </c>
      <c r="GF114" s="59">
        <f t="shared" si="104"/>
        <v>287.25131613242439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4.2240190457931632</v>
      </c>
      <c r="GM114" s="21">
        <f>EXP(-LN(2)/25)*GM113+(1-EXP(-LN(2)/25))/(LN(2)/25)*Calculateur!GH114*Calculateur!GJ114*VLOOKUP('Données projet'!$B$17,Paramètres!$A$1:$I$89,3,0)*0.475*44/12</f>
        <v>2.1203804465725042</v>
      </c>
      <c r="GN114" s="21">
        <f>EXP(-LN(2)/2)*GN113+(1-EXP(-LN(2)/2))/(LN(2)/2)*GH114*GK114*VLOOKUP('Données projet'!$B$17,Paramètres!$A$1:$I$89,3,0)*0.475*44/12</f>
        <v>1.6054359013066109E-9</v>
      </c>
      <c r="GO114" s="21">
        <f t="shared" si="81"/>
        <v>6.3443994939711033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5.6843418860808015E-14</v>
      </c>
      <c r="GV114" s="17">
        <f>GU114*VLOOKUP('Données projet'!$B$18,Paramètres!$A$1:$I$89,3,0)*VLOOKUP('Données projet'!$B$18,Paramètres!$A$1:$I$89,5,0)</f>
        <v>4.4337866711430253E-14</v>
      </c>
      <c r="GW114" s="13">
        <f t="shared" si="105"/>
        <v>7.3222115536967035E-13</v>
      </c>
      <c r="GX114" s="20">
        <f t="shared" si="82"/>
        <v>1.3525069634579169E-12</v>
      </c>
      <c r="GY114" s="59">
        <f t="shared" si="83"/>
        <v>293.33333333333468</v>
      </c>
      <c r="GZ114" s="59">
        <f ca="1">AVERAGE(OFFSET($GY$3,0,0,'Données projet'!$E$18+1,1))-AVERAGE(OFFSET($H$3,0,0,'Données projet'!$E$18+1,1))</f>
        <v>288.82868507674738</v>
      </c>
      <c r="HA114" s="59">
        <f t="shared" si="106"/>
        <v>283.48738729114024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18.716219067515919</v>
      </c>
      <c r="HH114" s="21">
        <f>EXP(-LN(2)/25)*HH113+(1-EXP(-LN(2)/25))/(LN(2)/25)*Calculateur!HC114*Calculateur!HE114*VLOOKUP('Données projet'!$B$18,Paramètres!$A$1:$I$89,3,0)*0.475*44/12</f>
        <v>13.212075221029393</v>
      </c>
      <c r="HI114" s="21">
        <f>EXP(-LN(2)/2)*HI113+(1-EXP(-LN(2)/2))/(LN(2)/2)*HC114*HF114*VLOOKUP('Données projet'!$B$18,Paramètres!$A$1:$I$89,3,0)*0.475*44/12</f>
        <v>2.8970728708879224E-5</v>
      </c>
      <c r="HJ114" s="22">
        <f t="shared" si="84"/>
        <v>31.92832325927402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349.71285006949597</v>
      </c>
      <c r="T115" s="59">
        <f t="shared" si="88"/>
        <v>258.51550516456842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81.324717787840072</v>
      </c>
      <c r="AA115" s="21">
        <f>EXP(-LN(2)/25)*AA114+(1-EXP(-LN(2)/25))/(LN(2)/25)*Calculateur!V115*Calculateur!X115*VLOOKUP('Données projet'!$B$9,Paramètres!$A$1:$I$89,3,0)*0.475*44/12</f>
        <v>21.308100307175447</v>
      </c>
      <c r="AB115" s="21">
        <f>EXP(-LN(2)/2)*AB114+(1-EXP(-LN(2)/2))/(LN(2)/2)*V115*Y115*VLOOKUP('Données projet'!$B$9,Paramètres!$A$1:$I$89,3,0)*0.475*44/12</f>
        <v>1.0790503357118028E-3</v>
      </c>
      <c r="AC115" s="22">
        <f t="shared" si="57"/>
        <v>102.63389714535124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8.7540000000000013</v>
      </c>
      <c r="AI115" s="13">
        <f>IF('Données projet'!$A$62&gt;35,AI114+AH115-AQ114,IF(A115&lt;'Données projet'!$A$62,$AF$205^A115,IF(A115='Données projet'!$A$62,'Données projet'!$B$62,AI114+AH115-AQ114)))</f>
        <v>382.42600000000027</v>
      </c>
      <c r="AJ115" s="13">
        <f>AI115*VLOOKUP('Données projet'!$B$10,Paramètres!$A$1:$I$89,3,0)*VLOOKUP('Données projet'!$B$10,Paramètres!$A$1:$I$89,5,0)</f>
        <v>363.91658160000026</v>
      </c>
      <c r="AK115" s="13">
        <f t="shared" si="89"/>
        <v>84.421544732010858</v>
      </c>
      <c r="AL115" s="20">
        <f t="shared" si="58"/>
        <v>780.85557002825271</v>
      </c>
      <c r="AM115" s="59">
        <f t="shared" si="59"/>
        <v>1074.188903361586</v>
      </c>
      <c r="AN115" s="59">
        <f ca="1">AVERAGE(OFFSET($AM$3,0,0,'Données projet'!$E$10+1,1))-AVERAGE(OFFSET($H$3,0,0,'Données projet'!$E$10+1,1))</f>
        <v>449.28947235329758</v>
      </c>
      <c r="AO115" s="59">
        <f t="shared" si="90"/>
        <v>289.36994109443964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38.285968842414626</v>
      </c>
      <c r="AV115" s="21">
        <f>EXP(-LN(2)/25)*AV114+(1-EXP(-LN(2)/25))/(LN(2)/25)*Calculateur!AQ115*Calculateur!AS115*VLOOKUP('Données projet'!$B$10,Paramètres!$A$1:$I$89,3,0)*0.475*44/12</f>
        <v>20.154767011701857</v>
      </c>
      <c r="AW115" s="21">
        <f>EXP(-LN(2)/2)*AW114+(1-EXP(-LN(2)/2))/(LN(2)/2)*AQ115*AT115*VLOOKUP('Données projet'!$B$10,Paramètres!$A$1:$I$89,3,0)*0.475*44/12</f>
        <v>2.0490152654242179E-4</v>
      </c>
      <c r="AX115" s="21">
        <f t="shared" si="60"/>
        <v>58.440940755643027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368.1359760000006</v>
      </c>
      <c r="BF115" s="13">
        <f t="shared" si="91"/>
        <v>85.285846455183602</v>
      </c>
      <c r="BG115" s="20">
        <f t="shared" si="61"/>
        <v>789.70967410944593</v>
      </c>
      <c r="BH115" s="59">
        <f t="shared" si="62"/>
        <v>1083.0430074427793</v>
      </c>
      <c r="BI115" s="59">
        <f ca="1">AVERAGE(OFFSET($BH$3,0,0,'Données projet'!$E$11+1,1))-AVERAGE(OFFSET($H$3,0,0,'Données projet'!$E$11+1,1))</f>
        <v>635.71275911100679</v>
      </c>
      <c r="BJ115" s="59">
        <f t="shared" si="92"/>
        <v>281.7776857269169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28.246236560289695</v>
      </c>
      <c r="BQ115" s="21">
        <f>EXP(-LN(2)/25)*BQ114+(1-EXP(-LN(2)/25))/(LN(2)/25)*Calculateur!BL115*Calculateur!BN115*VLOOKUP('Données projet'!$B$11,Paramètres!$A$1:$I$89,3,0)*0.475*44/12</f>
        <v>21.648412756312148</v>
      </c>
      <c r="BR115" s="21">
        <f>EXP(-LN(2)/2)*BR114+(1-EXP(-LN(2)/2))/(LN(2)/2)*BL115*BO115*VLOOKUP('Données projet'!$B$11,Paramètres!$A$1:$I$89,3,0)*0.475*44/12</f>
        <v>0.3642190873920777</v>
      </c>
      <c r="BS115" s="22">
        <f t="shared" si="63"/>
        <v>50.258868403993922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6.8811111111111085</v>
      </c>
      <c r="BY115" s="12">
        <f>IF('Données projet'!$A$114&gt;35,BY114+BX115-CG114,IF(A115&lt;'Données projet'!$A$114,$BV$205^A115,IF(A115='Données projet'!$A$114,'Données projet'!$B$114,BY114+BX115-CG114)))</f>
        <v>287.01888888888874</v>
      </c>
      <c r="BZ115" s="13">
        <f>BY115*VLOOKUP('Données projet'!$B$12,Paramètres!$A$1:$I$89,3,0)*VLOOKUP('Données projet'!$B$12,Paramètres!$A$1:$I$89,5,0)</f>
        <v>326.85711066666653</v>
      </c>
      <c r="CA115" s="13">
        <f t="shared" si="93"/>
        <v>76.778343563812527</v>
      </c>
      <c r="CB115" s="20">
        <f t="shared" si="64"/>
        <v>702.99841611808426</v>
      </c>
      <c r="CC115" s="59">
        <f t="shared" si="65"/>
        <v>996.33174945141764</v>
      </c>
      <c r="CD115" s="59">
        <f ca="1">AVERAGE(OFFSET($CC$3,0,0,'Données projet'!$E$12+1,1))-AVERAGE(OFFSET($H$3,0,0,'Données projet'!$E$12+1,1))</f>
        <v>593.28343396240075</v>
      </c>
      <c r="CE115" s="59">
        <f t="shared" si="94"/>
        <v>289.66477662068695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16.331232323287242</v>
      </c>
      <c r="CL115" s="21">
        <f>EXP(-LN(2)/25)*CL114+(1-EXP(-LN(2)/25))/(LN(2)/25)*Calculateur!CG115*Calculateur!CI115*VLOOKUP('Données projet'!$B$12,Paramètres!$A$1:$I$89,3,0)*0.475*44/12</f>
        <v>26.724870337320919</v>
      </c>
      <c r="CM115" s="21">
        <f>EXP(-LN(2)/2)*CM114+(1-EXP(-LN(2)/2))/(LN(2)/2)*CG115*CJ115*VLOOKUP('Données projet'!$B$12,Paramètres!$A$1:$I$89,3,0)*0.475*44/12</f>
        <v>0.27765228570272915</v>
      </c>
      <c r="CN115" s="22">
        <f t="shared" si="66"/>
        <v>43.33375494631089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2.2737367544323206E-13</v>
      </c>
      <c r="CU115" s="17">
        <f>CT115*VLOOKUP('Données projet'!$B$13,Paramètres!$A$1:$I$89,3,0)*VLOOKUP('Données projet'!$B$13,Paramètres!$A$1:$I$89,5,0)</f>
        <v>2.3765096557326618E-13</v>
      </c>
      <c r="CV115" s="13">
        <f t="shared" si="95"/>
        <v>3.2279907425805489E-12</v>
      </c>
      <c r="CW115" s="20">
        <f t="shared" si="67"/>
        <v>6.0359926417012276E-12</v>
      </c>
      <c r="CX115" s="59">
        <f t="shared" si="68"/>
        <v>293.33333333333934</v>
      </c>
      <c r="CY115" s="59">
        <f ca="1">AVERAGE(OFFSET($CX$3,0,0,'Données projet'!$E$13+1,1))-AVERAGE(OFFSET($H$3,0,0,'Données projet'!$E$13+1,1))</f>
        <v>260.65406541614402</v>
      </c>
      <c r="CZ115" s="59">
        <f t="shared" si="96"/>
        <v>277.63456890196886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11.652163345648212</v>
      </c>
      <c r="DG115" s="21">
        <f>EXP(-LN(2)/25)*DG114+(1-EXP(-LN(2)/25))/(LN(2)/25)*Calculateur!DB115*Calculateur!DD115*VLOOKUP('Données projet'!$B$13,Paramètres!$A$1:$I$89,3,0)*0.475*44/12</f>
        <v>26.918240272216114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38.570403617864329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2.2737367544323206E-13</v>
      </c>
      <c r="DP115" s="17">
        <f>DO115*VLOOKUP('Données projet'!$B$14,Paramètres!$A$1:$I$89,3,0)*VLOOKUP('Données projet'!$B$14,Paramètres!$A$1:$I$89,5,0)</f>
        <v>1.4897523215040565E-13</v>
      </c>
      <c r="DQ115" s="13">
        <f t="shared" si="97"/>
        <v>2.136562777003313E-12</v>
      </c>
      <c r="DR115" s="20">
        <f t="shared" si="70"/>
        <v>3.9806453659427267E-12</v>
      </c>
      <c r="DS115" s="59">
        <f t="shared" si="71"/>
        <v>293.33333333333729</v>
      </c>
      <c r="DT115" s="59">
        <f ca="1">AVERAGE(OFFSET($DS$3,0,0,'Données projet'!$E$14+1,1))-AVERAGE(OFFSET($H$3,0,0,'Données projet'!$E$14+1,1))</f>
        <v>181.4272795535777</v>
      </c>
      <c r="DU115" s="59">
        <f t="shared" si="98"/>
        <v>187.67131775419904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10.934762117230884</v>
      </c>
      <c r="EB115" s="21">
        <f>EXP(-LN(2)/25)*EB114+(1-EXP(-LN(2)/25))/(LN(2)/25)*Calculateur!DW115*Calculateur!DY115*VLOOKUP('Données projet'!$B$14,Paramètres!$A$1:$I$89,3,0)*0.475*44/12</f>
        <v>9.8037560570174271</v>
      </c>
      <c r="EC115" s="21">
        <f>EXP(-LN(2)/2)*EC114+(1-EXP(-LN(2)/2))/(LN(2)/2)*DW115*DZ115*VLOOKUP('Données projet'!$B$14,Paramètres!$A$1:$I$89,3,0)*0.475*44/12</f>
        <v>1.2251918772897677E-2</v>
      </c>
      <c r="ED115" s="22">
        <f t="shared" si="72"/>
        <v>20.75077009302121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1.1368683772161603E-13</v>
      </c>
      <c r="EK115" s="17">
        <f>EJ115*VLOOKUP('Données projet'!$B$15,Paramètres!$A$1:$I$89,3,0)*VLOOKUP('Données projet'!$B$15,Paramètres!$A$1:$I$89,5,0)</f>
        <v>9.2222762759774927E-14</v>
      </c>
      <c r="EL115" s="13">
        <f t="shared" si="99"/>
        <v>1.3985662224947967E-12</v>
      </c>
      <c r="EM115" s="20">
        <f t="shared" si="73"/>
        <v>2.5964574826517121E-12</v>
      </c>
      <c r="EN115" s="59">
        <f t="shared" si="74"/>
        <v>293.33333333333593</v>
      </c>
      <c r="EO115" s="59">
        <f ca="1">AVERAGE(OFFSET($EN$3,0,0,'Données projet'!$E$15+1,1))-AVERAGE(OFFSET($H$3,0,0,'Données projet'!$E$15+1,1))</f>
        <v>159.68591355116837</v>
      </c>
      <c r="EP115" s="59">
        <f t="shared" si="100"/>
        <v>284.32631786390112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3.5043640456872867</v>
      </c>
      <c r="EW115" s="21">
        <f>EXP(-LN(2)/25)*EW114+(1-EXP(-LN(2)/25))/(LN(2)/25)*Calculateur!ER115*Calculateur!ET115*VLOOKUP('Données projet'!$B$15,Paramètres!$A$1:$I$89,3,0)*0.475*44/12</f>
        <v>2.6244682754177608</v>
      </c>
      <c r="EX115" s="21">
        <f>EXP(-LN(2)/2)*EX114+(1-EXP(-LN(2)/2))/(LN(2)/2)*ER115*EU115*VLOOKUP('Données projet'!$B$15,Paramètres!$A$1:$I$89,3,0)*0.475*44/12</f>
        <v>4.246556548578643E-10</v>
      </c>
      <c r="EY115" s="22">
        <f t="shared" si="75"/>
        <v>6.1288323215297034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-1.3567387213697657E-13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299.10536994156814</v>
      </c>
      <c r="FK115" s="59">
        <f t="shared" si="102"/>
        <v>292.57799203101769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21.554968982700924</v>
      </c>
      <c r="FR115" s="21">
        <f>EXP(-LN(2)/25)*FR114+(1-EXP(-LN(2)/25))/(LN(2)/25)*Calculateur!FM115*Calculateur!FO115*VLOOKUP('Données projet'!$B$16,Paramètres!$A$1:$I$89,3,0)*0.475*44/12</f>
        <v>17.444511562309607</v>
      </c>
      <c r="FS115" s="21">
        <f>EXP(-LN(2)/2)*FS114+(1-EXP(-LN(2)/2))/(LN(2)/2)*FM115*FP115*VLOOKUP('Données projet'!$B$16,Paramètres!$A$1:$I$89,3,0)*0.475*44/12</f>
        <v>7.9315089089149323E-4</v>
      </c>
      <c r="FT115" s="22">
        <f t="shared" si="78"/>
        <v>39.00027369590142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5.6843418860808015E-14</v>
      </c>
      <c r="GA115" s="17">
        <f>FZ115*VLOOKUP('Données projet'!$B$17,Paramètres!$A$1:$I$89,3,0)*VLOOKUP('Données projet'!$B$17,Paramètres!$A$1:$I$89,5,0)</f>
        <v>5.1431925385259088E-14</v>
      </c>
      <c r="GB115" s="13">
        <f t="shared" si="103"/>
        <v>8.3482866290946129E-13</v>
      </c>
      <c r="GC115" s="20">
        <f t="shared" si="79"/>
        <v>1.5435705246133045E-12</v>
      </c>
      <c r="GD115" s="59">
        <f t="shared" si="80"/>
        <v>293.33333333333485</v>
      </c>
      <c r="GE115" s="59">
        <f ca="1">AVERAGE(OFFSET($GD$3,0,0,'Données projet'!$E$17+1,1))-AVERAGE(OFFSET($H$3,0,0,'Données projet'!$E$17+1,1))</f>
        <v>204.78565758021779</v>
      </c>
      <c r="GF115" s="59">
        <f t="shared" si="104"/>
        <v>287.25131613242439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4.1411886087023788</v>
      </c>
      <c r="GM115" s="21">
        <f>EXP(-LN(2)/25)*GM114+(1-EXP(-LN(2)/25))/(LN(2)/25)*Calculateur!GH115*Calculateur!GJ115*VLOOKUP('Données projet'!$B$17,Paramètres!$A$1:$I$89,3,0)*0.475*44/12</f>
        <v>2.0623985317550177</v>
      </c>
      <c r="GN115" s="21">
        <f>EXP(-LN(2)/2)*GN114+(1-EXP(-LN(2)/2))/(LN(2)/2)*GH115*GK115*VLOOKUP('Données projet'!$B$17,Paramètres!$A$1:$I$89,3,0)*0.475*44/12</f>
        <v>1.1352146125742414E-9</v>
      </c>
      <c r="GO115" s="21">
        <f t="shared" si="81"/>
        <v>6.2035871415926112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5.6843418860808015E-14</v>
      </c>
      <c r="GV115" s="17">
        <f>GU115*VLOOKUP('Données projet'!$B$18,Paramètres!$A$1:$I$89,3,0)*VLOOKUP('Données projet'!$B$18,Paramètres!$A$1:$I$89,5,0)</f>
        <v>4.4337866711430253E-14</v>
      </c>
      <c r="GW115" s="13">
        <f t="shared" si="105"/>
        <v>7.3222115536967035E-13</v>
      </c>
      <c r="GX115" s="20">
        <f t="shared" si="82"/>
        <v>1.3525069634579169E-12</v>
      </c>
      <c r="GY115" s="59">
        <f t="shared" si="83"/>
        <v>293.33333333333468</v>
      </c>
      <c r="GZ115" s="59">
        <f ca="1">AVERAGE(OFFSET($GY$3,0,0,'Données projet'!$E$18+1,1))-AVERAGE(OFFSET($H$3,0,0,'Données projet'!$E$18+1,1))</f>
        <v>288.82868507674738</v>
      </c>
      <c r="HA115" s="59">
        <f t="shared" si="106"/>
        <v>283.48738729114024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18.34920542736835</v>
      </c>
      <c r="HH115" s="21">
        <f>EXP(-LN(2)/25)*HH114+(1-EXP(-LN(2)/25))/(LN(2)/25)*Calculateur!HC115*Calculateur!HE115*VLOOKUP('Données projet'!$B$18,Paramètres!$A$1:$I$89,3,0)*0.475*44/12</f>
        <v>12.850790329317505</v>
      </c>
      <c r="HI115" s="21">
        <f>EXP(-LN(2)/2)*HI114+(1-EXP(-LN(2)/2))/(LN(2)/2)*HC115*HF115*VLOOKUP('Données projet'!$B$18,Paramètres!$A$1:$I$89,3,0)*0.475*44/12</f>
        <v>2.0485398725964292E-5</v>
      </c>
      <c r="HJ115" s="22">
        <f t="shared" si="84"/>
        <v>31.20001624208458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349.71285006949597</v>
      </c>
      <c r="T116" s="59">
        <f t="shared" si="88"/>
        <v>258.51550516456842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79.729989675200471</v>
      </c>
      <c r="AA116" s="21">
        <f>EXP(-LN(2)/25)*AA115+(1-EXP(-LN(2)/25))/(LN(2)/25)*Calculateur!V116*Calculateur!X116*VLOOKUP('Données projet'!$B$9,Paramètres!$A$1:$I$89,3,0)*0.475*44/12</f>
        <v>20.725429183731439</v>
      </c>
      <c r="AB116" s="21">
        <f>EXP(-LN(2)/2)*AB115+(1-EXP(-LN(2)/2))/(LN(2)/2)*V116*Y116*VLOOKUP('Données projet'!$B$9,Paramètres!$A$1:$I$89,3,0)*0.475*44/12</f>
        <v>7.6300380962343638E-4</v>
      </c>
      <c r="AC116" s="22">
        <f t="shared" si="57"/>
        <v>100.45618186274153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391.18</v>
      </c>
      <c r="AG116" s="12">
        <f>VLOOKUP(A116,'Données projet'!$A$61:$I$81,9,0)</f>
        <v>8.7540000000000013</v>
      </c>
      <c r="AH116" s="12">
        <f t="array" ref="AH116">INDEX(AG:AG,MIN(IF(ISNUMBER(AG116:AG312),ROW(AG116:AG312),"")))</f>
        <v>8.7540000000000013</v>
      </c>
      <c r="AI116" s="13">
        <f>IF('Données projet'!$A$62&gt;35,AI115+AH116-AQ115,IF(A116&lt;'Données projet'!$A$62,$AF$205^A116,IF(A116='Données projet'!$A$62,'Données projet'!$B$62,AI115+AH116-AQ115)))</f>
        <v>391.18000000000029</v>
      </c>
      <c r="AJ116" s="13">
        <f>AI116*VLOOKUP('Données projet'!$B$10,Paramètres!$A$1:$I$89,3,0)*VLOOKUP('Données projet'!$B$10,Paramètres!$A$1:$I$89,5,0)</f>
        <v>372.2468880000003</v>
      </c>
      <c r="AK116" s="13">
        <f t="shared" si="89"/>
        <v>86.126818217596863</v>
      </c>
      <c r="AL116" s="20">
        <f t="shared" si="58"/>
        <v>798.33420499564829</v>
      </c>
      <c r="AM116" s="59">
        <f t="shared" si="59"/>
        <v>1091.6675383289817</v>
      </c>
      <c r="AN116" s="59">
        <f ca="1">AVERAGE(OFFSET($AM$3,0,0,'Données projet'!$E$10+1,1))-AVERAGE(OFFSET($H$3,0,0,'Données projet'!$E$10+1,1))</f>
        <v>449.28947235329758</v>
      </c>
      <c r="AO116" s="59">
        <f t="shared" si="90"/>
        <v>289.36994109443964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68.670000000000016</v>
      </c>
      <c r="AR116" s="16">
        <f>IF(ISNA(VLOOKUP(A116,'Données projet'!$A$61:$I$81,5,0)),0%,VLOOKUP(A116,'Données projet'!$A$61:$I$81,5,0)*VLOOKUP('Données projet'!$B$10,Paramètres!$A$1:$I$89,7,0))</f>
        <v>0.215</v>
      </c>
      <c r="AS116" s="16">
        <f>IF(ISNA(VLOOKUP(A116,'Données projet'!$A$61:$I$81,6,0)),0%,VLOOKUP(A116,'Données projet'!$A$61:$I$81,6,0)*VLOOKUP('Données projet'!$B$10,Paramètres!$A$1:$I$89,7,0))</f>
        <v>8.6000000000000007E-2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53.066477256577429</v>
      </c>
      <c r="AV116" s="21">
        <f>EXP(-LN(2)/25)*AV115+(1-EXP(-LN(2)/25))/(LN(2)/25)*Calculateur!AQ116*Calculateur!AS116*VLOOKUP('Données projet'!$B$10,Paramètres!$A$1:$I$89,3,0)*0.475*44/12</f>
        <v>25.791681996552835</v>
      </c>
      <c r="AW116" s="21">
        <f>EXP(-LN(2)/2)*AW115+(1-EXP(-LN(2)/2))/(LN(2)/2)*AQ116*AT116*VLOOKUP('Données projet'!$B$10,Paramètres!$A$1:$I$89,3,0)*0.475*44/12</f>
        <v>1.448872588936218E-4</v>
      </c>
      <c r="AX116" s="21">
        <f t="shared" si="60"/>
        <v>78.858304140389166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376.13893200000064</v>
      </c>
      <c r="BF116" s="13">
        <f t="shared" si="91"/>
        <v>86.922020183945492</v>
      </c>
      <c r="BG116" s="20">
        <f t="shared" si="61"/>
        <v>806.49782505370615</v>
      </c>
      <c r="BH116" s="59">
        <f t="shared" si="62"/>
        <v>1099.8311583870395</v>
      </c>
      <c r="BI116" s="59">
        <f ca="1">AVERAGE(OFFSET($BH$3,0,0,'Données projet'!$E$11+1,1))-AVERAGE(OFFSET($H$3,0,0,'Données projet'!$E$11+1,1))</f>
        <v>635.71275911100679</v>
      </c>
      <c r="BJ116" s="59">
        <f t="shared" si="92"/>
        <v>281.7776857269169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27.692345089845542</v>
      </c>
      <c r="BQ116" s="21">
        <f>EXP(-LN(2)/25)*BQ115+(1-EXP(-LN(2)/25))/(LN(2)/25)*Calculateur!BL116*Calculateur!BN116*VLOOKUP('Données projet'!$B$11,Paramètres!$A$1:$I$89,3,0)*0.475*44/12</f>
        <v>21.056435771050243</v>
      </c>
      <c r="BR116" s="21">
        <f>EXP(-LN(2)/2)*BR115+(1-EXP(-LN(2)/2))/(LN(2)/2)*BL116*BO116*VLOOKUP('Données projet'!$B$11,Paramètres!$A$1:$I$89,3,0)*0.475*44/12</f>
        <v>0.25754178653251392</v>
      </c>
      <c r="BS116" s="22">
        <f t="shared" si="63"/>
        <v>49.006322647428298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293.89999999999998</v>
      </c>
      <c r="BW116" s="12">
        <f>VLOOKUP(A116,'Données projet'!$A$113:$I$133,9,0)</f>
        <v>6.8811111111111085</v>
      </c>
      <c r="BX116" s="12">
        <f t="array" ref="BX116">INDEX(BW:BW,MIN(IF(ISNUMBER(BW116:BW312),ROW(BW116:BW312),"")))</f>
        <v>6.8811111111111085</v>
      </c>
      <c r="BY116" s="12">
        <f>IF('Données projet'!$A$114&gt;35,BY115+BX116-CG115,IF(A116&lt;'Données projet'!$A$114,$BV$205^A116,IF(A116='Données projet'!$A$114,'Données projet'!$B$114,BY115+BX116-CG115)))</f>
        <v>293.89999999999986</v>
      </c>
      <c r="BZ116" s="13">
        <f>BY116*VLOOKUP('Données projet'!$B$12,Paramètres!$A$1:$I$89,3,0)*VLOOKUP('Données projet'!$B$12,Paramètres!$A$1:$I$89,5,0)</f>
        <v>334.69331999999986</v>
      </c>
      <c r="CA116" s="13">
        <f t="shared" si="93"/>
        <v>78.402550961752141</v>
      </c>
      <c r="CB116" s="20">
        <f t="shared" si="64"/>
        <v>719.47530859171786</v>
      </c>
      <c r="CC116" s="59">
        <f t="shared" si="65"/>
        <v>1012.8086419250512</v>
      </c>
      <c r="CD116" s="59">
        <f ca="1">AVERAGE(OFFSET($CC$3,0,0,'Données projet'!$E$12+1,1))-AVERAGE(OFFSET($H$3,0,0,'Données projet'!$E$12+1,1))</f>
        <v>593.28343396240075</v>
      </c>
      <c r="CE116" s="59">
        <f t="shared" si="94"/>
        <v>289.66477662068695</v>
      </c>
      <c r="CF116" s="15">
        <f>IF(ISNA(VLOOKUP(A116,'Données projet'!$A$113:$I$133,3,0)),0,VLOOKUP(A116,'Données projet'!$A$113:$I$133,3,0))</f>
        <v>7</v>
      </c>
      <c r="CG116" s="15">
        <f>IF(ISNA(VLOOKUP(A116,'Données projet'!$A$113:$I$133,4,0)),0,VLOOKUP(A116,'Données projet'!$A$113:$I$133,4,0))</f>
        <v>41.639999999999986</v>
      </c>
      <c r="CH116" s="16">
        <f>IF(ISNA(VLOOKUP(A116,'Données projet'!$A$113:$I$133,5,0)),0%,VLOOKUP(A116,'Données projet'!$A$113:$I$133,5,0)*VLOOKUP('Données projet'!$B$12,Paramètres!$A$1:$I$89,7,0))</f>
        <v>0.15049999999999999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0.1</v>
      </c>
      <c r="CK116" s="21">
        <f>EXP(-LN(2)/35)*CK115+(1-EXP(-LN(2)/35))/(LN(2)/35)*CG116*CH116*VLOOKUP('Données projet'!$B$12,Paramètres!$A$1:$I$89,3,0)*0.475*44/12</f>
        <v>23.900347105440822</v>
      </c>
      <c r="CL116" s="21">
        <f>EXP(-LN(2)/25)*CL115+(1-EXP(-LN(2)/25))/(LN(2)/25)*Calculateur!CG116*Calculateur!CI116*VLOOKUP('Données projet'!$B$12,Paramètres!$A$1:$I$89,3,0)*0.475*44/12</f>
        <v>30.484532706497571</v>
      </c>
      <c r="CM116" s="21">
        <f>EXP(-LN(2)/2)*CM115+(1-EXP(-LN(2)/2))/(LN(2)/2)*CG116*CJ116*VLOOKUP('Données projet'!$B$12,Paramètres!$A$1:$I$89,3,0)*0.475*44/12</f>
        <v>4.6704997213006356</v>
      </c>
      <c r="CN116" s="22">
        <f t="shared" si="66"/>
        <v>59.055379533239027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2.2737367544323206E-13</v>
      </c>
      <c r="CU116" s="17">
        <f>CT116*VLOOKUP('Données projet'!$B$13,Paramètres!$A$1:$I$89,3,0)*VLOOKUP('Données projet'!$B$13,Paramètres!$A$1:$I$89,5,0)</f>
        <v>2.3765096557326618E-13</v>
      </c>
      <c r="CV116" s="13">
        <f t="shared" si="95"/>
        <v>3.2279907425805489E-12</v>
      </c>
      <c r="CW116" s="20">
        <f t="shared" si="67"/>
        <v>6.0359926417012276E-12</v>
      </c>
      <c r="CX116" s="59">
        <f t="shared" si="68"/>
        <v>293.33333333333934</v>
      </c>
      <c r="CY116" s="59">
        <f ca="1">AVERAGE(OFFSET($CX$3,0,0,'Données projet'!$E$13+1,1))-AVERAGE(OFFSET($H$3,0,0,'Données projet'!$E$13+1,1))</f>
        <v>260.65406541614402</v>
      </c>
      <c r="CZ116" s="59">
        <f t="shared" si="96"/>
        <v>277.63456890196886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11.423671529557922</v>
      </c>
      <c r="DG116" s="21">
        <f>EXP(-LN(2)/25)*DG115+(1-EXP(-LN(2)/25))/(LN(2)/25)*Calculateur!DB116*Calculateur!DD116*VLOOKUP('Données projet'!$B$13,Paramètres!$A$1:$I$89,3,0)*0.475*44/12</f>
        <v>26.182159576403631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37.605831105961556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2.2737367544323206E-13</v>
      </c>
      <c r="DP116" s="17">
        <f>DO116*VLOOKUP('Données projet'!$B$14,Paramètres!$A$1:$I$89,3,0)*VLOOKUP('Données projet'!$B$14,Paramètres!$A$1:$I$89,5,0)</f>
        <v>1.4897523215040565E-13</v>
      </c>
      <c r="DQ116" s="13">
        <f t="shared" si="97"/>
        <v>2.136562777003313E-12</v>
      </c>
      <c r="DR116" s="20">
        <f t="shared" si="70"/>
        <v>3.9806453659427267E-12</v>
      </c>
      <c r="DS116" s="59">
        <f t="shared" si="71"/>
        <v>293.33333333333729</v>
      </c>
      <c r="DT116" s="59">
        <f ca="1">AVERAGE(OFFSET($DS$3,0,0,'Données projet'!$E$14+1,1))-AVERAGE(OFFSET($H$3,0,0,'Données projet'!$E$14+1,1))</f>
        <v>181.4272795535777</v>
      </c>
      <c r="DU116" s="59">
        <f t="shared" si="98"/>
        <v>187.67131775419904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10.720338101658315</v>
      </c>
      <c r="EB116" s="21">
        <f>EXP(-LN(2)/25)*EB115+(1-EXP(-LN(2)/25))/(LN(2)/25)*Calculateur!DW116*Calculateur!DY116*VLOOKUP('Données projet'!$B$14,Paramètres!$A$1:$I$89,3,0)*0.475*44/12</f>
        <v>9.535671832081162</v>
      </c>
      <c r="EC116" s="21">
        <f>EXP(-LN(2)/2)*EC115+(1-EXP(-LN(2)/2))/(LN(2)/2)*DW116*DZ116*VLOOKUP('Données projet'!$B$14,Paramètres!$A$1:$I$89,3,0)*0.475*44/12</f>
        <v>8.6634148468627114E-3</v>
      </c>
      <c r="ED116" s="22">
        <f t="shared" si="72"/>
        <v>20.264673348586339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1.1368683772161603E-13</v>
      </c>
      <c r="EK116" s="17">
        <f>EJ116*VLOOKUP('Données projet'!$B$15,Paramètres!$A$1:$I$89,3,0)*VLOOKUP('Données projet'!$B$15,Paramètres!$A$1:$I$89,5,0)</f>
        <v>9.2222762759774927E-14</v>
      </c>
      <c r="EL116" s="13">
        <f t="shared" si="99"/>
        <v>1.3985662224947967E-12</v>
      </c>
      <c r="EM116" s="20">
        <f t="shared" si="73"/>
        <v>2.5964574826517121E-12</v>
      </c>
      <c r="EN116" s="59">
        <f t="shared" si="74"/>
        <v>293.33333333333593</v>
      </c>
      <c r="EO116" s="59">
        <f ca="1">AVERAGE(OFFSET($EN$3,0,0,'Données projet'!$E$15+1,1))-AVERAGE(OFFSET($H$3,0,0,'Données projet'!$E$15+1,1))</f>
        <v>159.68591355116837</v>
      </c>
      <c r="EP116" s="59">
        <f t="shared" si="100"/>
        <v>284.32631786390112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3.4356456042023709</v>
      </c>
      <c r="EW116" s="21">
        <f>EXP(-LN(2)/25)*EW115+(1-EXP(-LN(2)/25))/(LN(2)/25)*Calculateur!ER116*Calculateur!ET116*VLOOKUP('Données projet'!$B$15,Paramètres!$A$1:$I$89,3,0)*0.475*44/12</f>
        <v>2.5527020524116737</v>
      </c>
      <c r="EX116" s="21">
        <f>EXP(-LN(2)/2)*EX115+(1-EXP(-LN(2)/2))/(LN(2)/2)*ER116*EU116*VLOOKUP('Données projet'!$B$15,Paramètres!$A$1:$I$89,3,0)*0.475*44/12</f>
        <v>3.002768932192099E-10</v>
      </c>
      <c r="EY116" s="22">
        <f t="shared" si="75"/>
        <v>5.9883476569143212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-1.3567387213697657E-13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299.10536994156814</v>
      </c>
      <c r="FK116" s="59">
        <f t="shared" si="102"/>
        <v>292.57799203101769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21.132289188183055</v>
      </c>
      <c r="FR116" s="21">
        <f>EXP(-LN(2)/25)*FR115+(1-EXP(-LN(2)/25))/(LN(2)/25)*Calculateur!FM116*Calculateur!FO116*VLOOKUP('Données projet'!$B$16,Paramètres!$A$1:$I$89,3,0)*0.475*44/12</f>
        <v>16.967490476271259</v>
      </c>
      <c r="FS116" s="21">
        <f>EXP(-LN(2)/2)*FS115+(1-EXP(-LN(2)/2))/(LN(2)/2)*FM116*FP116*VLOOKUP('Données projet'!$B$16,Paramètres!$A$1:$I$89,3,0)*0.475*44/12</f>
        <v>5.6084237345352633E-4</v>
      </c>
      <c r="FT116" s="22">
        <f t="shared" si="78"/>
        <v>38.10034050682777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5.6843418860808015E-14</v>
      </c>
      <c r="GA116" s="17">
        <f>FZ116*VLOOKUP('Données projet'!$B$17,Paramètres!$A$1:$I$89,3,0)*VLOOKUP('Données projet'!$B$17,Paramètres!$A$1:$I$89,5,0)</f>
        <v>5.1431925385259088E-14</v>
      </c>
      <c r="GB116" s="13">
        <f t="shared" si="103"/>
        <v>8.3482866290946129E-13</v>
      </c>
      <c r="GC116" s="20">
        <f t="shared" si="79"/>
        <v>1.5435705246133045E-12</v>
      </c>
      <c r="GD116" s="59">
        <f t="shared" si="80"/>
        <v>293.33333333333485</v>
      </c>
      <c r="GE116" s="59">
        <f ca="1">AVERAGE(OFFSET($GD$3,0,0,'Données projet'!$E$17+1,1))-AVERAGE(OFFSET($H$3,0,0,'Données projet'!$E$17+1,1))</f>
        <v>204.78565758021779</v>
      </c>
      <c r="GF116" s="59">
        <f t="shared" si="104"/>
        <v>287.25131613242439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4.0599824259613673</v>
      </c>
      <c r="GM116" s="21">
        <f>EXP(-LN(2)/25)*GM115+(1-EXP(-LN(2)/25))/(LN(2)/25)*Calculateur!GH116*Calculateur!GJ116*VLOOKUP('Données projet'!$B$17,Paramètres!$A$1:$I$89,3,0)*0.475*44/12</f>
        <v>2.0060021354473516</v>
      </c>
      <c r="GN116" s="21">
        <f>EXP(-LN(2)/2)*GN115+(1-EXP(-LN(2)/2))/(LN(2)/2)*GH116*GK116*VLOOKUP('Données projet'!$B$17,Paramètres!$A$1:$I$89,3,0)*0.475*44/12</f>
        <v>8.0271795065330545E-10</v>
      </c>
      <c r="GO116" s="21">
        <f t="shared" si="81"/>
        <v>6.0659845622114368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5.6843418860808015E-14</v>
      </c>
      <c r="GV116" s="17">
        <f>GU116*VLOOKUP('Données projet'!$B$18,Paramètres!$A$1:$I$89,3,0)*VLOOKUP('Données projet'!$B$18,Paramètres!$A$1:$I$89,5,0)</f>
        <v>4.4337866711430253E-14</v>
      </c>
      <c r="GW116" s="13">
        <f t="shared" si="105"/>
        <v>7.3222115536967035E-13</v>
      </c>
      <c r="GX116" s="20">
        <f t="shared" si="82"/>
        <v>1.3525069634579169E-12</v>
      </c>
      <c r="GY116" s="59">
        <f t="shared" si="83"/>
        <v>293.33333333333468</v>
      </c>
      <c r="GZ116" s="59">
        <f ca="1">AVERAGE(OFFSET($GY$3,0,0,'Données projet'!$E$18+1,1))-AVERAGE(OFFSET($H$3,0,0,'Données projet'!$E$18+1,1))</f>
        <v>288.82868507674738</v>
      </c>
      <c r="HA116" s="59">
        <f t="shared" si="106"/>
        <v>283.48738729114024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17.989388700847858</v>
      </c>
      <c r="HH116" s="21">
        <f>EXP(-LN(2)/25)*HH115+(1-EXP(-LN(2)/25))/(LN(2)/25)*Calculateur!HC116*Calculateur!HE116*VLOOKUP('Données projet'!$B$18,Paramètres!$A$1:$I$89,3,0)*0.475*44/12</f>
        <v>12.499384791968625</v>
      </c>
      <c r="HI116" s="21">
        <f>EXP(-LN(2)/2)*HI115+(1-EXP(-LN(2)/2))/(LN(2)/2)*HC116*HF116*VLOOKUP('Données projet'!$B$18,Paramètres!$A$1:$I$89,3,0)*0.475*44/12</f>
        <v>1.4485364354439612E-5</v>
      </c>
      <c r="HJ116" s="22">
        <f t="shared" si="84"/>
        <v>30.488787978180838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349.71285006949597</v>
      </c>
      <c r="T117" s="59">
        <f t="shared" si="88"/>
        <v>258.51550516456842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78.166533208161624</v>
      </c>
      <c r="AA117" s="21">
        <f>EXP(-LN(2)/25)*AA116+(1-EXP(-LN(2)/25))/(LN(2)/25)*Calculateur!V117*Calculateur!X117*VLOOKUP('Données projet'!$B$9,Paramètres!$A$1:$I$89,3,0)*0.475*44/12</f>
        <v>20.158691232799352</v>
      </c>
      <c r="AB117" s="21">
        <f>EXP(-LN(2)/2)*AB116+(1-EXP(-LN(2)/2))/(LN(2)/2)*V117*Y117*VLOOKUP('Données projet'!$B$9,Paramètres!$A$1:$I$89,3,0)*0.475*44/12</f>
        <v>5.3952516785590139E-4</v>
      </c>
      <c r="AC117" s="22">
        <f t="shared" si="57"/>
        <v>98.325763966128832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8.7019999999999982</v>
      </c>
      <c r="AI117" s="13">
        <f>IF('Données projet'!$A$62&gt;35,AI116+AH117-AQ116,IF(A117&lt;'Données projet'!$A$62,$AF$205^A117,IF(A117='Données projet'!$A$62,'Données projet'!$B$62,AI116+AH117-AQ116)))</f>
        <v>331.21200000000027</v>
      </c>
      <c r="AJ117" s="13">
        <f>AI117*VLOOKUP('Données projet'!$B$10,Paramètres!$A$1:$I$89,3,0)*VLOOKUP('Données projet'!$B$10,Paramètres!$A$1:$I$89,5,0)</f>
        <v>315.18133920000031</v>
      </c>
      <c r="AK117" s="13">
        <f t="shared" si="89"/>
        <v>74.349853920870757</v>
      </c>
      <c r="AL117" s="20">
        <f t="shared" si="58"/>
        <v>678.43349468551708</v>
      </c>
      <c r="AM117" s="59">
        <f t="shared" si="59"/>
        <v>971.76682801885045</v>
      </c>
      <c r="AN117" s="59">
        <f ca="1">AVERAGE(OFFSET($AM$3,0,0,'Données projet'!$E$10+1,1))-AVERAGE(OFFSET($H$3,0,0,'Données projet'!$E$10+1,1))</f>
        <v>449.28947235329758</v>
      </c>
      <c r="AO117" s="59">
        <f t="shared" si="90"/>
        <v>289.36994109443964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52.025876004931064</v>
      </c>
      <c r="AV117" s="21">
        <f>EXP(-LN(2)/25)*AV116+(1-EXP(-LN(2)/25))/(LN(2)/25)*Calculateur!AQ117*Calculateur!AS117*VLOOKUP('Données projet'!$B$10,Paramètres!$A$1:$I$89,3,0)*0.475*44/12</f>
        <v>25.08640709603149</v>
      </c>
      <c r="AW117" s="21">
        <f>EXP(-LN(2)/2)*AW116+(1-EXP(-LN(2)/2))/(LN(2)/2)*AQ117*AT117*VLOOKUP('Données projet'!$B$10,Paramètres!$A$1:$I$89,3,0)*0.475*44/12</f>
        <v>1.0245076327121089E-4</v>
      </c>
      <c r="AX117" s="21">
        <f t="shared" si="60"/>
        <v>77.112385551725822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384.14188800000068</v>
      </c>
      <c r="BF117" s="13">
        <f t="shared" si="91"/>
        <v>88.554146462646884</v>
      </c>
      <c r="BG117" s="20">
        <f t="shared" si="61"/>
        <v>823.27892668911102</v>
      </c>
      <c r="BH117" s="59">
        <f t="shared" si="62"/>
        <v>1116.6122600224444</v>
      </c>
      <c r="BI117" s="59">
        <f ca="1">AVERAGE(OFFSET($BH$3,0,0,'Données projet'!$E$11+1,1))-AVERAGE(OFFSET($H$3,0,0,'Données projet'!$E$11+1,1))</f>
        <v>635.71275911100679</v>
      </c>
      <c r="BJ117" s="59">
        <f t="shared" si="92"/>
        <v>281.7776857269169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36.461382647651561</v>
      </c>
      <c r="BQ117" s="21">
        <f>EXP(-LN(2)/25)*BQ116+(1-EXP(-LN(2)/25))/(LN(2)/25)*Calculateur!BL117*Calculateur!BN117*VLOOKUP('Données projet'!$B$11,Paramètres!$A$1:$I$89,3,0)*0.475*44/12</f>
        <v>25.780876368276925</v>
      </c>
      <c r="BR117" s="21">
        <f>EXP(-LN(2)/2)*BR116+(1-EXP(-LN(2)/2))/(LN(2)/2)*BL117*BO117*VLOOKUP('Données projet'!$B$11,Paramètres!$A$1:$I$89,3,0)*0.475*44/12</f>
        <v>5.4631172440400739</v>
      </c>
      <c r="BS117" s="22">
        <f t="shared" si="63"/>
        <v>67.70537625996856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7.0011111111111104</v>
      </c>
      <c r="BY117" s="12">
        <f>IF('Données projet'!$A$114&gt;35,BY116+BX117-CG116,IF(A117&lt;'Données projet'!$A$114,$BV$205^A117,IF(A117='Données projet'!$A$114,'Données projet'!$B$114,BY116+BX117-CG116)))</f>
        <v>259.26111111111101</v>
      </c>
      <c r="BZ117" s="13">
        <f>BY117*VLOOKUP('Données projet'!$B$12,Paramètres!$A$1:$I$89,3,0)*VLOOKUP('Données projet'!$B$12,Paramètres!$A$1:$I$89,5,0)</f>
        <v>295.24655333333322</v>
      </c>
      <c r="CA117" s="13">
        <f t="shared" si="93"/>
        <v>70.179034062439342</v>
      </c>
      <c r="CB117" s="20">
        <f t="shared" si="64"/>
        <v>636.44956471430385</v>
      </c>
      <c r="CC117" s="59">
        <f t="shared" si="65"/>
        <v>929.78289804763722</v>
      </c>
      <c r="CD117" s="59">
        <f ca="1">AVERAGE(OFFSET($CC$3,0,0,'Données projet'!$E$12+1,1))-AVERAGE(OFFSET($H$3,0,0,'Données projet'!$E$12+1,1))</f>
        <v>593.28343396240075</v>
      </c>
      <c r="CE117" s="59">
        <f t="shared" si="94"/>
        <v>289.66477662068695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23.431675876475428</v>
      </c>
      <c r="CL117" s="21">
        <f>EXP(-LN(2)/25)*CL116+(1-EXP(-LN(2)/25))/(LN(2)/25)*Calculateur!CG117*Calculateur!CI117*VLOOKUP('Données projet'!$B$12,Paramètres!$A$1:$I$89,3,0)*0.475*44/12</f>
        <v>29.650931556526494</v>
      </c>
      <c r="CM117" s="21">
        <f>EXP(-LN(2)/2)*CM116+(1-EXP(-LN(2)/2))/(LN(2)/2)*CG117*CJ117*VLOOKUP('Données projet'!$B$12,Paramètres!$A$1:$I$89,3,0)*0.475*44/12</f>
        <v>3.3025420244615598</v>
      </c>
      <c r="CN117" s="22">
        <f t="shared" si="66"/>
        <v>56.385149457463484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2.2737367544323206E-13</v>
      </c>
      <c r="CU117" s="17">
        <f>CT117*VLOOKUP('Données projet'!$B$13,Paramètres!$A$1:$I$89,3,0)*VLOOKUP('Données projet'!$B$13,Paramètres!$A$1:$I$89,5,0)</f>
        <v>2.3765096557326618E-13</v>
      </c>
      <c r="CV117" s="13">
        <f t="shared" si="95"/>
        <v>3.2279907425805489E-12</v>
      </c>
      <c r="CW117" s="20">
        <f t="shared" si="67"/>
        <v>6.0359926417012276E-12</v>
      </c>
      <c r="CX117" s="59">
        <f t="shared" si="68"/>
        <v>293.33333333333934</v>
      </c>
      <c r="CY117" s="59">
        <f ca="1">AVERAGE(OFFSET($CX$3,0,0,'Données projet'!$E$13+1,1))-AVERAGE(OFFSET($H$3,0,0,'Données projet'!$E$13+1,1))</f>
        <v>260.65406541614402</v>
      </c>
      <c r="CZ117" s="59">
        <f t="shared" si="96"/>
        <v>277.63456890196886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11.199660298614916</v>
      </c>
      <c r="DG117" s="21">
        <f>EXP(-LN(2)/25)*DG116+(1-EXP(-LN(2)/25))/(LN(2)/25)*Calculateur!DB117*Calculateur!DD117*VLOOKUP('Données projet'!$B$13,Paramètres!$A$1:$I$89,3,0)*0.475*44/12</f>
        <v>25.466207045926943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36.665867344541859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2.2737367544323206E-13</v>
      </c>
      <c r="DP117" s="17">
        <f>DO117*VLOOKUP('Données projet'!$B$14,Paramètres!$A$1:$I$89,3,0)*VLOOKUP('Données projet'!$B$14,Paramètres!$A$1:$I$89,5,0)</f>
        <v>1.4897523215040565E-13</v>
      </c>
      <c r="DQ117" s="13">
        <f t="shared" si="97"/>
        <v>2.136562777003313E-12</v>
      </c>
      <c r="DR117" s="20">
        <f t="shared" si="70"/>
        <v>3.9806453659427267E-12</v>
      </c>
      <c r="DS117" s="59">
        <f t="shared" si="71"/>
        <v>293.33333333333729</v>
      </c>
      <c r="DT117" s="59">
        <f ca="1">AVERAGE(OFFSET($DS$3,0,0,'Données projet'!$E$14+1,1))-AVERAGE(OFFSET($H$3,0,0,'Données projet'!$E$14+1,1))</f>
        <v>181.4272795535777</v>
      </c>
      <c r="DU117" s="59">
        <f t="shared" si="98"/>
        <v>187.67131775419904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10.510118810245389</v>
      </c>
      <c r="EB117" s="21">
        <f>EXP(-LN(2)/25)*EB116+(1-EXP(-LN(2)/25))/(LN(2)/25)*Calculateur!DW117*Calculateur!DY117*VLOOKUP('Données projet'!$B$14,Paramètres!$A$1:$I$89,3,0)*0.475*44/12</f>
        <v>9.2749183843737146</v>
      </c>
      <c r="EC117" s="21">
        <f>EXP(-LN(2)/2)*EC116+(1-EXP(-LN(2)/2))/(LN(2)/2)*DW117*DZ117*VLOOKUP('Données projet'!$B$14,Paramètres!$A$1:$I$89,3,0)*0.475*44/12</f>
        <v>6.1259593864488385E-3</v>
      </c>
      <c r="ED117" s="22">
        <f t="shared" si="72"/>
        <v>19.791163154005552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1.1368683772161603E-13</v>
      </c>
      <c r="EK117" s="17">
        <f>EJ117*VLOOKUP('Données projet'!$B$15,Paramètres!$A$1:$I$89,3,0)*VLOOKUP('Données projet'!$B$15,Paramètres!$A$1:$I$89,5,0)</f>
        <v>9.2222762759774927E-14</v>
      </c>
      <c r="EL117" s="13">
        <f t="shared" si="99"/>
        <v>1.3985662224947967E-12</v>
      </c>
      <c r="EM117" s="20">
        <f t="shared" si="73"/>
        <v>2.5964574826517121E-12</v>
      </c>
      <c r="EN117" s="59">
        <f t="shared" si="74"/>
        <v>293.33333333333593</v>
      </c>
      <c r="EO117" s="59">
        <f ca="1">AVERAGE(OFFSET($EN$3,0,0,'Données projet'!$E$15+1,1))-AVERAGE(OFFSET($H$3,0,0,'Données projet'!$E$15+1,1))</f>
        <v>159.68591355116837</v>
      </c>
      <c r="EP117" s="59">
        <f t="shared" si="100"/>
        <v>284.32631786390112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3.3682746894408639</v>
      </c>
      <c r="EW117" s="21">
        <f>EXP(-LN(2)/25)*EW116+(1-EXP(-LN(2)/25))/(LN(2)/25)*Calculateur!ER117*Calculateur!ET117*VLOOKUP('Données projet'!$B$15,Paramètres!$A$1:$I$89,3,0)*0.475*44/12</f>
        <v>2.48289828054771</v>
      </c>
      <c r="EX117" s="21">
        <f>EXP(-LN(2)/2)*EX116+(1-EXP(-LN(2)/2))/(LN(2)/2)*ER117*EU117*VLOOKUP('Données projet'!$B$15,Paramètres!$A$1:$I$89,3,0)*0.475*44/12</f>
        <v>2.1232782742893215E-10</v>
      </c>
      <c r="EY117" s="22">
        <f t="shared" si="75"/>
        <v>5.8511729702009019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-1.3567387213697657E-13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299.10536994156814</v>
      </c>
      <c r="FK117" s="59">
        <f t="shared" si="102"/>
        <v>292.57799203101769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20.717897886626464</v>
      </c>
      <c r="FR117" s="21">
        <f>EXP(-LN(2)/25)*FR116+(1-EXP(-LN(2)/25))/(LN(2)/25)*Calculateur!FM117*Calculateur!FO117*VLOOKUP('Données projet'!$B$16,Paramètres!$A$1:$I$89,3,0)*0.475*44/12</f>
        <v>16.503513556916076</v>
      </c>
      <c r="FS117" s="21">
        <f>EXP(-LN(2)/2)*FS116+(1-EXP(-LN(2)/2))/(LN(2)/2)*FM117*FP117*VLOOKUP('Données projet'!$B$16,Paramètres!$A$1:$I$89,3,0)*0.475*44/12</f>
        <v>3.9657544544574662E-4</v>
      </c>
      <c r="FT117" s="22">
        <f t="shared" si="78"/>
        <v>37.221808018987979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5.6843418860808015E-14</v>
      </c>
      <c r="GA117" s="17">
        <f>FZ117*VLOOKUP('Données projet'!$B$17,Paramètres!$A$1:$I$89,3,0)*VLOOKUP('Données projet'!$B$17,Paramètres!$A$1:$I$89,5,0)</f>
        <v>5.1431925385259088E-14</v>
      </c>
      <c r="GB117" s="13">
        <f t="shared" si="103"/>
        <v>8.3482866290946129E-13</v>
      </c>
      <c r="GC117" s="20">
        <f t="shared" si="79"/>
        <v>1.5435705246133045E-12</v>
      </c>
      <c r="GD117" s="59">
        <f t="shared" si="80"/>
        <v>293.33333333333485</v>
      </c>
      <c r="GE117" s="59">
        <f ca="1">AVERAGE(OFFSET($GD$3,0,0,'Données projet'!$E$17+1,1))-AVERAGE(OFFSET($H$3,0,0,'Données projet'!$E$17+1,1))</f>
        <v>204.78565758021779</v>
      </c>
      <c r="GF117" s="59">
        <f t="shared" si="104"/>
        <v>287.25131613242439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3.9803686469330262</v>
      </c>
      <c r="GM117" s="21">
        <f>EXP(-LN(2)/25)*GM116+(1-EXP(-LN(2)/25))/(LN(2)/25)*Calculateur!GH117*Calculateur!GJ117*VLOOKUP('Données projet'!$B$17,Paramètres!$A$1:$I$89,3,0)*0.475*44/12</f>
        <v>1.9511479015624762</v>
      </c>
      <c r="GN117" s="21">
        <f>EXP(-LN(2)/2)*GN116+(1-EXP(-LN(2)/2))/(LN(2)/2)*GH117*GK117*VLOOKUP('Données projet'!$B$17,Paramètres!$A$1:$I$89,3,0)*0.475*44/12</f>
        <v>5.676073062871207E-10</v>
      </c>
      <c r="GO117" s="21">
        <f t="shared" si="81"/>
        <v>5.9315165490631099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5.6843418860808015E-14</v>
      </c>
      <c r="GV117" s="17">
        <f>GU117*VLOOKUP('Données projet'!$B$18,Paramètres!$A$1:$I$89,3,0)*VLOOKUP('Données projet'!$B$18,Paramètres!$A$1:$I$89,5,0)</f>
        <v>4.4337866711430253E-14</v>
      </c>
      <c r="GW117" s="13">
        <f t="shared" si="105"/>
        <v>7.3222115536967035E-13</v>
      </c>
      <c r="GX117" s="20">
        <f t="shared" si="82"/>
        <v>1.3525069634579169E-12</v>
      </c>
      <c r="GY117" s="59">
        <f t="shared" si="83"/>
        <v>293.33333333333468</v>
      </c>
      <c r="GZ117" s="59">
        <f ca="1">AVERAGE(OFFSET($GY$3,0,0,'Données projet'!$E$18+1,1))-AVERAGE(OFFSET($H$3,0,0,'Données projet'!$E$18+1,1))</f>
        <v>288.82868507674738</v>
      </c>
      <c r="HA117" s="59">
        <f t="shared" si="106"/>
        <v>283.48738729114024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17.636627760867899</v>
      </c>
      <c r="HH117" s="21">
        <f>EXP(-LN(2)/25)*HH116+(1-EXP(-LN(2)/25))/(LN(2)/25)*Calculateur!HC117*Calculateur!HE117*VLOOKUP('Données projet'!$B$18,Paramètres!$A$1:$I$89,3,0)*0.475*44/12</f>
        <v>12.157588457518164</v>
      </c>
      <c r="HI117" s="21">
        <f>EXP(-LN(2)/2)*HI116+(1-EXP(-LN(2)/2))/(LN(2)/2)*HC117*HF117*VLOOKUP('Données projet'!$B$18,Paramètres!$A$1:$I$89,3,0)*0.475*44/12</f>
        <v>1.0242699362982146E-5</v>
      </c>
      <c r="HJ117" s="22">
        <f t="shared" si="84"/>
        <v>29.794226461085426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349.71285006949597</v>
      </c>
      <c r="T118" s="59">
        <f t="shared" si="88"/>
        <v>258.51550516456842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76.63373516882713</v>
      </c>
      <c r="AA118" s="21">
        <f>EXP(-LN(2)/25)*AA117+(1-EXP(-LN(2)/25))/(LN(2)/25)*Calculateur!V118*Calculateur!X118*VLOOKUP('Données projet'!$B$9,Paramètres!$A$1:$I$89,3,0)*0.475*44/12</f>
        <v>19.607450760938956</v>
      </c>
      <c r="AB118" s="21">
        <f>EXP(-LN(2)/2)*AB117+(1-EXP(-LN(2)/2))/(LN(2)/2)*V118*Y118*VLOOKUP('Données projet'!$B$9,Paramètres!$A$1:$I$89,3,0)*0.475*44/12</f>
        <v>3.8150190481171819E-4</v>
      </c>
      <c r="AC118" s="22">
        <f t="shared" si="57"/>
        <v>96.241567431670902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8.7019999999999982</v>
      </c>
      <c r="AI118" s="13">
        <f>IF('Données projet'!$A$62&gt;35,AI117+AH118-AQ117,IF(A118&lt;'Données projet'!$A$62,$AF$205^A118,IF(A118='Données projet'!$A$62,'Données projet'!$B$62,AI117+AH118-AQ117)))</f>
        <v>339.91400000000027</v>
      </c>
      <c r="AJ118" s="13">
        <f>AI118*VLOOKUP('Données projet'!$B$10,Paramètres!$A$1:$I$89,3,0)*VLOOKUP('Données projet'!$B$10,Paramètres!$A$1:$I$89,5,0)</f>
        <v>323.46216240000024</v>
      </c>
      <c r="AK118" s="13">
        <f t="shared" si="89"/>
        <v>76.073272094226141</v>
      </c>
      <c r="AL118" s="20">
        <f t="shared" si="58"/>
        <v>695.85754841077744</v>
      </c>
      <c r="AM118" s="59">
        <f t="shared" si="59"/>
        <v>989.19088174411081</v>
      </c>
      <c r="AN118" s="59">
        <f ca="1">AVERAGE(OFFSET($AM$3,0,0,'Données projet'!$E$10+1,1))-AVERAGE(OFFSET($H$3,0,0,'Données projet'!$E$10+1,1))</f>
        <v>449.28947235329758</v>
      </c>
      <c r="AO118" s="59">
        <f t="shared" si="90"/>
        <v>289.36994109443964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51.005680309125388</v>
      </c>
      <c r="AV118" s="21">
        <f>EXP(-LN(2)/25)*AV117+(1-EXP(-LN(2)/25))/(LN(2)/25)*Calculateur!AQ118*Calculateur!AS118*VLOOKUP('Données projet'!$B$10,Paramètres!$A$1:$I$89,3,0)*0.475*44/12</f>
        <v>24.400417974753694</v>
      </c>
      <c r="AW118" s="21">
        <f>EXP(-LN(2)/2)*AW117+(1-EXP(-LN(2)/2))/(LN(2)/2)*AQ118*AT118*VLOOKUP('Données projet'!$B$10,Paramètres!$A$1:$I$89,3,0)*0.475*44/12</f>
        <v>7.2443629446810901E-5</v>
      </c>
      <c r="AX118" s="21">
        <f t="shared" si="60"/>
        <v>75.406170727508538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336.23815680000064</v>
      </c>
      <c r="BF118" s="13">
        <f t="shared" si="91"/>
        <v>78.722223243612518</v>
      </c>
      <c r="BG118" s="20">
        <f t="shared" si="61"/>
        <v>722.72266190929292</v>
      </c>
      <c r="BH118" s="59">
        <f t="shared" si="62"/>
        <v>1016.0559952426263</v>
      </c>
      <c r="BI118" s="59">
        <f ca="1">AVERAGE(OFFSET($BH$3,0,0,'Données projet'!$E$11+1,1))-AVERAGE(OFFSET($H$3,0,0,'Données projet'!$E$11+1,1))</f>
        <v>635.71275911100679</v>
      </c>
      <c r="BJ118" s="59">
        <f t="shared" si="92"/>
        <v>281.7776857269169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35.746397173178586</v>
      </c>
      <c r="BQ118" s="21">
        <f>EXP(-LN(2)/25)*BQ117+(1-EXP(-LN(2)/25))/(LN(2)/25)*Calculateur!BL118*Calculateur!BN118*VLOOKUP('Données projet'!$B$11,Paramètres!$A$1:$I$89,3,0)*0.475*44/12</f>
        <v>25.075896948229026</v>
      </c>
      <c r="BR118" s="21">
        <f>EXP(-LN(2)/2)*BR117+(1-EXP(-LN(2)/2))/(LN(2)/2)*BL118*BO118*VLOOKUP('Données projet'!$B$11,Paramètres!$A$1:$I$89,3,0)*0.475*44/12</f>
        <v>3.8630072496778993</v>
      </c>
      <c r="BS118" s="22">
        <f t="shared" si="63"/>
        <v>64.685301371085501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7.0011111111111104</v>
      </c>
      <c r="BY118" s="12">
        <f>IF('Données projet'!$A$114&gt;35,BY117+BX118-CG117,IF(A118&lt;'Données projet'!$A$114,$BV$205^A118,IF(A118='Données projet'!$A$114,'Données projet'!$B$114,BY117+BX118-CG117)))</f>
        <v>266.26222222222214</v>
      </c>
      <c r="BZ118" s="13">
        <f>BY118*VLOOKUP('Données projet'!$B$12,Paramètres!$A$1:$I$89,3,0)*VLOOKUP('Données projet'!$B$12,Paramètres!$A$1:$I$89,5,0)</f>
        <v>303.21941866666657</v>
      </c>
      <c r="CA118" s="13">
        <f t="shared" si="93"/>
        <v>71.850957432298372</v>
      </c>
      <c r="CB118" s="20">
        <f t="shared" si="64"/>
        <v>653.24757170569728</v>
      </c>
      <c r="CC118" s="59">
        <f t="shared" si="65"/>
        <v>946.58090503903054</v>
      </c>
      <c r="CD118" s="59">
        <f ca="1">AVERAGE(OFFSET($CC$3,0,0,'Données projet'!$E$12+1,1))-AVERAGE(OFFSET($H$3,0,0,'Données projet'!$E$12+1,1))</f>
        <v>593.28343396240075</v>
      </c>
      <c r="CE118" s="59">
        <f t="shared" si="94"/>
        <v>289.66477662068695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22.972195004448821</v>
      </c>
      <c r="CL118" s="21">
        <f>EXP(-LN(2)/25)*CL117+(1-EXP(-LN(2)/25))/(LN(2)/25)*Calculateur!CG118*Calculateur!CI118*VLOOKUP('Données projet'!$B$12,Paramètres!$A$1:$I$89,3,0)*0.475*44/12</f>
        <v>28.840125273838556</v>
      </c>
      <c r="CM118" s="21">
        <f>EXP(-LN(2)/2)*CM117+(1-EXP(-LN(2)/2))/(LN(2)/2)*CG118*CJ118*VLOOKUP('Données projet'!$B$12,Paramètres!$A$1:$I$89,3,0)*0.475*44/12</f>
        <v>2.3352498606503178</v>
      </c>
      <c r="CN118" s="22">
        <f t="shared" si="66"/>
        <v>54.147570138937688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2.2737367544323206E-13</v>
      </c>
      <c r="CU118" s="17">
        <f>CT118*VLOOKUP('Données projet'!$B$13,Paramètres!$A$1:$I$89,3,0)*VLOOKUP('Données projet'!$B$13,Paramètres!$A$1:$I$89,5,0)</f>
        <v>2.3765096557326618E-13</v>
      </c>
      <c r="CV118" s="13">
        <f t="shared" si="95"/>
        <v>3.2279907425805489E-12</v>
      </c>
      <c r="CW118" s="20">
        <f t="shared" si="67"/>
        <v>6.0359926417012276E-12</v>
      </c>
      <c r="CX118" s="59">
        <f t="shared" si="68"/>
        <v>293.33333333333934</v>
      </c>
      <c r="CY118" s="59">
        <f ca="1">AVERAGE(OFFSET($CX$3,0,0,'Données projet'!$E$13+1,1))-AVERAGE(OFFSET($H$3,0,0,'Données projet'!$E$13+1,1))</f>
        <v>260.65406541614402</v>
      </c>
      <c r="CZ118" s="59">
        <f t="shared" si="96"/>
        <v>277.63456890196886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10.980041791277342</v>
      </c>
      <c r="DG118" s="21">
        <f>EXP(-LN(2)/25)*DG117+(1-EXP(-LN(2)/25))/(LN(2)/25)*Calculateur!DB118*Calculateur!DD118*VLOOKUP('Données projet'!$B$13,Paramètres!$A$1:$I$89,3,0)*0.475*44/12</f>
        <v>24.769832275046447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35.749874066323791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2.2737367544323206E-13</v>
      </c>
      <c r="DP118" s="17">
        <f>DO118*VLOOKUP('Données projet'!$B$14,Paramètres!$A$1:$I$89,3,0)*VLOOKUP('Données projet'!$B$14,Paramètres!$A$1:$I$89,5,0)</f>
        <v>1.4897523215040565E-13</v>
      </c>
      <c r="DQ118" s="13">
        <f t="shared" si="97"/>
        <v>2.136562777003313E-12</v>
      </c>
      <c r="DR118" s="20">
        <f t="shared" si="70"/>
        <v>3.9806453659427267E-12</v>
      </c>
      <c r="DS118" s="59">
        <f t="shared" si="71"/>
        <v>293.33333333333729</v>
      </c>
      <c r="DT118" s="59">
        <f ca="1">AVERAGE(OFFSET($DS$3,0,0,'Données projet'!$E$14+1,1))-AVERAGE(OFFSET($H$3,0,0,'Données projet'!$E$14+1,1))</f>
        <v>181.4272795535777</v>
      </c>
      <c r="DU118" s="59">
        <f t="shared" si="98"/>
        <v>187.67131775419904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10.304021790915963</v>
      </c>
      <c r="EB118" s="21">
        <f>EXP(-LN(2)/25)*EB117+(1-EXP(-LN(2)/25))/(LN(2)/25)*Calculateur!DW118*Calculateur!DY118*VLOOKUP('Données projet'!$B$14,Paramètres!$A$1:$I$89,3,0)*0.475*44/12</f>
        <v>9.0212952534062563</v>
      </c>
      <c r="EC118" s="21">
        <f>EXP(-LN(2)/2)*EC117+(1-EXP(-LN(2)/2))/(LN(2)/2)*DW118*DZ118*VLOOKUP('Données projet'!$B$14,Paramètres!$A$1:$I$89,3,0)*0.475*44/12</f>
        <v>4.3317074234313557E-3</v>
      </c>
      <c r="ED118" s="22">
        <f t="shared" si="72"/>
        <v>19.329648751745651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1.1368683772161603E-13</v>
      </c>
      <c r="EK118" s="17">
        <f>EJ118*VLOOKUP('Données projet'!$B$15,Paramètres!$A$1:$I$89,3,0)*VLOOKUP('Données projet'!$B$15,Paramètres!$A$1:$I$89,5,0)</f>
        <v>9.2222762759774927E-14</v>
      </c>
      <c r="EL118" s="13">
        <f t="shared" si="99"/>
        <v>1.3985662224947967E-12</v>
      </c>
      <c r="EM118" s="20">
        <f t="shared" si="73"/>
        <v>2.5964574826517121E-12</v>
      </c>
      <c r="EN118" s="59">
        <f t="shared" si="74"/>
        <v>293.33333333333593</v>
      </c>
      <c r="EO118" s="59">
        <f ca="1">AVERAGE(OFFSET($EN$3,0,0,'Données projet'!$E$15+1,1))-AVERAGE(OFFSET($H$3,0,0,'Données projet'!$E$15+1,1))</f>
        <v>159.68591355116837</v>
      </c>
      <c r="EP118" s="59">
        <f t="shared" si="100"/>
        <v>284.32631786390112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3.3022248772256297</v>
      </c>
      <c r="EW118" s="21">
        <f>EXP(-LN(2)/25)*EW117+(1-EXP(-LN(2)/25))/(LN(2)/25)*Calculateur!ER118*Calculateur!ET118*VLOOKUP('Données projet'!$B$15,Paramètres!$A$1:$I$89,3,0)*0.475*44/12</f>
        <v>2.4150032964961872</v>
      </c>
      <c r="EX118" s="21">
        <f>EXP(-LN(2)/2)*EX117+(1-EXP(-LN(2)/2))/(LN(2)/2)*ER118*EU118*VLOOKUP('Données projet'!$B$15,Paramètres!$A$1:$I$89,3,0)*0.475*44/12</f>
        <v>1.5013844660960495E-10</v>
      </c>
      <c r="EY118" s="22">
        <f t="shared" si="75"/>
        <v>5.7172281738719555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-1.3567387213697657E-13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299.10536994156814</v>
      </c>
      <c r="FK118" s="59">
        <f t="shared" si="102"/>
        <v>292.57799203101769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20.311632545739663</v>
      </c>
      <c r="FR118" s="21">
        <f>EXP(-LN(2)/25)*FR117+(1-EXP(-LN(2)/25))/(LN(2)/25)*Calculateur!FM118*Calculateur!FO118*VLOOKUP('Données projet'!$B$16,Paramètres!$A$1:$I$89,3,0)*0.475*44/12</f>
        <v>16.052224110820148</v>
      </c>
      <c r="FS118" s="21">
        <f>EXP(-LN(2)/2)*FS117+(1-EXP(-LN(2)/2))/(LN(2)/2)*FM118*FP118*VLOOKUP('Données projet'!$B$16,Paramètres!$A$1:$I$89,3,0)*0.475*44/12</f>
        <v>2.8042118672676317E-4</v>
      </c>
      <c r="FT118" s="22">
        <f t="shared" si="78"/>
        <v>36.364137077746541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5.6843418860808015E-14</v>
      </c>
      <c r="GA118" s="17">
        <f>FZ118*VLOOKUP('Données projet'!$B$17,Paramètres!$A$1:$I$89,3,0)*VLOOKUP('Données projet'!$B$17,Paramètres!$A$1:$I$89,5,0)</f>
        <v>5.1431925385259088E-14</v>
      </c>
      <c r="GB118" s="13">
        <f t="shared" si="103"/>
        <v>8.3482866290946129E-13</v>
      </c>
      <c r="GC118" s="20">
        <f t="shared" si="79"/>
        <v>1.5435705246133045E-12</v>
      </c>
      <c r="GD118" s="59">
        <f t="shared" si="80"/>
        <v>293.33333333333485</v>
      </c>
      <c r="GE118" s="59">
        <f ca="1">AVERAGE(OFFSET($GD$3,0,0,'Données projet'!$E$17+1,1))-AVERAGE(OFFSET($H$3,0,0,'Données projet'!$E$17+1,1))</f>
        <v>204.78565758021779</v>
      </c>
      <c r="GF118" s="59">
        <f t="shared" si="104"/>
        <v>287.25131613242439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3.9023160455518204</v>
      </c>
      <c r="GM118" s="21">
        <f>EXP(-LN(2)/25)*GM117+(1-EXP(-LN(2)/25))/(LN(2)/25)*Calculateur!GH118*Calculateur!GJ118*VLOOKUP('Données projet'!$B$17,Paramètres!$A$1:$I$89,3,0)*0.475*44/12</f>
        <v>1.8977936595878415</v>
      </c>
      <c r="GN118" s="21">
        <f>EXP(-LN(2)/2)*GN117+(1-EXP(-LN(2)/2))/(LN(2)/2)*GH118*GK118*VLOOKUP('Données projet'!$B$17,Paramètres!$A$1:$I$89,3,0)*0.475*44/12</f>
        <v>4.0135897532665273E-10</v>
      </c>
      <c r="GO118" s="21">
        <f t="shared" si="81"/>
        <v>5.8001097055410211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5.6843418860808015E-14</v>
      </c>
      <c r="GV118" s="17">
        <f>GU118*VLOOKUP('Données projet'!$B$18,Paramètres!$A$1:$I$89,3,0)*VLOOKUP('Données projet'!$B$18,Paramètres!$A$1:$I$89,5,0)</f>
        <v>4.4337866711430253E-14</v>
      </c>
      <c r="GW118" s="13">
        <f t="shared" si="105"/>
        <v>7.3222115536967035E-13</v>
      </c>
      <c r="GX118" s="20">
        <f t="shared" si="82"/>
        <v>1.3525069634579169E-12</v>
      </c>
      <c r="GY118" s="59">
        <f t="shared" si="83"/>
        <v>293.33333333333468</v>
      </c>
      <c r="GZ118" s="59">
        <f ca="1">AVERAGE(OFFSET($GY$3,0,0,'Données projet'!$E$18+1,1))-AVERAGE(OFFSET($H$3,0,0,'Données projet'!$E$18+1,1))</f>
        <v>288.82868507674738</v>
      </c>
      <c r="HA118" s="59">
        <f t="shared" si="106"/>
        <v>283.48738729114024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17.290784247758019</v>
      </c>
      <c r="HH118" s="21">
        <f>EXP(-LN(2)/25)*HH117+(1-EXP(-LN(2)/25))/(LN(2)/25)*Calculateur!HC118*Calculateur!HE118*VLOOKUP('Données projet'!$B$18,Paramètres!$A$1:$I$89,3,0)*0.475*44/12</f>
        <v>11.82513856180754</v>
      </c>
      <c r="HI118" s="21">
        <f>EXP(-LN(2)/2)*HI117+(1-EXP(-LN(2)/2))/(LN(2)/2)*HC118*HF118*VLOOKUP('Données projet'!$B$18,Paramètres!$A$1:$I$89,3,0)*0.475*44/12</f>
        <v>7.2426821772198061E-6</v>
      </c>
      <c r="HJ118" s="22">
        <f t="shared" si="84"/>
        <v>29.115930052247737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349.71285006949597</v>
      </c>
      <c r="T119" s="59">
        <f t="shared" si="88"/>
        <v>258.51550516456842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75.130994364129492</v>
      </c>
      <c r="AA119" s="21">
        <f>EXP(-LN(2)/25)*AA118+(1-EXP(-LN(2)/25))/(LN(2)/25)*Calculateur!V119*Calculateur!X119*VLOOKUP('Données projet'!$B$9,Paramètres!$A$1:$I$89,3,0)*0.475*44/12</f>
        <v>19.071283988770059</v>
      </c>
      <c r="AB119" s="21">
        <f>EXP(-LN(2)/2)*AB118+(1-EXP(-LN(2)/2))/(LN(2)/2)*V119*Y119*VLOOKUP('Données projet'!$B$9,Paramètres!$A$1:$I$89,3,0)*0.475*44/12</f>
        <v>2.6976258392795069E-4</v>
      </c>
      <c r="AC119" s="22">
        <f t="shared" si="57"/>
        <v>94.202548115483481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8.7019999999999982</v>
      </c>
      <c r="AI119" s="13">
        <f>IF('Données projet'!$A$62&gt;35,AI118+AH119-AQ118,IF(A119&lt;'Données projet'!$A$62,$AF$205^A119,IF(A119='Données projet'!$A$62,'Données projet'!$B$62,AI118+AH119-AQ118)))</f>
        <v>348.61600000000027</v>
      </c>
      <c r="AJ119" s="13">
        <f>AI119*VLOOKUP('Données projet'!$B$10,Paramètres!$A$1:$I$89,3,0)*VLOOKUP('Données projet'!$B$10,Paramètres!$A$1:$I$89,5,0)</f>
        <v>331.74298560000028</v>
      </c>
      <c r="AK119" s="13">
        <f t="shared" si="89"/>
        <v>77.791561690435074</v>
      </c>
      <c r="AL119" s="20">
        <f t="shared" si="58"/>
        <v>713.27266986417487</v>
      </c>
      <c r="AM119" s="59">
        <f t="shared" si="59"/>
        <v>1006.6060031975082</v>
      </c>
      <c r="AN119" s="59">
        <f ca="1">AVERAGE(OFFSET($AM$3,0,0,'Données projet'!$E$10+1,1))-AVERAGE(OFFSET($H$3,0,0,'Données projet'!$E$10+1,1))</f>
        <v>449.28947235329758</v>
      </c>
      <c r="AO119" s="59">
        <f t="shared" si="90"/>
        <v>289.36994109443964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50.005490028656531</v>
      </c>
      <c r="AV119" s="21">
        <f>EXP(-LN(2)/25)*AV118+(1-EXP(-LN(2)/25))/(LN(2)/25)*Calculateur!AQ119*Calculateur!AS119*VLOOKUP('Données projet'!$B$10,Paramètres!$A$1:$I$89,3,0)*0.475*44/12</f>
        <v>23.733187262071841</v>
      </c>
      <c r="AW119" s="21">
        <f>EXP(-LN(2)/2)*AW118+(1-EXP(-LN(2)/2))/(LN(2)/2)*AQ119*AT119*VLOOKUP('Données projet'!$B$10,Paramètres!$A$1:$I$89,3,0)*0.475*44/12</f>
        <v>5.1225381635605447E-5</v>
      </c>
      <c r="AX119" s="21">
        <f t="shared" si="60"/>
        <v>73.738728516110015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344.30535360000061</v>
      </c>
      <c r="BF119" s="13">
        <f t="shared" si="91"/>
        <v>80.388807253544201</v>
      </c>
      <c r="BG119" s="20">
        <f t="shared" si="61"/>
        <v>739.67566348659057</v>
      </c>
      <c r="BH119" s="59">
        <f t="shared" si="62"/>
        <v>1033.0089968199238</v>
      </c>
      <c r="BI119" s="59">
        <f ca="1">AVERAGE(OFFSET($BH$3,0,0,'Données projet'!$E$11+1,1))-AVERAGE(OFFSET($H$3,0,0,'Données projet'!$E$11+1,1))</f>
        <v>635.71275911100679</v>
      </c>
      <c r="BJ119" s="59">
        <f t="shared" si="92"/>
        <v>281.7776857269169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35.045432127761948</v>
      </c>
      <c r="BQ119" s="21">
        <f>EXP(-LN(2)/25)*BQ118+(1-EXP(-LN(2)/25))/(LN(2)/25)*Calculateur!BL119*Calculateur!BN119*VLOOKUP('Données projet'!$B$11,Paramètres!$A$1:$I$89,3,0)*0.475*44/12</f>
        <v>24.390195227495596</v>
      </c>
      <c r="BR119" s="21">
        <f>EXP(-LN(2)/2)*BR118+(1-EXP(-LN(2)/2))/(LN(2)/2)*BL119*BO119*VLOOKUP('Données projet'!$B$11,Paramètres!$A$1:$I$89,3,0)*0.475*44/12</f>
        <v>2.7315586220200374</v>
      </c>
      <c r="BS119" s="22">
        <f t="shared" si="63"/>
        <v>62.167185977277583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7.0011111111111104</v>
      </c>
      <c r="BY119" s="12">
        <f>IF('Données projet'!$A$114&gt;35,BY118+BX119-CG118,IF(A119&lt;'Données projet'!$A$114,$BV$205^A119,IF(A119='Données projet'!$A$114,'Données projet'!$B$114,BY118+BX119-CG118)))</f>
        <v>273.26333333333326</v>
      </c>
      <c r="BZ119" s="13">
        <f>BY119*VLOOKUP('Données projet'!$B$12,Paramètres!$A$1:$I$89,3,0)*VLOOKUP('Données projet'!$B$12,Paramètres!$A$1:$I$89,5,0)</f>
        <v>311.19228399999992</v>
      </c>
      <c r="CA119" s="13">
        <f t="shared" si="93"/>
        <v>73.517770869032404</v>
      </c>
      <c r="CB119" s="20">
        <f t="shared" si="64"/>
        <v>670.0366788968978</v>
      </c>
      <c r="CC119" s="59">
        <f t="shared" si="65"/>
        <v>963.37001223023117</v>
      </c>
      <c r="CD119" s="59">
        <f ca="1">AVERAGE(OFFSET($CC$3,0,0,'Données projet'!$E$12+1,1))-AVERAGE(OFFSET($H$3,0,0,'Données projet'!$E$12+1,1))</f>
        <v>593.28343396240075</v>
      </c>
      <c r="CE119" s="59">
        <f t="shared" si="94"/>
        <v>289.66477662068695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22.521724272066997</v>
      </c>
      <c r="CL119" s="21">
        <f>EXP(-LN(2)/25)*CL118+(1-EXP(-LN(2)/25))/(LN(2)/25)*Calculateur!CG119*Calculateur!CI119*VLOOKUP('Données projet'!$B$12,Paramètres!$A$1:$I$89,3,0)*0.475*44/12</f>
        <v>28.051490531589167</v>
      </c>
      <c r="CM119" s="21">
        <f>EXP(-LN(2)/2)*CM118+(1-EXP(-LN(2)/2))/(LN(2)/2)*CG119*CJ119*VLOOKUP('Données projet'!$B$12,Paramètres!$A$1:$I$89,3,0)*0.475*44/12</f>
        <v>1.6512710122307799</v>
      </c>
      <c r="CN119" s="22">
        <f t="shared" si="66"/>
        <v>52.224485815886943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2.2737367544323206E-13</v>
      </c>
      <c r="CU119" s="17">
        <f>CT119*VLOOKUP('Données projet'!$B$13,Paramètres!$A$1:$I$89,3,0)*VLOOKUP('Données projet'!$B$13,Paramètres!$A$1:$I$89,5,0)</f>
        <v>2.3765096557326618E-13</v>
      </c>
      <c r="CV119" s="13">
        <f t="shared" si="95"/>
        <v>3.2279907425805489E-12</v>
      </c>
      <c r="CW119" s="20">
        <f t="shared" si="67"/>
        <v>6.0359926417012276E-12</v>
      </c>
      <c r="CX119" s="59">
        <f t="shared" si="68"/>
        <v>293.33333333333934</v>
      </c>
      <c r="CY119" s="59">
        <f ca="1">AVERAGE(OFFSET($CX$3,0,0,'Données projet'!$E$13+1,1))-AVERAGE(OFFSET($H$3,0,0,'Données projet'!$E$13+1,1))</f>
        <v>260.65406541614402</v>
      </c>
      <c r="CZ119" s="59">
        <f t="shared" si="96"/>
        <v>277.63456890196886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10.764729868914596</v>
      </c>
      <c r="DG119" s="21">
        <f>EXP(-LN(2)/25)*DG118+(1-EXP(-LN(2)/25))/(LN(2)/25)*Calculateur!DB119*Calculateur!DD119*VLOOKUP('Données projet'!$B$13,Paramètres!$A$1:$I$89,3,0)*0.475*44/12</f>
        <v>24.092499908896436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34.857229777811028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2.2737367544323206E-13</v>
      </c>
      <c r="DP119" s="17">
        <f>DO119*VLOOKUP('Données projet'!$B$14,Paramètres!$A$1:$I$89,3,0)*VLOOKUP('Données projet'!$B$14,Paramètres!$A$1:$I$89,5,0)</f>
        <v>1.4897523215040565E-13</v>
      </c>
      <c r="DQ119" s="13">
        <f t="shared" si="97"/>
        <v>2.136562777003313E-12</v>
      </c>
      <c r="DR119" s="20">
        <f t="shared" si="70"/>
        <v>3.9806453659427267E-12</v>
      </c>
      <c r="DS119" s="59">
        <f t="shared" si="71"/>
        <v>293.33333333333729</v>
      </c>
      <c r="DT119" s="59">
        <f ca="1">AVERAGE(OFFSET($DS$3,0,0,'Données projet'!$E$14+1,1))-AVERAGE(OFFSET($H$3,0,0,'Données projet'!$E$14+1,1))</f>
        <v>181.4272795535777</v>
      </c>
      <c r="DU119" s="59">
        <f t="shared" si="98"/>
        <v>187.67131775419904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10.101966208428818</v>
      </c>
      <c r="EB119" s="21">
        <f>EXP(-LN(2)/25)*EB118+(1-EXP(-LN(2)/25))/(LN(2)/25)*Calculateur!DW119*Calculateur!DY119*VLOOKUP('Données projet'!$B$14,Paramètres!$A$1:$I$89,3,0)*0.475*44/12</f>
        <v>8.7746074602925628</v>
      </c>
      <c r="EC119" s="21">
        <f>EXP(-LN(2)/2)*EC118+(1-EXP(-LN(2)/2))/(LN(2)/2)*DW119*DZ119*VLOOKUP('Données projet'!$B$14,Paramètres!$A$1:$I$89,3,0)*0.475*44/12</f>
        <v>3.0629796932244192E-3</v>
      </c>
      <c r="ED119" s="22">
        <f t="shared" si="72"/>
        <v>18.879636648414607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1.1368683772161603E-13</v>
      </c>
      <c r="EK119" s="17">
        <f>EJ119*VLOOKUP('Données projet'!$B$15,Paramètres!$A$1:$I$89,3,0)*VLOOKUP('Données projet'!$B$15,Paramètres!$A$1:$I$89,5,0)</f>
        <v>9.2222762759774927E-14</v>
      </c>
      <c r="EL119" s="13">
        <f t="shared" si="99"/>
        <v>1.3985662224947967E-12</v>
      </c>
      <c r="EM119" s="20">
        <f t="shared" si="73"/>
        <v>2.5964574826517121E-12</v>
      </c>
      <c r="EN119" s="59">
        <f t="shared" si="74"/>
        <v>293.33333333333593</v>
      </c>
      <c r="EO119" s="59">
        <f ca="1">AVERAGE(OFFSET($EN$3,0,0,'Données projet'!$E$15+1,1))-AVERAGE(OFFSET($H$3,0,0,'Données projet'!$E$15+1,1))</f>
        <v>159.68591355116837</v>
      </c>
      <c r="EP119" s="59">
        <f t="shared" si="100"/>
        <v>284.32631786390112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3.2374702615415285</v>
      </c>
      <c r="EW119" s="21">
        <f>EXP(-LN(2)/25)*EW118+(1-EXP(-LN(2)/25))/(LN(2)/25)*Calculateur!ER119*Calculateur!ET119*VLOOKUP('Données projet'!$B$15,Paramètres!$A$1:$I$89,3,0)*0.475*44/12</f>
        <v>2.3489649043539953</v>
      </c>
      <c r="EX119" s="21">
        <f>EXP(-LN(2)/2)*EX118+(1-EXP(-LN(2)/2))/(LN(2)/2)*ER119*EU119*VLOOKUP('Données projet'!$B$15,Paramètres!$A$1:$I$89,3,0)*0.475*44/12</f>
        <v>1.0616391371446608E-10</v>
      </c>
      <c r="EY119" s="22">
        <f t="shared" si="75"/>
        <v>5.5864351660016878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-1.3567387213697657E-13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299.10536994156814</v>
      </c>
      <c r="FK119" s="59">
        <f t="shared" si="102"/>
        <v>292.57799203101769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19.91333382039026</v>
      </c>
      <c r="FR119" s="21">
        <f>EXP(-LN(2)/25)*FR118+(1-EXP(-LN(2)/25))/(LN(2)/25)*Calculateur!FM119*Calculateur!FO119*VLOOKUP('Données projet'!$B$16,Paramètres!$A$1:$I$89,3,0)*0.475*44/12</f>
        <v>15.613275198359993</v>
      </c>
      <c r="FS119" s="21">
        <f>EXP(-LN(2)/2)*FS118+(1-EXP(-LN(2)/2))/(LN(2)/2)*FM119*FP119*VLOOKUP('Données projet'!$B$16,Paramètres!$A$1:$I$89,3,0)*0.475*44/12</f>
        <v>1.9828772272287331E-4</v>
      </c>
      <c r="FT119" s="22">
        <f t="shared" si="78"/>
        <v>35.526807306472975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5.6843418860808015E-14</v>
      </c>
      <c r="GA119" s="17">
        <f>FZ119*VLOOKUP('Données projet'!$B$17,Paramètres!$A$1:$I$89,3,0)*VLOOKUP('Données projet'!$B$17,Paramètres!$A$1:$I$89,5,0)</f>
        <v>5.1431925385259088E-14</v>
      </c>
      <c r="GB119" s="13">
        <f t="shared" si="103"/>
        <v>8.3482866290946129E-13</v>
      </c>
      <c r="GC119" s="20">
        <f t="shared" si="79"/>
        <v>1.5435705246133045E-12</v>
      </c>
      <c r="GD119" s="59">
        <f t="shared" si="80"/>
        <v>293.33333333333485</v>
      </c>
      <c r="GE119" s="59">
        <f ca="1">AVERAGE(OFFSET($GD$3,0,0,'Données projet'!$E$17+1,1))-AVERAGE(OFFSET($H$3,0,0,'Données projet'!$E$17+1,1))</f>
        <v>204.78565758021779</v>
      </c>
      <c r="GF119" s="59">
        <f t="shared" si="104"/>
        <v>287.25131613242439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3.825794008076314</v>
      </c>
      <c r="GM119" s="21">
        <f>EXP(-LN(2)/25)*GM118+(1-EXP(-LN(2)/25))/(LN(2)/25)*Calculateur!GH119*Calculateur!GJ119*VLOOKUP('Données projet'!$B$17,Paramètres!$A$1:$I$89,3,0)*0.475*44/12</f>
        <v>1.845898392165781</v>
      </c>
      <c r="GN119" s="21">
        <f>EXP(-LN(2)/2)*GN118+(1-EXP(-LN(2)/2))/(LN(2)/2)*GH119*GK119*VLOOKUP('Données projet'!$B$17,Paramètres!$A$1:$I$89,3,0)*0.475*44/12</f>
        <v>2.8380365314356035E-10</v>
      </c>
      <c r="GO119" s="21">
        <f t="shared" si="81"/>
        <v>5.6716924005258988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5.6843418860808015E-14</v>
      </c>
      <c r="GV119" s="17">
        <f>GU119*VLOOKUP('Données projet'!$B$18,Paramètres!$A$1:$I$89,3,0)*VLOOKUP('Données projet'!$B$18,Paramètres!$A$1:$I$89,5,0)</f>
        <v>4.4337866711430253E-14</v>
      </c>
      <c r="GW119" s="13">
        <f t="shared" si="105"/>
        <v>7.3222115536967035E-13</v>
      </c>
      <c r="GX119" s="20">
        <f t="shared" si="82"/>
        <v>1.3525069634579169E-12</v>
      </c>
      <c r="GY119" s="59">
        <f t="shared" si="83"/>
        <v>293.33333333333468</v>
      </c>
      <c r="GZ119" s="59">
        <f ca="1">AVERAGE(OFFSET($GY$3,0,0,'Données projet'!$E$18+1,1))-AVERAGE(OFFSET($H$3,0,0,'Données projet'!$E$18+1,1))</f>
        <v>288.82868507674738</v>
      </c>
      <c r="HA119" s="59">
        <f t="shared" si="106"/>
        <v>283.48738729114024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16.951722514996511</v>
      </c>
      <c r="HH119" s="21">
        <f>EXP(-LN(2)/25)*HH118+(1-EXP(-LN(2)/25))/(LN(2)/25)*Calculateur!HC119*Calculateur!HE119*VLOOKUP('Données projet'!$B$18,Paramètres!$A$1:$I$89,3,0)*0.475*44/12</f>
        <v>11.501779525977902</v>
      </c>
      <c r="HI119" s="21">
        <f>EXP(-LN(2)/2)*HI118+(1-EXP(-LN(2)/2))/(LN(2)/2)*HC119*HF119*VLOOKUP('Données projet'!$B$18,Paramètres!$A$1:$I$89,3,0)*0.475*44/12</f>
        <v>5.121349681491073E-6</v>
      </c>
      <c r="HJ119" s="22">
        <f t="shared" si="84"/>
        <v>28.453507162324094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349.71285006949597</v>
      </c>
      <c r="T120" s="59">
        <f t="shared" si="88"/>
        <v>258.51550516456842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73.657721390030588</v>
      </c>
      <c r="AA120" s="21">
        <f>EXP(-LN(2)/25)*AA119+(1-EXP(-LN(2)/25))/(LN(2)/25)*Calculateur!V120*Calculateur!X120*VLOOKUP('Données projet'!$B$9,Paramètres!$A$1:$I$89,3,0)*0.475*44/12</f>
        <v>18.549778725181906</v>
      </c>
      <c r="AB120" s="21">
        <f>EXP(-LN(2)/2)*AB119+(1-EXP(-LN(2)/2))/(LN(2)/2)*V120*Y120*VLOOKUP('Données projet'!$B$9,Paramètres!$A$1:$I$89,3,0)*0.475*44/12</f>
        <v>1.907509524058591E-4</v>
      </c>
      <c r="AC120" s="22">
        <f t="shared" si="57"/>
        <v>92.207690866164896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8.7019999999999982</v>
      </c>
      <c r="AI120" s="13">
        <f>IF('Données projet'!$A$62&gt;35,AI119+AH120-AQ119,IF(A120&lt;'Données projet'!$A$62,$AF$205^A120,IF(A120='Données projet'!$A$62,'Données projet'!$B$62,AI119+AH120-AQ119)))</f>
        <v>357.31800000000027</v>
      </c>
      <c r="AJ120" s="13">
        <f>AI120*VLOOKUP('Données projet'!$B$10,Paramètres!$A$1:$I$89,3,0)*VLOOKUP('Données projet'!$B$10,Paramètres!$A$1:$I$89,5,0)</f>
        <v>340.02380880000027</v>
      </c>
      <c r="AK120" s="13">
        <f t="shared" si="89"/>
        <v>79.504865450570179</v>
      </c>
      <c r="AL120" s="20">
        <f t="shared" si="58"/>
        <v>730.67910765307681</v>
      </c>
      <c r="AM120" s="59">
        <f t="shared" si="59"/>
        <v>1024.0124409864102</v>
      </c>
      <c r="AN120" s="59">
        <f ca="1">AVERAGE(OFFSET($AM$3,0,0,'Données projet'!$E$10+1,1))-AVERAGE(OFFSET($H$3,0,0,'Données projet'!$E$10+1,1))</f>
        <v>449.28947235329758</v>
      </c>
      <c r="AO120" s="59">
        <f t="shared" si="90"/>
        <v>289.36994109443964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49.024912869531839</v>
      </c>
      <c r="AV120" s="21">
        <f>EXP(-LN(2)/25)*AV119+(1-EXP(-LN(2)/25))/(LN(2)/25)*Calculateur!AQ120*Calculateur!AS120*VLOOKUP('Données projet'!$B$10,Paramètres!$A$1:$I$89,3,0)*0.475*44/12</f>
        <v>23.08420200831641</v>
      </c>
      <c r="AW120" s="21">
        <f>EXP(-LN(2)/2)*AW119+(1-EXP(-LN(2)/2))/(LN(2)/2)*AQ120*AT120*VLOOKUP('Données projet'!$B$10,Paramètres!$A$1:$I$89,3,0)*0.475*44/12</f>
        <v>3.622181472340545E-5</v>
      </c>
      <c r="AX120" s="21">
        <f t="shared" si="60"/>
        <v>72.109151099662967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352.37255040000065</v>
      </c>
      <c r="BF120" s="13">
        <f t="shared" si="91"/>
        <v>82.050851753476593</v>
      </c>
      <c r="BG120" s="20">
        <f t="shared" si="61"/>
        <v>756.62075875063954</v>
      </c>
      <c r="BH120" s="59">
        <f t="shared" si="62"/>
        <v>1049.9540920839729</v>
      </c>
      <c r="BI120" s="59">
        <f ca="1">AVERAGE(OFFSET($BH$3,0,0,'Données projet'!$E$11+1,1))-AVERAGE(OFFSET($H$3,0,0,'Données projet'!$E$11+1,1))</f>
        <v>635.71275911100679</v>
      </c>
      <c r="BJ120" s="59">
        <f t="shared" si="92"/>
        <v>281.7776857269169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34.358212579339472</v>
      </c>
      <c r="BQ120" s="21">
        <f>EXP(-LN(2)/25)*BQ119+(1-EXP(-LN(2)/25))/(LN(2)/25)*Calculateur!BL120*Calculateur!BN120*VLOOKUP('Données projet'!$B$11,Paramètres!$A$1:$I$89,3,0)*0.475*44/12</f>
        <v>23.723244056375105</v>
      </c>
      <c r="BR120" s="21">
        <f>EXP(-LN(2)/2)*BR119+(1-EXP(-LN(2)/2))/(LN(2)/2)*BL120*BO120*VLOOKUP('Données projet'!$B$11,Paramètres!$A$1:$I$89,3,0)*0.475*44/12</f>
        <v>1.9315036248389501</v>
      </c>
      <c r="BS120" s="22">
        <f t="shared" si="63"/>
        <v>60.012960260553527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7.0011111111111104</v>
      </c>
      <c r="BY120" s="12">
        <f>IF('Données projet'!$A$114&gt;35,BY119+BX120-CG119,IF(A120&lt;'Données projet'!$A$114,$BV$205^A120,IF(A120='Données projet'!$A$114,'Données projet'!$B$114,BY119+BX120-CG119)))</f>
        <v>280.26444444444439</v>
      </c>
      <c r="BZ120" s="13">
        <f>BY120*VLOOKUP('Données projet'!$B$12,Paramètres!$A$1:$I$89,3,0)*VLOOKUP('Données projet'!$B$12,Paramètres!$A$1:$I$89,5,0)</f>
        <v>319.16514933333332</v>
      </c>
      <c r="CA120" s="13">
        <f t="shared" si="93"/>
        <v>75.179620344585189</v>
      </c>
      <c r="CB120" s="20">
        <f t="shared" si="64"/>
        <v>686.81714052237476</v>
      </c>
      <c r="CC120" s="59">
        <f t="shared" si="65"/>
        <v>980.15047385570801</v>
      </c>
      <c r="CD120" s="59">
        <f ca="1">AVERAGE(OFFSET($CC$3,0,0,'Données projet'!$E$12+1,1))-AVERAGE(OFFSET($H$3,0,0,'Données projet'!$E$12+1,1))</f>
        <v>593.28343396240075</v>
      </c>
      <c r="CE120" s="59">
        <f t="shared" si="94"/>
        <v>289.66477662068695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22.080086995987163</v>
      </c>
      <c r="CL120" s="21">
        <f>EXP(-LN(2)/25)*CL119+(1-EXP(-LN(2)/25))/(LN(2)/25)*Calculateur!CG120*Calculateur!CI120*VLOOKUP('Données projet'!$B$12,Paramètres!$A$1:$I$89,3,0)*0.475*44/12</f>
        <v>27.284421047839086</v>
      </c>
      <c r="CM120" s="21">
        <f>EXP(-LN(2)/2)*CM119+(1-EXP(-LN(2)/2))/(LN(2)/2)*CG120*CJ120*VLOOKUP('Données projet'!$B$12,Paramètres!$A$1:$I$89,3,0)*0.475*44/12</f>
        <v>1.1676249303251589</v>
      </c>
      <c r="CN120" s="22">
        <f t="shared" si="66"/>
        <v>50.532132974151409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2.2737367544323206E-13</v>
      </c>
      <c r="CU120" s="17">
        <f>CT120*VLOOKUP('Données projet'!$B$13,Paramètres!$A$1:$I$89,3,0)*VLOOKUP('Données projet'!$B$13,Paramètres!$A$1:$I$89,5,0)</f>
        <v>2.3765096557326618E-13</v>
      </c>
      <c r="CV120" s="13">
        <f t="shared" si="95"/>
        <v>3.2279907425805489E-12</v>
      </c>
      <c r="CW120" s="20">
        <f t="shared" si="67"/>
        <v>6.0359926417012276E-12</v>
      </c>
      <c r="CX120" s="59">
        <f t="shared" si="68"/>
        <v>293.33333333333934</v>
      </c>
      <c r="CY120" s="59">
        <f ca="1">AVERAGE(OFFSET($CX$3,0,0,'Données projet'!$E$13+1,1))-AVERAGE(OFFSET($H$3,0,0,'Données projet'!$E$13+1,1))</f>
        <v>260.65406541614402</v>
      </c>
      <c r="CZ120" s="59">
        <f t="shared" si="96"/>
        <v>277.63456890196886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10.553640082022078</v>
      </c>
      <c r="DG120" s="21">
        <f>EXP(-LN(2)/25)*DG119+(1-EXP(-LN(2)/25))/(LN(2)/25)*Calculateur!DB120*Calculateur!DD120*VLOOKUP('Données projet'!$B$13,Paramètres!$A$1:$I$89,3,0)*0.475*44/12</f>
        <v>23.433689231918155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33.987329313940236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2.2737367544323206E-13</v>
      </c>
      <c r="DP120" s="17">
        <f>DO120*VLOOKUP('Données projet'!$B$14,Paramètres!$A$1:$I$89,3,0)*VLOOKUP('Données projet'!$B$14,Paramètres!$A$1:$I$89,5,0)</f>
        <v>1.4897523215040565E-13</v>
      </c>
      <c r="DQ120" s="13">
        <f t="shared" si="97"/>
        <v>2.136562777003313E-12</v>
      </c>
      <c r="DR120" s="20">
        <f t="shared" si="70"/>
        <v>3.9806453659427267E-12</v>
      </c>
      <c r="DS120" s="59">
        <f t="shared" si="71"/>
        <v>293.33333333333729</v>
      </c>
      <c r="DT120" s="59">
        <f ca="1">AVERAGE(OFFSET($DS$3,0,0,'Données projet'!$E$14+1,1))-AVERAGE(OFFSET($H$3,0,0,'Données projet'!$E$14+1,1))</f>
        <v>181.4272795535777</v>
      </c>
      <c r="DU120" s="59">
        <f t="shared" si="98"/>
        <v>187.67131775419904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9.9038728126725104</v>
      </c>
      <c r="EB120" s="21">
        <f>EXP(-LN(2)/25)*EB119+(1-EXP(-LN(2)/25))/(LN(2)/25)*Calculateur!DW120*Calculateur!DY120*VLOOKUP('Données projet'!$B$14,Paramètres!$A$1:$I$89,3,0)*0.475*44/12</f>
        <v>8.5346653578543101</v>
      </c>
      <c r="EC120" s="21">
        <f>EXP(-LN(2)/2)*EC119+(1-EXP(-LN(2)/2))/(LN(2)/2)*DW120*DZ120*VLOOKUP('Données projet'!$B$14,Paramètres!$A$1:$I$89,3,0)*0.475*44/12</f>
        <v>2.1658537117156778E-3</v>
      </c>
      <c r="ED120" s="22">
        <f t="shared" si="72"/>
        <v>18.440704024238535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1.1368683772161603E-13</v>
      </c>
      <c r="EK120" s="17">
        <f>EJ120*VLOOKUP('Données projet'!$B$15,Paramètres!$A$1:$I$89,3,0)*VLOOKUP('Données projet'!$B$15,Paramètres!$A$1:$I$89,5,0)</f>
        <v>9.2222762759774927E-14</v>
      </c>
      <c r="EL120" s="13">
        <f t="shared" si="99"/>
        <v>1.3985662224947967E-12</v>
      </c>
      <c r="EM120" s="20">
        <f t="shared" si="73"/>
        <v>2.5964574826517121E-12</v>
      </c>
      <c r="EN120" s="59">
        <f t="shared" si="74"/>
        <v>293.33333333333593</v>
      </c>
      <c r="EO120" s="59">
        <f ca="1">AVERAGE(OFFSET($EN$3,0,0,'Données projet'!$E$15+1,1))-AVERAGE(OFFSET($H$3,0,0,'Données projet'!$E$15+1,1))</f>
        <v>159.68591355116837</v>
      </c>
      <c r="EP120" s="59">
        <f t="shared" si="100"/>
        <v>284.32631786390112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3.1739854443745772</v>
      </c>
      <c r="EW120" s="21">
        <f>EXP(-LN(2)/25)*EW119+(1-EXP(-LN(2)/25))/(LN(2)/25)*Calculateur!ER120*Calculateur!ET120*VLOOKUP('Données projet'!$B$15,Paramètres!$A$1:$I$89,3,0)*0.475*44/12</f>
        <v>2.2847323355177398</v>
      </c>
      <c r="EX120" s="21">
        <f>EXP(-LN(2)/2)*EX119+(1-EXP(-LN(2)/2))/(LN(2)/2)*ER120*EU120*VLOOKUP('Données projet'!$B$15,Paramètres!$A$1:$I$89,3,0)*0.475*44/12</f>
        <v>7.5069223304802475E-11</v>
      </c>
      <c r="EY120" s="22">
        <f t="shared" si="75"/>
        <v>5.4587177799673858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-1.3567387213697657E-13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299.10536994156814</v>
      </c>
      <c r="FK120" s="59">
        <f t="shared" si="102"/>
        <v>292.57799203101769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19.522845490106725</v>
      </c>
      <c r="FR120" s="21">
        <f>EXP(-LN(2)/25)*FR119+(1-EXP(-LN(2)/25))/(LN(2)/25)*Calculateur!FM120*Calculateur!FO120*VLOOKUP('Données projet'!$B$16,Paramètres!$A$1:$I$89,3,0)*0.475*44/12</f>
        <v>15.18632936699438</v>
      </c>
      <c r="FS120" s="21">
        <f>EXP(-LN(2)/2)*FS119+(1-EXP(-LN(2)/2))/(LN(2)/2)*FM120*FP120*VLOOKUP('Données projet'!$B$16,Paramètres!$A$1:$I$89,3,0)*0.475*44/12</f>
        <v>1.4021059336338158E-4</v>
      </c>
      <c r="FT120" s="22">
        <f t="shared" si="78"/>
        <v>34.709315067694469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5.6843418860808015E-14</v>
      </c>
      <c r="GA120" s="17">
        <f>FZ120*VLOOKUP('Données projet'!$B$17,Paramètres!$A$1:$I$89,3,0)*VLOOKUP('Données projet'!$B$17,Paramètres!$A$1:$I$89,5,0)</f>
        <v>5.1431925385259088E-14</v>
      </c>
      <c r="GB120" s="13">
        <f t="shared" si="103"/>
        <v>8.3482866290946129E-13</v>
      </c>
      <c r="GC120" s="20">
        <f t="shared" si="79"/>
        <v>1.5435705246133045E-12</v>
      </c>
      <c r="GD120" s="59">
        <f t="shared" si="80"/>
        <v>293.33333333333485</v>
      </c>
      <c r="GE120" s="59">
        <f ca="1">AVERAGE(OFFSET($GD$3,0,0,'Données projet'!$E$17+1,1))-AVERAGE(OFFSET($H$3,0,0,'Données projet'!$E$17+1,1))</f>
        <v>204.78565758021779</v>
      </c>
      <c r="GF120" s="59">
        <f t="shared" si="104"/>
        <v>287.25131613242439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3.7507725210818679</v>
      </c>
      <c r="GM120" s="21">
        <f>EXP(-LN(2)/25)*GM119+(1-EXP(-LN(2)/25))/(LN(2)/25)*Calculateur!GH120*Calculateur!GJ120*VLOOKUP('Données projet'!$B$17,Paramètres!$A$1:$I$89,3,0)*0.475*44/12</f>
        <v>1.7954222035604301</v>
      </c>
      <c r="GN120" s="21">
        <f>EXP(-LN(2)/2)*GN119+(1-EXP(-LN(2)/2))/(LN(2)/2)*GH120*GK120*VLOOKUP('Données projet'!$B$17,Paramètres!$A$1:$I$89,3,0)*0.475*44/12</f>
        <v>2.0067948766332636E-10</v>
      </c>
      <c r="GO120" s="21">
        <f t="shared" si="81"/>
        <v>5.5461947248429775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5.6843418860808015E-14</v>
      </c>
      <c r="GV120" s="17">
        <f>GU120*VLOOKUP('Données projet'!$B$18,Paramètres!$A$1:$I$89,3,0)*VLOOKUP('Données projet'!$B$18,Paramètres!$A$1:$I$89,5,0)</f>
        <v>4.4337866711430253E-14</v>
      </c>
      <c r="GW120" s="13">
        <f t="shared" si="105"/>
        <v>7.3222115536967035E-13</v>
      </c>
      <c r="GX120" s="20">
        <f t="shared" si="82"/>
        <v>1.3525069634579169E-12</v>
      </c>
      <c r="GY120" s="59">
        <f t="shared" si="83"/>
        <v>293.33333333333468</v>
      </c>
      <c r="GZ120" s="59">
        <f ca="1">AVERAGE(OFFSET($GY$3,0,0,'Données projet'!$E$18+1,1))-AVERAGE(OFFSET($H$3,0,0,'Données projet'!$E$18+1,1))</f>
        <v>288.82868507674738</v>
      </c>
      <c r="HA120" s="59">
        <f t="shared" si="106"/>
        <v>283.48738729114024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16.619309576007222</v>
      </c>
      <c r="HH120" s="21">
        <f>EXP(-LN(2)/25)*HH119+(1-EXP(-LN(2)/25))/(LN(2)/25)*Calculateur!HC120*Calculateur!HE120*VLOOKUP('Données projet'!$B$18,Paramètres!$A$1:$I$89,3,0)*0.475*44/12</f>
        <v>11.187262759987739</v>
      </c>
      <c r="HI120" s="21">
        <f>EXP(-LN(2)/2)*HI119+(1-EXP(-LN(2)/2))/(LN(2)/2)*HC120*HF120*VLOOKUP('Données projet'!$B$18,Paramètres!$A$1:$I$89,3,0)*0.475*44/12</f>
        <v>3.621341088609903E-6</v>
      </c>
      <c r="HJ120" s="22">
        <f t="shared" si="84"/>
        <v>27.806575957336051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349.71285006949597</v>
      </c>
      <c r="T121" s="59">
        <f t="shared" si="88"/>
        <v>258.51550516456842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72.213338400345989</v>
      </c>
      <c r="AA121" s="21">
        <f>EXP(-LN(2)/25)*AA120+(1-EXP(-LN(2)/25))/(LN(2)/25)*Calculateur!V121*Calculateur!X121*VLOOKUP('Données projet'!$B$9,Paramètres!$A$1:$I$89,3,0)*0.475*44/12</f>
        <v>18.042534050451341</v>
      </c>
      <c r="AB121" s="21">
        <f>EXP(-LN(2)/2)*AB120+(1-EXP(-LN(2)/2))/(LN(2)/2)*V121*Y121*VLOOKUP('Données projet'!$B$9,Paramètres!$A$1:$I$89,3,0)*0.475*44/12</f>
        <v>1.3488129196397535E-4</v>
      </c>
      <c r="AC121" s="22">
        <f t="shared" si="57"/>
        <v>90.256007332089297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8.7019999999999982</v>
      </c>
      <c r="AI121" s="13">
        <f>IF('Données projet'!$A$62&gt;35,AI120+AH121-AQ120,IF(A121&lt;'Données projet'!$A$62,$AF$205^A121,IF(A121='Données projet'!$A$62,'Données projet'!$B$62,AI120+AH121-AQ120)))</f>
        <v>366.02000000000027</v>
      </c>
      <c r="AJ121" s="13">
        <f>AI121*VLOOKUP('Données projet'!$B$10,Paramètres!$A$1:$I$89,3,0)*VLOOKUP('Données projet'!$B$10,Paramètres!$A$1:$I$89,5,0)</f>
        <v>348.30463200000025</v>
      </c>
      <c r="AK121" s="13">
        <f t="shared" si="89"/>
        <v>81.213318766761901</v>
      </c>
      <c r="AL121" s="20">
        <f t="shared" si="58"/>
        <v>748.07709758544399</v>
      </c>
      <c r="AM121" s="59">
        <f t="shared" si="59"/>
        <v>1041.4104309187774</v>
      </c>
      <c r="AN121" s="59">
        <f ca="1">AVERAGE(OFFSET($AM$3,0,0,'Données projet'!$E$10+1,1))-AVERAGE(OFFSET($H$3,0,0,'Données projet'!$E$10+1,1))</f>
        <v>449.28947235329758</v>
      </c>
      <c r="AO121" s="59">
        <f t="shared" si="90"/>
        <v>289.36994109443964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48.063564230404566</v>
      </c>
      <c r="AV121" s="21">
        <f>EXP(-LN(2)/25)*AV120+(1-EXP(-LN(2)/25))/(LN(2)/25)*Calculateur!AQ121*Calculateur!AS121*VLOOKUP('Données projet'!$B$10,Paramètres!$A$1:$I$89,3,0)*0.475*44/12</f>
        <v>22.452963290453575</v>
      </c>
      <c r="AW121" s="21">
        <f>EXP(-LN(2)/2)*AW120+(1-EXP(-LN(2)/2))/(LN(2)/2)*AQ121*AT121*VLOOKUP('Données projet'!$B$10,Paramètres!$A$1:$I$89,3,0)*0.475*44/12</f>
        <v>2.5612690817802723E-5</v>
      </c>
      <c r="AX121" s="21">
        <f t="shared" si="60"/>
        <v>70.516553133548967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360.43974720000062</v>
      </c>
      <c r="BF121" s="13">
        <f t="shared" si="91"/>
        <v>83.708472633827739</v>
      </c>
      <c r="BG121" s="20">
        <f t="shared" si="61"/>
        <v>773.55814954391769</v>
      </c>
      <c r="BH121" s="59">
        <f t="shared" si="62"/>
        <v>1066.8914828772511</v>
      </c>
      <c r="BI121" s="59">
        <f ca="1">AVERAGE(OFFSET($BH$3,0,0,'Données projet'!$E$11+1,1))-AVERAGE(OFFSET($H$3,0,0,'Données projet'!$E$11+1,1))</f>
        <v>635.71275911100679</v>
      </c>
      <c r="BJ121" s="59">
        <f t="shared" si="92"/>
        <v>281.7776857269169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33.684468987099024</v>
      </c>
      <c r="BQ121" s="21">
        <f>EXP(-LN(2)/25)*BQ120+(1-EXP(-LN(2)/25))/(LN(2)/25)*Calculateur!BL121*Calculateur!BN121*VLOOKUP('Données projet'!$B$11,Paramètres!$A$1:$I$89,3,0)*0.475*44/12</f>
        <v>23.074530700102343</v>
      </c>
      <c r="BR121" s="21">
        <f>EXP(-LN(2)/2)*BR120+(1-EXP(-LN(2)/2))/(LN(2)/2)*BL121*BO121*VLOOKUP('Données projet'!$B$11,Paramètres!$A$1:$I$89,3,0)*0.475*44/12</f>
        <v>1.3657793110100189</v>
      </c>
      <c r="BS121" s="22">
        <f t="shared" si="63"/>
        <v>58.124778998211383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7.0011111111111104</v>
      </c>
      <c r="BY121" s="12">
        <f>IF('Données projet'!$A$114&gt;35,BY120+BX121-CG120,IF(A121&lt;'Données projet'!$A$114,$BV$205^A121,IF(A121='Données projet'!$A$114,'Données projet'!$B$114,BY120+BX121-CG120)))</f>
        <v>287.26555555555552</v>
      </c>
      <c r="BZ121" s="13">
        <f>BY121*VLOOKUP('Données projet'!$B$12,Paramètres!$A$1:$I$89,3,0)*VLOOKUP('Données projet'!$B$12,Paramètres!$A$1:$I$89,5,0)</f>
        <v>327.13801466666661</v>
      </c>
      <c r="CA121" s="13">
        <f t="shared" si="93"/>
        <v>76.836644122379781</v>
      </c>
      <c r="CB121" s="20">
        <f t="shared" si="64"/>
        <v>703.58919739092244</v>
      </c>
      <c r="CC121" s="59">
        <f t="shared" si="65"/>
        <v>996.92253072425569</v>
      </c>
      <c r="CD121" s="59">
        <f ca="1">AVERAGE(OFFSET($CC$3,0,0,'Données projet'!$E$12+1,1))-AVERAGE(OFFSET($H$3,0,0,'Données projet'!$E$12+1,1))</f>
        <v>593.28343396240075</v>
      </c>
      <c r="CE121" s="59">
        <f t="shared" si="94"/>
        <v>289.66477662068695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21.647109957519113</v>
      </c>
      <c r="CL121" s="21">
        <f>EXP(-LN(2)/25)*CL120+(1-EXP(-LN(2)/25))/(LN(2)/25)*Calculateur!CG121*Calculateur!CI121*VLOOKUP('Données projet'!$B$12,Paramètres!$A$1:$I$89,3,0)*0.475*44/12</f>
        <v>26.538327119460583</v>
      </c>
      <c r="CM121" s="21">
        <f>EXP(-LN(2)/2)*CM120+(1-EXP(-LN(2)/2))/(LN(2)/2)*CG121*CJ121*VLOOKUP('Données projet'!$B$12,Paramètres!$A$1:$I$89,3,0)*0.475*44/12</f>
        <v>0.82563550611538994</v>
      </c>
      <c r="CN121" s="22">
        <f t="shared" si="66"/>
        <v>49.011072583095086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2.2737367544323206E-13</v>
      </c>
      <c r="CU121" s="17">
        <f>CT121*VLOOKUP('Données projet'!$B$13,Paramètres!$A$1:$I$89,3,0)*VLOOKUP('Données projet'!$B$13,Paramètres!$A$1:$I$89,5,0)</f>
        <v>2.3765096557326618E-13</v>
      </c>
      <c r="CV121" s="13">
        <f t="shared" si="95"/>
        <v>3.2279907425805489E-12</v>
      </c>
      <c r="CW121" s="20">
        <f t="shared" si="67"/>
        <v>6.0359926417012276E-12</v>
      </c>
      <c r="CX121" s="59">
        <f t="shared" si="68"/>
        <v>293.33333333333934</v>
      </c>
      <c r="CY121" s="59">
        <f ca="1">AVERAGE(OFFSET($CX$3,0,0,'Données projet'!$E$13+1,1))-AVERAGE(OFFSET($H$3,0,0,'Données projet'!$E$13+1,1))</f>
        <v>260.65406541614402</v>
      </c>
      <c r="CZ121" s="59">
        <f t="shared" si="96"/>
        <v>277.63456890196886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10.346689637098466</v>
      </c>
      <c r="DG121" s="21">
        <f>EXP(-LN(2)/25)*DG120+(1-EXP(-LN(2)/25))/(LN(2)/25)*Calculateur!DB121*Calculateur!DD121*VLOOKUP('Données projet'!$B$13,Paramètres!$A$1:$I$89,3,0)*0.475*44/12</f>
        <v>22.792893767547195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33.139583404645663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2.2737367544323206E-13</v>
      </c>
      <c r="DP121" s="17">
        <f>DO121*VLOOKUP('Données projet'!$B$14,Paramètres!$A$1:$I$89,3,0)*VLOOKUP('Données projet'!$B$14,Paramètres!$A$1:$I$89,5,0)</f>
        <v>1.4897523215040565E-13</v>
      </c>
      <c r="DQ121" s="13">
        <f t="shared" si="97"/>
        <v>2.136562777003313E-12</v>
      </c>
      <c r="DR121" s="20">
        <f t="shared" si="70"/>
        <v>3.9806453659427267E-12</v>
      </c>
      <c r="DS121" s="59">
        <f t="shared" si="71"/>
        <v>293.33333333333729</v>
      </c>
      <c r="DT121" s="59">
        <f ca="1">AVERAGE(OFFSET($DS$3,0,0,'Données projet'!$E$14+1,1))-AVERAGE(OFFSET($H$3,0,0,'Données projet'!$E$14+1,1))</f>
        <v>181.4272795535777</v>
      </c>
      <c r="DU121" s="59">
        <f t="shared" si="98"/>
        <v>187.67131775419904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9.7096639075819429</v>
      </c>
      <c r="EB121" s="21">
        <f>EXP(-LN(2)/25)*EB120+(1-EXP(-LN(2)/25))/(LN(2)/25)*Calculateur!DW121*Calculateur!DY121*VLOOKUP('Données projet'!$B$14,Paramètres!$A$1:$I$89,3,0)*0.475*44/12</f>
        <v>8.3012844848252385</v>
      </c>
      <c r="EC121" s="21">
        <f>EXP(-LN(2)/2)*EC120+(1-EXP(-LN(2)/2))/(LN(2)/2)*DW121*DZ121*VLOOKUP('Données projet'!$B$14,Paramètres!$A$1:$I$89,3,0)*0.475*44/12</f>
        <v>1.5314898466122096E-3</v>
      </c>
      <c r="ED121" s="22">
        <f t="shared" si="72"/>
        <v>18.012479882253793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1.1368683772161603E-13</v>
      </c>
      <c r="EK121" s="17">
        <f>EJ121*VLOOKUP('Données projet'!$B$15,Paramètres!$A$1:$I$89,3,0)*VLOOKUP('Données projet'!$B$15,Paramètres!$A$1:$I$89,5,0)</f>
        <v>9.2222762759774927E-14</v>
      </c>
      <c r="EL121" s="13">
        <f t="shared" si="99"/>
        <v>1.3985662224947967E-12</v>
      </c>
      <c r="EM121" s="20">
        <f t="shared" si="73"/>
        <v>2.5964574826517121E-12</v>
      </c>
      <c r="EN121" s="59">
        <f t="shared" si="74"/>
        <v>293.33333333333593</v>
      </c>
      <c r="EO121" s="59">
        <f ca="1">AVERAGE(OFFSET($EN$3,0,0,'Données projet'!$E$15+1,1))-AVERAGE(OFFSET($H$3,0,0,'Données projet'!$E$15+1,1))</f>
        <v>159.68591355116837</v>
      </c>
      <c r="EP121" s="59">
        <f t="shared" si="100"/>
        <v>284.32631786390112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3.1117455257503548</v>
      </c>
      <c r="EW121" s="21">
        <f>EXP(-LN(2)/25)*EW120+(1-EXP(-LN(2)/25))/(LN(2)/25)*Calculateur!ER121*Calculateur!ET121*VLOOKUP('Données projet'!$B$15,Paramètres!$A$1:$I$89,3,0)*0.475*44/12</f>
        <v>2.2222562096541556</v>
      </c>
      <c r="EX121" s="21">
        <f>EXP(-LN(2)/2)*EX120+(1-EXP(-LN(2)/2))/(LN(2)/2)*ER121*EU121*VLOOKUP('Données projet'!$B$15,Paramètres!$A$1:$I$89,3,0)*0.475*44/12</f>
        <v>5.3081956857233038E-11</v>
      </c>
      <c r="EY121" s="22">
        <f t="shared" si="75"/>
        <v>5.3340017354575924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-1.3567387213697657E-13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299.10536994156814</v>
      </c>
      <c r="FK121" s="59">
        <f t="shared" si="102"/>
        <v>292.57799203101769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19.140014397805686</v>
      </c>
      <c r="FR121" s="21">
        <f>EXP(-LN(2)/25)*FR120+(1-EXP(-LN(2)/25))/(LN(2)/25)*Calculateur!FM121*Calculateur!FO121*VLOOKUP('Données projet'!$B$16,Paramètres!$A$1:$I$89,3,0)*0.475*44/12</f>
        <v>14.771058391839567</v>
      </c>
      <c r="FS121" s="21">
        <f>EXP(-LN(2)/2)*FS120+(1-EXP(-LN(2)/2))/(LN(2)/2)*FM121*FP121*VLOOKUP('Données projet'!$B$16,Paramètres!$A$1:$I$89,3,0)*0.475*44/12</f>
        <v>9.9143861361436654E-5</v>
      </c>
      <c r="FT121" s="22">
        <f t="shared" si="78"/>
        <v>33.911171933506616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5.6843418860808015E-14</v>
      </c>
      <c r="GA121" s="17">
        <f>FZ121*VLOOKUP('Données projet'!$B$17,Paramètres!$A$1:$I$89,3,0)*VLOOKUP('Données projet'!$B$17,Paramètres!$A$1:$I$89,5,0)</f>
        <v>5.1431925385259088E-14</v>
      </c>
      <c r="GB121" s="13">
        <f t="shared" si="103"/>
        <v>8.3482866290946129E-13</v>
      </c>
      <c r="GC121" s="20">
        <f t="shared" si="79"/>
        <v>1.5435705246133045E-12</v>
      </c>
      <c r="GD121" s="59">
        <f t="shared" si="80"/>
        <v>293.33333333333485</v>
      </c>
      <c r="GE121" s="59">
        <f ca="1">AVERAGE(OFFSET($GD$3,0,0,'Données projet'!$E$17+1,1))-AVERAGE(OFFSET($H$3,0,0,'Données projet'!$E$17+1,1))</f>
        <v>204.78565758021779</v>
      </c>
      <c r="GF121" s="59">
        <f t="shared" si="104"/>
        <v>287.25131613242439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3.6772221596887942</v>
      </c>
      <c r="GM121" s="21">
        <f>EXP(-LN(2)/25)*GM120+(1-EXP(-LN(2)/25))/(LN(2)/25)*Calculateur!GH121*Calculateur!GJ121*VLOOKUP('Données projet'!$B$17,Paramètres!$A$1:$I$89,3,0)*0.475*44/12</f>
        <v>1.74632628898692</v>
      </c>
      <c r="GN121" s="21">
        <f>EXP(-LN(2)/2)*GN120+(1-EXP(-LN(2)/2))/(LN(2)/2)*GH121*GK121*VLOOKUP('Données projet'!$B$17,Paramètres!$A$1:$I$89,3,0)*0.475*44/12</f>
        <v>1.4190182657178017E-10</v>
      </c>
      <c r="GO121" s="21">
        <f t="shared" si="81"/>
        <v>5.4235484488176153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5.6843418860808015E-14</v>
      </c>
      <c r="GV121" s="17">
        <f>GU121*VLOOKUP('Données projet'!$B$18,Paramètres!$A$1:$I$89,3,0)*VLOOKUP('Données projet'!$B$18,Paramètres!$A$1:$I$89,5,0)</f>
        <v>4.4337866711430253E-14</v>
      </c>
      <c r="GW121" s="13">
        <f t="shared" si="105"/>
        <v>7.3222115536967035E-13</v>
      </c>
      <c r="GX121" s="20">
        <f t="shared" si="82"/>
        <v>1.3525069634579169E-12</v>
      </c>
      <c r="GY121" s="59">
        <f t="shared" si="83"/>
        <v>293.33333333333468</v>
      </c>
      <c r="GZ121" s="59">
        <f ca="1">AVERAGE(OFFSET($GY$3,0,0,'Données projet'!$E$18+1,1))-AVERAGE(OFFSET($H$3,0,0,'Données projet'!$E$18+1,1))</f>
        <v>288.82868507674738</v>
      </c>
      <c r="HA121" s="59">
        <f t="shared" si="106"/>
        <v>283.48738729114024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16.293415051999638</v>
      </c>
      <c r="HH121" s="21">
        <f>EXP(-LN(2)/25)*HH120+(1-EXP(-LN(2)/25))/(LN(2)/25)*Calculateur!HC121*Calculateur!HE121*VLOOKUP('Données projet'!$B$18,Paramètres!$A$1:$I$89,3,0)*0.475*44/12</f>
        <v>10.881346471503294</v>
      </c>
      <c r="HI121" s="21">
        <f>EXP(-LN(2)/2)*HI120+(1-EXP(-LN(2)/2))/(LN(2)/2)*HC121*HF121*VLOOKUP('Données projet'!$B$18,Paramètres!$A$1:$I$89,3,0)*0.475*44/12</f>
        <v>2.5606748407455365E-6</v>
      </c>
      <c r="HJ121" s="22">
        <f t="shared" si="84"/>
        <v>27.17476408417777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349.71285006949597</v>
      </c>
      <c r="T122" s="59">
        <f t="shared" si="88"/>
        <v>258.51550516456842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70.797278880102468</v>
      </c>
      <c r="AA122" s="21">
        <f>EXP(-LN(2)/25)*AA121+(1-EXP(-LN(2)/25))/(LN(2)/25)*Calculateur!V122*Calculateur!X122*VLOOKUP('Données projet'!$B$9,Paramètres!$A$1:$I$89,3,0)*0.475*44/12</f>
        <v>17.549160008026121</v>
      </c>
      <c r="AB122" s="21">
        <f>EXP(-LN(2)/2)*AB121+(1-EXP(-LN(2)/2))/(LN(2)/2)*V122*Y122*VLOOKUP('Données projet'!$B$9,Paramètres!$A$1:$I$89,3,0)*0.475*44/12</f>
        <v>9.5375476202929548E-5</v>
      </c>
      <c r="AC122" s="22">
        <f t="shared" si="57"/>
        <v>88.346534263604795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8.7019999999999982</v>
      </c>
      <c r="AI122" s="13">
        <f>IF('Données projet'!$A$62&gt;35,AI121+AH122-AQ121,IF(A122&lt;'Données projet'!$A$62,$AF$205^A122,IF(A122='Données projet'!$A$62,'Données projet'!$B$62,AI121+AH122-AQ121)))</f>
        <v>374.72200000000026</v>
      </c>
      <c r="AJ122" s="13">
        <f>AI122*VLOOKUP('Données projet'!$B$10,Paramètres!$A$1:$I$89,3,0)*VLOOKUP('Données projet'!$B$10,Paramètres!$A$1:$I$89,5,0)</f>
        <v>356.58545520000024</v>
      </c>
      <c r="AK122" s="13">
        <f t="shared" si="89"/>
        <v>82.917050226144909</v>
      </c>
      <c r="AL122" s="20">
        <f t="shared" si="58"/>
        <v>765.46686361720276</v>
      </c>
      <c r="AM122" s="59">
        <f t="shared" si="59"/>
        <v>1058.800196950536</v>
      </c>
      <c r="AN122" s="59">
        <f ca="1">AVERAGE(OFFSET($AM$3,0,0,'Données projet'!$E$10+1,1))-AVERAGE(OFFSET($H$3,0,0,'Données projet'!$E$10+1,1))</f>
        <v>449.28947235329758</v>
      </c>
      <c r="AO122" s="59">
        <f t="shared" si="90"/>
        <v>289.36994109443964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47.121067051725809</v>
      </c>
      <c r="AV122" s="21">
        <f>EXP(-LN(2)/25)*AV121+(1-EXP(-LN(2)/25))/(LN(2)/25)*Calculateur!AQ122*Calculateur!AS122*VLOOKUP('Données projet'!$B$10,Paramètres!$A$1:$I$89,3,0)*0.475*44/12</f>
        <v>21.838985828526098</v>
      </c>
      <c r="AW122" s="21">
        <f>EXP(-LN(2)/2)*AW121+(1-EXP(-LN(2)/2))/(LN(2)/2)*AQ122*AT122*VLOOKUP('Données projet'!$B$10,Paramètres!$A$1:$I$89,3,0)*0.475*44/12</f>
        <v>1.8110907361702725E-5</v>
      </c>
      <c r="AX122" s="21">
        <f t="shared" si="60"/>
        <v>68.96007099115927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368.5069440000006</v>
      </c>
      <c r="BF122" s="13">
        <f t="shared" si="91"/>
        <v>85.361780301252097</v>
      </c>
      <c r="BG122" s="20">
        <f t="shared" si="61"/>
        <v>790.48802815801503</v>
      </c>
      <c r="BH122" s="59">
        <f t="shared" si="62"/>
        <v>1083.8213614913484</v>
      </c>
      <c r="BI122" s="59">
        <f ca="1">AVERAGE(OFFSET($BH$3,0,0,'Données projet'!$E$11+1,1))-AVERAGE(OFFSET($H$3,0,0,'Données projet'!$E$11+1,1))</f>
        <v>635.71275911100679</v>
      </c>
      <c r="BJ122" s="59">
        <f t="shared" si="92"/>
        <v>281.7776857269169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33.023937095759393</v>
      </c>
      <c r="BQ122" s="21">
        <f>EXP(-LN(2)/25)*BQ121+(1-EXP(-LN(2)/25))/(LN(2)/25)*Calculateur!BL122*Calculateur!BN122*VLOOKUP('Données projet'!$B$11,Paramètres!$A$1:$I$89,3,0)*0.475*44/12</f>
        <v>22.443556444671213</v>
      </c>
      <c r="BR122" s="21">
        <f>EXP(-LN(2)/2)*BR121+(1-EXP(-LN(2)/2))/(LN(2)/2)*BL122*BO122*VLOOKUP('Données projet'!$B$11,Paramètres!$A$1:$I$89,3,0)*0.475*44/12</f>
        <v>0.96575181241947516</v>
      </c>
      <c r="BS122" s="22">
        <f t="shared" si="63"/>
        <v>56.433245352850086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7.0011111111111104</v>
      </c>
      <c r="BY122" s="12">
        <f>IF('Données projet'!$A$114&gt;35,BY121+BX122-CG121,IF(A122&lt;'Données projet'!$A$114,$BV$205^A122,IF(A122='Données projet'!$A$114,'Données projet'!$B$114,BY121+BX122-CG121)))</f>
        <v>294.26666666666665</v>
      </c>
      <c r="BZ122" s="13">
        <f>BY122*VLOOKUP('Données projet'!$B$12,Paramètres!$A$1:$I$89,3,0)*VLOOKUP('Données projet'!$B$12,Paramètres!$A$1:$I$89,5,0)</f>
        <v>335.11088000000001</v>
      </c>
      <c r="CA122" s="13">
        <f t="shared" si="93"/>
        <v>78.48897334219626</v>
      </c>
      <c r="CB122" s="20">
        <f t="shared" si="64"/>
        <v>720.35307790432523</v>
      </c>
      <c r="CC122" s="59">
        <f t="shared" si="65"/>
        <v>1013.6864112376586</v>
      </c>
      <c r="CD122" s="59">
        <f ca="1">AVERAGE(OFFSET($CC$3,0,0,'Données projet'!$E$12+1,1))-AVERAGE(OFFSET($H$3,0,0,'Données projet'!$E$12+1,1))</f>
        <v>593.28343396240075</v>
      </c>
      <c r="CE122" s="59">
        <f t="shared" si="94"/>
        <v>289.66477662068695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21.222623334685508</v>
      </c>
      <c r="CL122" s="21">
        <f>EXP(-LN(2)/25)*CL121+(1-EXP(-LN(2)/25))/(LN(2)/25)*Calculateur!CG122*Calculateur!CI122*VLOOKUP('Données projet'!$B$12,Paramètres!$A$1:$I$89,3,0)*0.475*44/12</f>
        <v>25.812635168788965</v>
      </c>
      <c r="CM122" s="21">
        <f>EXP(-LN(2)/2)*CM121+(1-EXP(-LN(2)/2))/(LN(2)/2)*CG122*CJ122*VLOOKUP('Données projet'!$B$12,Paramètres!$A$1:$I$89,3,0)*0.475*44/12</f>
        <v>0.58381246516257945</v>
      </c>
      <c r="CN122" s="22">
        <f t="shared" si="66"/>
        <v>47.619070968637054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2.2737367544323206E-13</v>
      </c>
      <c r="CU122" s="17">
        <f>CT122*VLOOKUP('Données projet'!$B$13,Paramètres!$A$1:$I$89,3,0)*VLOOKUP('Données projet'!$B$13,Paramètres!$A$1:$I$89,5,0)</f>
        <v>2.3765096557326618E-13</v>
      </c>
      <c r="CV122" s="13">
        <f t="shared" si="95"/>
        <v>3.2279907425805489E-12</v>
      </c>
      <c r="CW122" s="20">
        <f t="shared" si="67"/>
        <v>6.0359926417012276E-12</v>
      </c>
      <c r="CX122" s="59">
        <f t="shared" si="68"/>
        <v>293.33333333333934</v>
      </c>
      <c r="CY122" s="59">
        <f ca="1">AVERAGE(OFFSET($CX$3,0,0,'Données projet'!$E$13+1,1))-AVERAGE(OFFSET($H$3,0,0,'Données projet'!$E$13+1,1))</f>
        <v>260.65406541614402</v>
      </c>
      <c r="CZ122" s="59">
        <f t="shared" si="96"/>
        <v>277.63456890196886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10.143797364172498</v>
      </c>
      <c r="DG122" s="21">
        <f>EXP(-LN(2)/25)*DG121+(1-EXP(-LN(2)/25))/(LN(2)/25)*Calculateur!DB122*Calculateur!DD122*VLOOKUP('Données projet'!$B$13,Paramètres!$A$1:$I$89,3,0)*0.475*44/12</f>
        <v>22.169620888847426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32.313418253019925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2.2737367544323206E-13</v>
      </c>
      <c r="DP122" s="17">
        <f>DO122*VLOOKUP('Données projet'!$B$14,Paramètres!$A$1:$I$89,3,0)*VLOOKUP('Données projet'!$B$14,Paramètres!$A$1:$I$89,5,0)</f>
        <v>1.4897523215040565E-13</v>
      </c>
      <c r="DQ122" s="13">
        <f t="shared" si="97"/>
        <v>2.136562777003313E-12</v>
      </c>
      <c r="DR122" s="20">
        <f t="shared" si="70"/>
        <v>3.9806453659427267E-12</v>
      </c>
      <c r="DS122" s="59">
        <f t="shared" si="71"/>
        <v>293.33333333333729</v>
      </c>
      <c r="DT122" s="59">
        <f ca="1">AVERAGE(OFFSET($DS$3,0,0,'Données projet'!$E$14+1,1))-AVERAGE(OFFSET($H$3,0,0,'Données projet'!$E$14+1,1))</f>
        <v>181.4272795535777</v>
      </c>
      <c r="DU122" s="59">
        <f t="shared" si="98"/>
        <v>187.67131775419904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9.5192633206644643</v>
      </c>
      <c r="EB122" s="21">
        <f>EXP(-LN(2)/25)*EB121+(1-EXP(-LN(2)/25))/(LN(2)/25)*Calculateur!DW122*Calculateur!DY122*VLOOKUP('Données projet'!$B$14,Paramètres!$A$1:$I$89,3,0)*0.475*44/12</f>
        <v>8.0742854240421149</v>
      </c>
      <c r="EC122" s="21">
        <f>EXP(-LN(2)/2)*EC121+(1-EXP(-LN(2)/2))/(LN(2)/2)*DW122*DZ122*VLOOKUP('Données projet'!$B$14,Paramètres!$A$1:$I$89,3,0)*0.475*44/12</f>
        <v>1.0829268558578389E-3</v>
      </c>
      <c r="ED122" s="22">
        <f t="shared" si="72"/>
        <v>17.594631671562439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1.1368683772161603E-13</v>
      </c>
      <c r="EK122" s="17">
        <f>EJ122*VLOOKUP('Données projet'!$B$15,Paramètres!$A$1:$I$89,3,0)*VLOOKUP('Données projet'!$B$15,Paramètres!$A$1:$I$89,5,0)</f>
        <v>9.2222762759774927E-14</v>
      </c>
      <c r="EL122" s="13">
        <f t="shared" si="99"/>
        <v>1.3985662224947967E-12</v>
      </c>
      <c r="EM122" s="20">
        <f t="shared" si="73"/>
        <v>2.5964574826517121E-12</v>
      </c>
      <c r="EN122" s="59">
        <f t="shared" si="74"/>
        <v>293.33333333333593</v>
      </c>
      <c r="EO122" s="59">
        <f ca="1">AVERAGE(OFFSET($EN$3,0,0,'Données projet'!$E$15+1,1))-AVERAGE(OFFSET($H$3,0,0,'Données projet'!$E$15+1,1))</f>
        <v>159.68591355116837</v>
      </c>
      <c r="EP122" s="59">
        <f t="shared" si="100"/>
        <v>284.32631786390112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3.0507260939677514</v>
      </c>
      <c r="EW122" s="21">
        <f>EXP(-LN(2)/25)*EW121+(1-EXP(-LN(2)/25))/(LN(2)/25)*Calculateur!ER122*Calculateur!ET122*VLOOKUP('Données projet'!$B$15,Paramètres!$A$1:$I$89,3,0)*0.475*44/12</f>
        <v>2.1614884967377876</v>
      </c>
      <c r="EX122" s="21">
        <f>EXP(-LN(2)/2)*EX121+(1-EXP(-LN(2)/2))/(LN(2)/2)*ER122*EU122*VLOOKUP('Données projet'!$B$15,Paramètres!$A$1:$I$89,3,0)*0.475*44/12</f>
        <v>3.7534611652401237E-11</v>
      </c>
      <c r="EY122" s="22">
        <f t="shared" si="75"/>
        <v>5.2122145907430735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-1.3567387213697657E-13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299.10536994156814</v>
      </c>
      <c r="FK122" s="59">
        <f t="shared" si="102"/>
        <v>292.57799203101769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18.764690389720762</v>
      </c>
      <c r="FR122" s="21">
        <f>EXP(-LN(2)/25)*FR121+(1-EXP(-LN(2)/25))/(LN(2)/25)*Calculateur!FM122*Calculateur!FO122*VLOOKUP('Données projet'!$B$16,Paramètres!$A$1:$I$89,3,0)*0.475*44/12</f>
        <v>14.367143023338514</v>
      </c>
      <c r="FS122" s="21">
        <f>EXP(-LN(2)/2)*FS121+(1-EXP(-LN(2)/2))/(LN(2)/2)*FM122*FP122*VLOOKUP('Données projet'!$B$16,Paramètres!$A$1:$I$89,3,0)*0.475*44/12</f>
        <v>7.0105296681690791E-5</v>
      </c>
      <c r="FT122" s="22">
        <f t="shared" si="78"/>
        <v>33.131903518355955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5.6843418860808015E-14</v>
      </c>
      <c r="GA122" s="17">
        <f>FZ122*VLOOKUP('Données projet'!$B$17,Paramètres!$A$1:$I$89,3,0)*VLOOKUP('Données projet'!$B$17,Paramètres!$A$1:$I$89,5,0)</f>
        <v>5.1431925385259088E-14</v>
      </c>
      <c r="GB122" s="13">
        <f t="shared" si="103"/>
        <v>8.3482866290946129E-13</v>
      </c>
      <c r="GC122" s="20">
        <f t="shared" si="79"/>
        <v>1.5435705246133045E-12</v>
      </c>
      <c r="GD122" s="59">
        <f t="shared" si="80"/>
        <v>293.33333333333485</v>
      </c>
      <c r="GE122" s="59">
        <f ca="1">AVERAGE(OFFSET($GD$3,0,0,'Données projet'!$E$17+1,1))-AVERAGE(OFFSET($H$3,0,0,'Données projet'!$E$17+1,1))</f>
        <v>204.78565758021779</v>
      </c>
      <c r="GF122" s="59">
        <f t="shared" si="104"/>
        <v>287.25131613242439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3.6051140760213478</v>
      </c>
      <c r="GM122" s="21">
        <f>EXP(-LN(2)/25)*GM121+(1-EXP(-LN(2)/25))/(LN(2)/25)*Calculateur!GH122*Calculateur!GJ122*VLOOKUP('Données projet'!$B$17,Paramètres!$A$1:$I$89,3,0)*0.475*44/12</f>
        <v>1.6985729047792644</v>
      </c>
      <c r="GN122" s="21">
        <f>EXP(-LN(2)/2)*GN121+(1-EXP(-LN(2)/2))/(LN(2)/2)*GH122*GK122*VLOOKUP('Données projet'!$B$17,Paramètres!$A$1:$I$89,3,0)*0.475*44/12</f>
        <v>1.0033974383166318E-10</v>
      </c>
      <c r="GO122" s="21">
        <f t="shared" si="81"/>
        <v>5.3036869809009524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5.6843418860808015E-14</v>
      </c>
      <c r="GV122" s="17">
        <f>GU122*VLOOKUP('Données projet'!$B$18,Paramètres!$A$1:$I$89,3,0)*VLOOKUP('Données projet'!$B$18,Paramètres!$A$1:$I$89,5,0)</f>
        <v>4.4337866711430253E-14</v>
      </c>
      <c r="GW122" s="13">
        <f t="shared" si="105"/>
        <v>7.3222115536967035E-13</v>
      </c>
      <c r="GX122" s="20">
        <f t="shared" si="82"/>
        <v>1.3525069634579169E-12</v>
      </c>
      <c r="GY122" s="59">
        <f t="shared" si="83"/>
        <v>293.33333333333468</v>
      </c>
      <c r="GZ122" s="59">
        <f ca="1">AVERAGE(OFFSET($GY$3,0,0,'Données projet'!$E$18+1,1))-AVERAGE(OFFSET($H$3,0,0,'Données projet'!$E$18+1,1))</f>
        <v>288.82868507674738</v>
      </c>
      <c r="HA122" s="59">
        <f t="shared" si="106"/>
        <v>283.48738729114024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15.973911120831811</v>
      </c>
      <c r="HH122" s="21">
        <f>EXP(-LN(2)/25)*HH121+(1-EXP(-LN(2)/25))/(LN(2)/25)*Calculateur!HC122*Calculateur!HE122*VLOOKUP('Données projet'!$B$18,Paramètres!$A$1:$I$89,3,0)*0.475*44/12</f>
        <v>10.583795480014896</v>
      </c>
      <c r="HI122" s="21">
        <f>EXP(-LN(2)/2)*HI121+(1-EXP(-LN(2)/2))/(LN(2)/2)*HC122*HF122*VLOOKUP('Données projet'!$B$18,Paramètres!$A$1:$I$89,3,0)*0.475*44/12</f>
        <v>1.8106705443049515E-6</v>
      </c>
      <c r="HJ122" s="22">
        <f t="shared" si="84"/>
        <v>26.55770841151725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349.71285006949597</v>
      </c>
      <c r="T123" s="59">
        <f t="shared" si="88"/>
        <v>258.51550516456842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69.408987423339894</v>
      </c>
      <c r="AA123" s="21">
        <f>EXP(-LN(2)/25)*AA122+(1-EXP(-LN(2)/25))/(LN(2)/25)*Calculateur!V123*Calculateur!X123*VLOOKUP('Données projet'!$B$9,Paramètres!$A$1:$I$89,3,0)*0.475*44/12</f>
        <v>17.069277304736431</v>
      </c>
      <c r="AB123" s="21">
        <f>EXP(-LN(2)/2)*AB122+(1-EXP(-LN(2)/2))/(LN(2)/2)*V123*Y123*VLOOKUP('Données projet'!$B$9,Paramètres!$A$1:$I$89,3,0)*0.475*44/12</f>
        <v>6.7440645981987673E-5</v>
      </c>
      <c r="AC123" s="22">
        <f t="shared" si="57"/>
        <v>86.478332168722304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8.7019999999999982</v>
      </c>
      <c r="AI123" s="13">
        <f>IF('Données projet'!$A$62&gt;35,AI122+AH123-AQ122,IF(A123&lt;'Données projet'!$A$62,$AF$205^A123,IF(A123='Données projet'!$A$62,'Données projet'!$B$62,AI122+AH123-AQ122)))</f>
        <v>383.42400000000026</v>
      </c>
      <c r="AJ123" s="13">
        <f>AI123*VLOOKUP('Données projet'!$B$10,Paramètres!$A$1:$I$89,3,0)*VLOOKUP('Données projet'!$B$10,Paramètres!$A$1:$I$89,5,0)</f>
        <v>364.86627840000023</v>
      </c>
      <c r="AK123" s="13">
        <f t="shared" si="89"/>
        <v>84.61618210285377</v>
      </c>
      <c r="AL123" s="20">
        <f t="shared" si="58"/>
        <v>782.84861870913744</v>
      </c>
      <c r="AM123" s="59">
        <f t="shared" si="59"/>
        <v>1076.1819520424708</v>
      </c>
      <c r="AN123" s="59">
        <f ca="1">AVERAGE(OFFSET($AM$3,0,0,'Données projet'!$E$10+1,1))-AVERAGE(OFFSET($H$3,0,0,'Données projet'!$E$10+1,1))</f>
        <v>449.28947235329758</v>
      </c>
      <c r="AO123" s="59">
        <f t="shared" si="90"/>
        <v>289.36994109443964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46.197051667854431</v>
      </c>
      <c r="AV123" s="21">
        <f>EXP(-LN(2)/25)*AV122+(1-EXP(-LN(2)/25))/(LN(2)/25)*Calculateur!AQ123*Calculateur!AS123*VLOOKUP('Données projet'!$B$10,Paramètres!$A$1:$I$89,3,0)*0.475*44/12</f>
        <v>21.241797612582701</v>
      </c>
      <c r="AW123" s="21">
        <f>EXP(-LN(2)/2)*AW122+(1-EXP(-LN(2)/2))/(LN(2)/2)*AQ123*AT123*VLOOKUP('Données projet'!$B$10,Paramètres!$A$1:$I$89,3,0)*0.475*44/12</f>
        <v>1.2806345408901362E-5</v>
      </c>
      <c r="AX123" s="21">
        <f t="shared" si="60"/>
        <v>67.438862086782535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376.57414080000063</v>
      </c>
      <c r="BF123" s="13">
        <f t="shared" si="91"/>
        <v>87.010880052402811</v>
      </c>
      <c r="BG123" s="20">
        <f t="shared" si="61"/>
        <v>807.41057798460258</v>
      </c>
      <c r="BH123" s="59">
        <f t="shared" si="62"/>
        <v>1100.743911317936</v>
      </c>
      <c r="BI123" s="59">
        <f ca="1">AVERAGE(OFFSET($BH$3,0,0,'Données projet'!$E$11+1,1))-AVERAGE(OFFSET($H$3,0,0,'Données projet'!$E$11+1,1))</f>
        <v>635.71275911100679</v>
      </c>
      <c r="BJ123" s="59">
        <f t="shared" si="92"/>
        <v>281.7776857269169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32.37635783192426</v>
      </c>
      <c r="BQ123" s="21">
        <f>EXP(-LN(2)/25)*BQ122+(1-EXP(-LN(2)/25))/(LN(2)/25)*Calculateur!BL123*Calculateur!BN123*VLOOKUP('Données projet'!$B$11,Paramètres!$A$1:$I$89,3,0)*0.475*44/12</f>
        <v>21.829836213436341</v>
      </c>
      <c r="BR123" s="21">
        <f>EXP(-LN(2)/2)*BR122+(1-EXP(-LN(2)/2))/(LN(2)/2)*BL123*BO123*VLOOKUP('Données projet'!$B$11,Paramètres!$A$1:$I$89,3,0)*0.475*44/12</f>
        <v>0.68288965550500957</v>
      </c>
      <c r="BS123" s="22">
        <f t="shared" si="63"/>
        <v>54.889083700865612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7.0011111111111104</v>
      </c>
      <c r="BY123" s="12">
        <f>IF('Données projet'!$A$114&gt;35,BY122+BX123-CG122,IF(A123&lt;'Données projet'!$A$114,$BV$205^A123,IF(A123='Données projet'!$A$114,'Données projet'!$B$114,BY122+BX123-CG122)))</f>
        <v>301.26777777777778</v>
      </c>
      <c r="BZ123" s="13">
        <f>BY123*VLOOKUP('Données projet'!$B$12,Paramètres!$A$1:$I$89,3,0)*VLOOKUP('Données projet'!$B$12,Paramètres!$A$1:$I$89,5,0)</f>
        <v>343.08374533333335</v>
      </c>
      <c r="CA123" s="13">
        <f t="shared" si="93"/>
        <v>80.136732547820415</v>
      </c>
      <c r="CB123" s="20">
        <f t="shared" si="64"/>
        <v>737.10899897634272</v>
      </c>
      <c r="CC123" s="59">
        <f t="shared" si="65"/>
        <v>1030.442332309676</v>
      </c>
      <c r="CD123" s="59">
        <f ca="1">AVERAGE(OFFSET($CC$3,0,0,'Données projet'!$E$12+1,1))-AVERAGE(OFFSET($H$3,0,0,'Données projet'!$E$12+1,1))</f>
        <v>593.28343396240075</v>
      </c>
      <c r="CE123" s="59">
        <f t="shared" si="94"/>
        <v>289.66477662068695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20.806460635614393</v>
      </c>
      <c r="CL123" s="21">
        <f>EXP(-LN(2)/25)*CL122+(1-EXP(-LN(2)/25))/(LN(2)/25)*Calculateur!CG123*Calculateur!CI123*VLOOKUP('Données projet'!$B$12,Paramètres!$A$1:$I$89,3,0)*0.475*44/12</f>
        <v>25.106787302670941</v>
      </c>
      <c r="CM123" s="21">
        <f>EXP(-LN(2)/2)*CM122+(1-EXP(-LN(2)/2))/(LN(2)/2)*CG123*CJ123*VLOOKUP('Données projet'!$B$12,Paramètres!$A$1:$I$89,3,0)*0.475*44/12</f>
        <v>0.41281775305769497</v>
      </c>
      <c r="CN123" s="22">
        <f t="shared" si="66"/>
        <v>46.326065691343032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2.2737367544323206E-13</v>
      </c>
      <c r="CU123" s="17">
        <f>CT123*VLOOKUP('Données projet'!$B$13,Paramètres!$A$1:$I$89,3,0)*VLOOKUP('Données projet'!$B$13,Paramètres!$A$1:$I$89,5,0)</f>
        <v>2.3765096557326618E-13</v>
      </c>
      <c r="CV123" s="13">
        <f t="shared" si="95"/>
        <v>3.2279907425805489E-12</v>
      </c>
      <c r="CW123" s="20">
        <f t="shared" si="67"/>
        <v>6.0359926417012276E-12</v>
      </c>
      <c r="CX123" s="59">
        <f t="shared" si="68"/>
        <v>293.33333333333934</v>
      </c>
      <c r="CY123" s="59">
        <f ca="1">AVERAGE(OFFSET($CX$3,0,0,'Données projet'!$E$13+1,1))-AVERAGE(OFFSET($H$3,0,0,'Données projet'!$E$13+1,1))</f>
        <v>260.65406541614402</v>
      </c>
      <c r="CZ123" s="59">
        <f t="shared" si="96"/>
        <v>277.63456890196886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9.9448836849665412</v>
      </c>
      <c r="DG123" s="21">
        <f>EXP(-LN(2)/25)*DG122+(1-EXP(-LN(2)/25))/(LN(2)/25)*Calculateur!DB123*Calculateur!DD123*VLOOKUP('Données projet'!$B$13,Paramètres!$A$1:$I$89,3,0)*0.475*44/12</f>
        <v>21.563391439792198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31.50827512475874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2.2737367544323206E-13</v>
      </c>
      <c r="DP123" s="17">
        <f>DO123*VLOOKUP('Données projet'!$B$14,Paramètres!$A$1:$I$89,3,0)*VLOOKUP('Données projet'!$B$14,Paramètres!$A$1:$I$89,5,0)</f>
        <v>1.4897523215040565E-13</v>
      </c>
      <c r="DQ123" s="13">
        <f t="shared" si="97"/>
        <v>2.136562777003313E-12</v>
      </c>
      <c r="DR123" s="20">
        <f t="shared" si="70"/>
        <v>3.9806453659427267E-12</v>
      </c>
      <c r="DS123" s="59">
        <f t="shared" si="71"/>
        <v>293.33333333333729</v>
      </c>
      <c r="DT123" s="59">
        <f ca="1">AVERAGE(OFFSET($DS$3,0,0,'Données projet'!$E$14+1,1))-AVERAGE(OFFSET($H$3,0,0,'Données projet'!$E$14+1,1))</f>
        <v>181.4272795535777</v>
      </c>
      <c r="DU123" s="59">
        <f t="shared" si="98"/>
        <v>187.67131775419904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9.3325963731235468</v>
      </c>
      <c r="EB123" s="21">
        <f>EXP(-LN(2)/25)*EB122+(1-EXP(-LN(2)/25))/(LN(2)/25)*Calculateur!DW123*Calculateur!DY123*VLOOKUP('Données projet'!$B$14,Paramètres!$A$1:$I$89,3,0)*0.475*44/12</f>
        <v>7.8534936645134668</v>
      </c>
      <c r="EC123" s="21">
        <f>EXP(-LN(2)/2)*EC122+(1-EXP(-LN(2)/2))/(LN(2)/2)*DW123*DZ123*VLOOKUP('Données projet'!$B$14,Paramètres!$A$1:$I$89,3,0)*0.475*44/12</f>
        <v>7.6574492330610481E-4</v>
      </c>
      <c r="ED123" s="22">
        <f t="shared" si="72"/>
        <v>17.186855782560322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1.1368683772161603E-13</v>
      </c>
      <c r="EK123" s="17">
        <f>EJ123*VLOOKUP('Données projet'!$B$15,Paramètres!$A$1:$I$89,3,0)*VLOOKUP('Données projet'!$B$15,Paramètres!$A$1:$I$89,5,0)</f>
        <v>9.2222762759774927E-14</v>
      </c>
      <c r="EL123" s="13">
        <f t="shared" si="99"/>
        <v>1.3985662224947967E-12</v>
      </c>
      <c r="EM123" s="20">
        <f t="shared" si="73"/>
        <v>2.5964574826517121E-12</v>
      </c>
      <c r="EN123" s="59">
        <f t="shared" si="74"/>
        <v>293.33333333333593</v>
      </c>
      <c r="EO123" s="59">
        <f ca="1">AVERAGE(OFFSET($EN$3,0,0,'Données projet'!$E$15+1,1))-AVERAGE(OFFSET($H$3,0,0,'Données projet'!$E$15+1,1))</f>
        <v>159.68591355116837</v>
      </c>
      <c r="EP123" s="59">
        <f t="shared" si="100"/>
        <v>284.32631786390112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2.9909032160242264</v>
      </c>
      <c r="EW123" s="21">
        <f>EXP(-LN(2)/25)*EW122+(1-EXP(-LN(2)/25))/(LN(2)/25)*Calculateur!ER123*Calculateur!ET123*VLOOKUP('Données projet'!$B$15,Paramètres!$A$1:$I$89,3,0)*0.475*44/12</f>
        <v>2.102382480126753</v>
      </c>
      <c r="EX123" s="21">
        <f>EXP(-LN(2)/2)*EX122+(1-EXP(-LN(2)/2))/(LN(2)/2)*ER123*EU123*VLOOKUP('Données projet'!$B$15,Paramètres!$A$1:$I$89,3,0)*0.475*44/12</f>
        <v>2.6540978428616519E-11</v>
      </c>
      <c r="EY123" s="22">
        <f t="shared" si="75"/>
        <v>5.0932856961775199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-1.3567387213697657E-13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299.10536994156814</v>
      </c>
      <c r="FK123" s="59">
        <f t="shared" si="102"/>
        <v>292.57799203101769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18.396726256509343</v>
      </c>
      <c r="FR123" s="21">
        <f>EXP(-LN(2)/25)*FR122+(1-EXP(-LN(2)/25))/(LN(2)/25)*Calculateur!FM123*Calculateur!FO123*VLOOKUP('Données projet'!$B$16,Paramètres!$A$1:$I$89,3,0)*0.475*44/12</f>
        <v>13.974272741830108</v>
      </c>
      <c r="FS123" s="21">
        <f>EXP(-LN(2)/2)*FS122+(1-EXP(-LN(2)/2))/(LN(2)/2)*FM123*FP123*VLOOKUP('Données projet'!$B$16,Paramètres!$A$1:$I$89,3,0)*0.475*44/12</f>
        <v>4.9571930680718327E-5</v>
      </c>
      <c r="FT123" s="22">
        <f t="shared" si="78"/>
        <v>32.371048570270133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5.6843418860808015E-14</v>
      </c>
      <c r="GA123" s="17">
        <f>FZ123*VLOOKUP('Données projet'!$B$17,Paramètres!$A$1:$I$89,3,0)*VLOOKUP('Données projet'!$B$17,Paramètres!$A$1:$I$89,5,0)</f>
        <v>5.1431925385259088E-14</v>
      </c>
      <c r="GB123" s="13">
        <f t="shared" si="103"/>
        <v>8.3482866290946129E-13</v>
      </c>
      <c r="GC123" s="20">
        <f t="shared" si="79"/>
        <v>1.5435705246133045E-12</v>
      </c>
      <c r="GD123" s="59">
        <f t="shared" si="80"/>
        <v>293.33333333333485</v>
      </c>
      <c r="GE123" s="59">
        <f ca="1">AVERAGE(OFFSET($GD$3,0,0,'Données projet'!$E$17+1,1))-AVERAGE(OFFSET($H$3,0,0,'Données projet'!$E$17+1,1))</f>
        <v>204.78565758021779</v>
      </c>
      <c r="GF123" s="59">
        <f t="shared" si="104"/>
        <v>287.25131613242439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3.534419987893032</v>
      </c>
      <c r="GM123" s="21">
        <f>EXP(-LN(2)/25)*GM122+(1-EXP(-LN(2)/25))/(LN(2)/25)*Calculateur!GH123*Calculateur!GJ123*VLOOKUP('Données projet'!$B$17,Paramètres!$A$1:$I$89,3,0)*0.475*44/12</f>
        <v>1.6521253393740085</v>
      </c>
      <c r="GN123" s="21">
        <f>EXP(-LN(2)/2)*GN122+(1-EXP(-LN(2)/2))/(LN(2)/2)*GH123*GK123*VLOOKUP('Données projet'!$B$17,Paramètres!$A$1:$I$89,3,0)*0.475*44/12</f>
        <v>7.0950913285890087E-11</v>
      </c>
      <c r="GO123" s="21">
        <f t="shared" si="81"/>
        <v>5.186545327337992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5.6843418860808015E-14</v>
      </c>
      <c r="GV123" s="17">
        <f>GU123*VLOOKUP('Données projet'!$B$18,Paramètres!$A$1:$I$89,3,0)*VLOOKUP('Données projet'!$B$18,Paramètres!$A$1:$I$89,5,0)</f>
        <v>4.4337866711430253E-14</v>
      </c>
      <c r="GW123" s="13">
        <f t="shared" si="105"/>
        <v>7.3222115536967035E-13</v>
      </c>
      <c r="GX123" s="20">
        <f t="shared" si="82"/>
        <v>1.3525069634579169E-12</v>
      </c>
      <c r="GY123" s="59">
        <f t="shared" si="83"/>
        <v>293.33333333333468</v>
      </c>
      <c r="GZ123" s="59">
        <f ca="1">AVERAGE(OFFSET($GY$3,0,0,'Données projet'!$E$18+1,1))-AVERAGE(OFFSET($H$3,0,0,'Données projet'!$E$18+1,1))</f>
        <v>288.82868507674738</v>
      </c>
      <c r="HA123" s="59">
        <f t="shared" si="106"/>
        <v>283.48738729114024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15.660672466876029</v>
      </c>
      <c r="HH123" s="21">
        <f>EXP(-LN(2)/25)*HH122+(1-EXP(-LN(2)/25))/(LN(2)/25)*Calculateur!HC123*Calculateur!HE123*VLOOKUP('Données projet'!$B$18,Paramètres!$A$1:$I$89,3,0)*0.475*44/12</f>
        <v>10.294381036036274</v>
      </c>
      <c r="HI123" s="21">
        <f>EXP(-LN(2)/2)*HI122+(1-EXP(-LN(2)/2))/(LN(2)/2)*HC123*HF123*VLOOKUP('Données projet'!$B$18,Paramètres!$A$1:$I$89,3,0)*0.475*44/12</f>
        <v>1.2803374203727682E-6</v>
      </c>
      <c r="HJ123" s="22">
        <f t="shared" si="84"/>
        <v>25.955054783249725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349.71285006949597</v>
      </c>
      <c r="T124" s="59">
        <f t="shared" si="88"/>
        <v>258.51550516456842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68.047919515270266</v>
      </c>
      <c r="AA124" s="21">
        <f>EXP(-LN(2)/25)*AA123+(1-EXP(-LN(2)/25))/(LN(2)/25)*Calculateur!V124*Calculateur!X124*VLOOKUP('Données projet'!$B$9,Paramètres!$A$1:$I$89,3,0)*0.475*44/12</f>
        <v>16.602517019204132</v>
      </c>
      <c r="AB124" s="21">
        <f>EXP(-LN(2)/2)*AB123+(1-EXP(-LN(2)/2))/(LN(2)/2)*V124*Y124*VLOOKUP('Données projet'!$B$9,Paramètres!$A$1:$I$89,3,0)*0.475*44/12</f>
        <v>4.7687738101464774E-5</v>
      </c>
      <c r="AC124" s="22">
        <f t="shared" si="57"/>
        <v>84.650484222212498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8.7019999999999982</v>
      </c>
      <c r="AI124" s="13">
        <f>IF('Données projet'!$A$62&gt;35,AI123+AH124-AQ123,IF(A124&lt;'Données projet'!$A$62,$AF$205^A124,IF(A124='Données projet'!$A$62,'Données projet'!$B$62,AI123+AH124-AQ123)))</f>
        <v>392.12600000000026</v>
      </c>
      <c r="AJ124" s="13">
        <f>AI124*VLOOKUP('Données projet'!$B$10,Paramètres!$A$1:$I$89,3,0)*VLOOKUP('Données projet'!$B$10,Paramètres!$A$1:$I$89,5,0)</f>
        <v>373.14710160000027</v>
      </c>
      <c r="AK124" s="13">
        <f t="shared" si="89"/>
        <v>86.310830804095133</v>
      </c>
      <c r="AL124" s="20">
        <f t="shared" si="58"/>
        <v>800.22256560379947</v>
      </c>
      <c r="AM124" s="59">
        <f t="shared" si="59"/>
        <v>1093.5558989371327</v>
      </c>
      <c r="AN124" s="59">
        <f ca="1">AVERAGE(OFFSET($AM$3,0,0,'Données projet'!$E$10+1,1))-AVERAGE(OFFSET($H$3,0,0,'Données projet'!$E$10+1,1))</f>
        <v>449.28947235329758</v>
      </c>
      <c r="AO124" s="59">
        <f t="shared" si="90"/>
        <v>289.36994109443964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45.291155662067034</v>
      </c>
      <c r="AV124" s="21">
        <f>EXP(-LN(2)/25)*AV123+(1-EXP(-LN(2)/25))/(LN(2)/25)*Calculateur!AQ124*Calculateur!AS124*VLOOKUP('Données projet'!$B$10,Paramètres!$A$1:$I$89,3,0)*0.475*44/12</f>
        <v>20.660939539809039</v>
      </c>
      <c r="AW124" s="21">
        <f>EXP(-LN(2)/2)*AW123+(1-EXP(-LN(2)/2))/(LN(2)/2)*AQ124*AT124*VLOOKUP('Données projet'!$B$10,Paramètres!$A$1:$I$89,3,0)*0.475*44/12</f>
        <v>9.0554536808513626E-6</v>
      </c>
      <c r="AX124" s="21">
        <f t="shared" si="60"/>
        <v>65.952104257329751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384.64133760000061</v>
      </c>
      <c r="BF124" s="13">
        <f t="shared" si="91"/>
        <v>88.65587241476193</v>
      </c>
      <c r="BG124" s="20">
        <f t="shared" si="61"/>
        <v>824.32597410904464</v>
      </c>
      <c r="BH124" s="59">
        <f t="shared" si="62"/>
        <v>1117.6593074423779</v>
      </c>
      <c r="BI124" s="59">
        <f ca="1">AVERAGE(OFFSET($BH$3,0,0,'Données projet'!$E$11+1,1))-AVERAGE(OFFSET($H$3,0,0,'Données projet'!$E$11+1,1))</f>
        <v>635.71275911100679</v>
      </c>
      <c r="BJ124" s="59">
        <f t="shared" si="92"/>
        <v>281.7776857269169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31.741477202468587</v>
      </c>
      <c r="BQ124" s="21">
        <f>EXP(-LN(2)/25)*BQ123+(1-EXP(-LN(2)/25))/(LN(2)/25)*Calculateur!BL124*Calculateur!BN124*VLOOKUP('Données projet'!$B$11,Paramètres!$A$1:$I$89,3,0)*0.475*44/12</f>
        <v>21.232898194198729</v>
      </c>
      <c r="BR124" s="21">
        <f>EXP(-LN(2)/2)*BR123+(1-EXP(-LN(2)/2))/(LN(2)/2)*BL124*BO124*VLOOKUP('Données projet'!$B$11,Paramètres!$A$1:$I$89,3,0)*0.475*44/12</f>
        <v>0.48287590620973764</v>
      </c>
      <c r="BS124" s="22">
        <f t="shared" si="63"/>
        <v>53.457251302877047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7.0011111111111104</v>
      </c>
      <c r="BY124" s="12">
        <f>IF('Données projet'!$A$114&gt;35,BY123+BX124-CG123,IF(A124&lt;'Données projet'!$A$114,$BV$205^A124,IF(A124='Données projet'!$A$114,'Données projet'!$B$114,BY123+BX124-CG123)))</f>
        <v>308.26888888888891</v>
      </c>
      <c r="BZ124" s="13">
        <f>BY124*VLOOKUP('Données projet'!$B$12,Paramètres!$A$1:$I$89,3,0)*VLOOKUP('Données projet'!$B$12,Paramètres!$A$1:$I$89,5,0)</f>
        <v>351.0566106666667</v>
      </c>
      <c r="CA124" s="13">
        <f t="shared" si="93"/>
        <v>81.780040164262672</v>
      </c>
      <c r="CB124" s="20">
        <f t="shared" si="64"/>
        <v>753.85716686386866</v>
      </c>
      <c r="CC124" s="59">
        <f t="shared" si="65"/>
        <v>1047.190500197202</v>
      </c>
      <c r="CD124" s="59">
        <f ca="1">AVERAGE(OFFSET($CC$3,0,0,'Données projet'!$E$12+1,1))-AVERAGE(OFFSET($H$3,0,0,'Données projet'!$E$12+1,1))</f>
        <v>593.28343396240075</v>
      </c>
      <c r="CE124" s="59">
        <f t="shared" si="94"/>
        <v>289.66477662068695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20.39845863323788</v>
      </c>
      <c r="CL124" s="21">
        <f>EXP(-LN(2)/25)*CL123+(1-EXP(-LN(2)/25))/(LN(2)/25)*Calculateur!CG124*Calculateur!CI124*VLOOKUP('Données projet'!$B$12,Paramètres!$A$1:$I$89,3,0)*0.475*44/12</f>
        <v>24.420240883570841</v>
      </c>
      <c r="CM124" s="21">
        <f>EXP(-LN(2)/2)*CM123+(1-EXP(-LN(2)/2))/(LN(2)/2)*CG124*CJ124*VLOOKUP('Données projet'!$B$12,Paramètres!$A$1:$I$89,3,0)*0.475*44/12</f>
        <v>0.29190623258128973</v>
      </c>
      <c r="CN124" s="22">
        <f t="shared" si="66"/>
        <v>45.110605749390011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2.2737367544323206E-13</v>
      </c>
      <c r="CU124" s="17">
        <f>CT124*VLOOKUP('Données projet'!$B$13,Paramètres!$A$1:$I$89,3,0)*VLOOKUP('Données projet'!$B$13,Paramètres!$A$1:$I$89,5,0)</f>
        <v>2.3765096557326618E-13</v>
      </c>
      <c r="CV124" s="13">
        <f t="shared" si="95"/>
        <v>3.2279907425805489E-12</v>
      </c>
      <c r="CW124" s="20">
        <f t="shared" si="67"/>
        <v>6.0359926417012276E-12</v>
      </c>
      <c r="CX124" s="59">
        <f t="shared" si="68"/>
        <v>293.33333333333934</v>
      </c>
      <c r="CY124" s="59">
        <f ca="1">AVERAGE(OFFSET($CX$3,0,0,'Données projet'!$E$13+1,1))-AVERAGE(OFFSET($H$3,0,0,'Données projet'!$E$13+1,1))</f>
        <v>260.65406541614402</v>
      </c>
      <c r="CZ124" s="59">
        <f t="shared" si="96"/>
        <v>277.63456890196886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9.7498705816844495</v>
      </c>
      <c r="DG124" s="21">
        <f>EXP(-LN(2)/25)*DG123+(1-EXP(-LN(2)/25))/(LN(2)/25)*Calculateur!DB124*Calculateur!DD124*VLOOKUP('Données projet'!$B$13,Paramètres!$A$1:$I$89,3,0)*0.475*44/12</f>
        <v>20.973739366901608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30.723609948586059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2.2737367544323206E-13</v>
      </c>
      <c r="DP124" s="17">
        <f>DO124*VLOOKUP('Données projet'!$B$14,Paramètres!$A$1:$I$89,3,0)*VLOOKUP('Données projet'!$B$14,Paramètres!$A$1:$I$89,5,0)</f>
        <v>1.4897523215040565E-13</v>
      </c>
      <c r="DQ124" s="13">
        <f t="shared" si="97"/>
        <v>2.136562777003313E-12</v>
      </c>
      <c r="DR124" s="20">
        <f t="shared" si="70"/>
        <v>3.9806453659427267E-12</v>
      </c>
      <c r="DS124" s="59">
        <f t="shared" si="71"/>
        <v>293.33333333333729</v>
      </c>
      <c r="DT124" s="59">
        <f ca="1">AVERAGE(OFFSET($DS$3,0,0,'Données projet'!$E$14+1,1))-AVERAGE(OFFSET($H$3,0,0,'Données projet'!$E$14+1,1))</f>
        <v>181.4272795535777</v>
      </c>
      <c r="DU124" s="59">
        <f t="shared" si="98"/>
        <v>187.67131775419904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9.1495898505683115</v>
      </c>
      <c r="EB124" s="21">
        <f>EXP(-LN(2)/25)*EB123+(1-EXP(-LN(2)/25))/(LN(2)/25)*Calculateur!DW124*Calculateur!DY124*VLOOKUP('Données projet'!$B$14,Paramètres!$A$1:$I$89,3,0)*0.475*44/12</f>
        <v>7.6387394672600637</v>
      </c>
      <c r="EC124" s="21">
        <f>EXP(-LN(2)/2)*EC123+(1-EXP(-LN(2)/2))/(LN(2)/2)*DW124*DZ124*VLOOKUP('Données projet'!$B$14,Paramètres!$A$1:$I$89,3,0)*0.475*44/12</f>
        <v>5.4146342792891946E-4</v>
      </c>
      <c r="ED124" s="22">
        <f t="shared" si="72"/>
        <v>16.788870781256303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1.1368683772161603E-13</v>
      </c>
      <c r="EK124" s="17">
        <f>EJ124*VLOOKUP('Données projet'!$B$15,Paramètres!$A$1:$I$89,3,0)*VLOOKUP('Données projet'!$B$15,Paramètres!$A$1:$I$89,5,0)</f>
        <v>9.2222762759774927E-14</v>
      </c>
      <c r="EL124" s="13">
        <f t="shared" si="99"/>
        <v>1.3985662224947967E-12</v>
      </c>
      <c r="EM124" s="20">
        <f t="shared" si="73"/>
        <v>2.5964574826517121E-12</v>
      </c>
      <c r="EN124" s="59">
        <f t="shared" si="74"/>
        <v>293.33333333333593</v>
      </c>
      <c r="EO124" s="59">
        <f ca="1">AVERAGE(OFFSET($EN$3,0,0,'Données projet'!$E$15+1,1))-AVERAGE(OFFSET($H$3,0,0,'Données projet'!$E$15+1,1))</f>
        <v>159.68591355116837</v>
      </c>
      <c r="EP124" s="59">
        <f t="shared" si="100"/>
        <v>284.32631786390112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2.9322534282288211</v>
      </c>
      <c r="EW124" s="21">
        <f>EXP(-LN(2)/25)*EW123+(1-EXP(-LN(2)/25))/(LN(2)/25)*Calculateur!ER124*Calculateur!ET124*VLOOKUP('Données projet'!$B$15,Paramètres!$A$1:$I$89,3,0)*0.475*44/12</f>
        <v>2.0448927206481975</v>
      </c>
      <c r="EX124" s="21">
        <f>EXP(-LN(2)/2)*EX123+(1-EXP(-LN(2)/2))/(LN(2)/2)*ER124*EU124*VLOOKUP('Données projet'!$B$15,Paramètres!$A$1:$I$89,3,0)*0.475*44/12</f>
        <v>1.8767305826200619E-11</v>
      </c>
      <c r="EY124" s="22">
        <f t="shared" si="75"/>
        <v>4.9771461488957858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-1.3567387213697657E-13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299.10536994156814</v>
      </c>
      <c r="FK124" s="59">
        <f t="shared" si="102"/>
        <v>292.57799203101769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18.035977675514239</v>
      </c>
      <c r="FR124" s="21">
        <f>EXP(-LN(2)/25)*FR123+(1-EXP(-LN(2)/25))/(LN(2)/25)*Calculateur!FM124*Calculateur!FO124*VLOOKUP('Données projet'!$B$16,Paramètres!$A$1:$I$89,3,0)*0.475*44/12</f>
        <v>13.592145518829698</v>
      </c>
      <c r="FS124" s="21">
        <f>EXP(-LN(2)/2)*FS123+(1-EXP(-LN(2)/2))/(LN(2)/2)*FM124*FP124*VLOOKUP('Données projet'!$B$16,Paramètres!$A$1:$I$89,3,0)*0.475*44/12</f>
        <v>3.5052648340845396E-5</v>
      </c>
      <c r="FT124" s="22">
        <f t="shared" si="78"/>
        <v>31.628158246992275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5.6843418860808015E-14</v>
      </c>
      <c r="GA124" s="17">
        <f>FZ124*VLOOKUP('Données projet'!$B$17,Paramètres!$A$1:$I$89,3,0)*VLOOKUP('Données projet'!$B$17,Paramètres!$A$1:$I$89,5,0)</f>
        <v>5.1431925385259088E-14</v>
      </c>
      <c r="GB124" s="13">
        <f t="shared" si="103"/>
        <v>8.3482866290946129E-13</v>
      </c>
      <c r="GC124" s="20">
        <f t="shared" si="79"/>
        <v>1.5435705246133045E-12</v>
      </c>
      <c r="GD124" s="59">
        <f t="shared" si="80"/>
        <v>293.33333333333485</v>
      </c>
      <c r="GE124" s="59">
        <f ca="1">AVERAGE(OFFSET($GD$3,0,0,'Données projet'!$E$17+1,1))-AVERAGE(OFFSET($H$3,0,0,'Données projet'!$E$17+1,1))</f>
        <v>204.78565758021779</v>
      </c>
      <c r="GF124" s="59">
        <f t="shared" si="104"/>
        <v>287.25131613242439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3.4651121677137762</v>
      </c>
      <c r="GM124" s="21">
        <f>EXP(-LN(2)/25)*GM123+(1-EXP(-LN(2)/25))/(LN(2)/25)*Calculateur!GH124*Calculateur!GJ124*VLOOKUP('Données projet'!$B$17,Paramètres!$A$1:$I$89,3,0)*0.475*44/12</f>
        <v>1.6069478850873307</v>
      </c>
      <c r="GN124" s="21">
        <f>EXP(-LN(2)/2)*GN123+(1-EXP(-LN(2)/2))/(LN(2)/2)*GH124*GK124*VLOOKUP('Données projet'!$B$17,Paramètres!$A$1:$I$89,3,0)*0.475*44/12</f>
        <v>5.0169871915831591E-11</v>
      </c>
      <c r="GO124" s="21">
        <f t="shared" si="81"/>
        <v>5.0720600528512767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5.6843418860808015E-14</v>
      </c>
      <c r="GV124" s="17">
        <f>GU124*VLOOKUP('Données projet'!$B$18,Paramètres!$A$1:$I$89,3,0)*VLOOKUP('Données projet'!$B$18,Paramètres!$A$1:$I$89,5,0)</f>
        <v>4.4337866711430253E-14</v>
      </c>
      <c r="GW124" s="13">
        <f t="shared" si="105"/>
        <v>7.3222115536967035E-13</v>
      </c>
      <c r="GX124" s="20">
        <f t="shared" si="82"/>
        <v>1.3525069634579169E-12</v>
      </c>
      <c r="GY124" s="59">
        <f t="shared" si="83"/>
        <v>293.33333333333468</v>
      </c>
      <c r="GZ124" s="59">
        <f ca="1">AVERAGE(OFFSET($GY$3,0,0,'Données projet'!$E$18+1,1))-AVERAGE(OFFSET($H$3,0,0,'Données projet'!$E$18+1,1))</f>
        <v>288.82868507674738</v>
      </c>
      <c r="HA124" s="59">
        <f t="shared" si="106"/>
        <v>283.48738729114024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15.353576231867606</v>
      </c>
      <c r="HH124" s="21">
        <f>EXP(-LN(2)/25)*HH123+(1-EXP(-LN(2)/25))/(LN(2)/25)*Calculateur!HC124*Calculateur!HE124*VLOOKUP('Données projet'!$B$18,Paramètres!$A$1:$I$89,3,0)*0.475*44/12</f>
        <v>10.012880645247892</v>
      </c>
      <c r="HI124" s="21">
        <f>EXP(-LN(2)/2)*HI123+(1-EXP(-LN(2)/2))/(LN(2)/2)*HC124*HF124*VLOOKUP('Données projet'!$B$18,Paramètres!$A$1:$I$89,3,0)*0.475*44/12</f>
        <v>9.0533527215247576E-7</v>
      </c>
      <c r="HJ124" s="22">
        <f t="shared" si="84"/>
        <v>25.36645778245077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349.71285006949597</v>
      </c>
      <c r="T125" s="59">
        <f t="shared" si="88"/>
        <v>258.51550516456842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66.713541318708423</v>
      </c>
      <c r="AA125" s="21">
        <f>EXP(-LN(2)/25)*AA124+(1-EXP(-LN(2)/25))/(LN(2)/25)*Calculateur!V125*Calculateur!X125*VLOOKUP('Données projet'!$B$9,Paramètres!$A$1:$I$89,3,0)*0.475*44/12</f>
        <v>16.148520318225572</v>
      </c>
      <c r="AB125" s="21">
        <f>EXP(-LN(2)/2)*AB124+(1-EXP(-LN(2)/2))/(LN(2)/2)*V125*Y125*VLOOKUP('Données projet'!$B$9,Paramètres!$A$1:$I$89,3,0)*0.475*44/12</f>
        <v>3.3720322990993837E-5</v>
      </c>
      <c r="AC125" s="22">
        <f t="shared" si="57"/>
        <v>82.862095357256976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8.7019999999999982</v>
      </c>
      <c r="AI125" s="13">
        <f>IF('Données projet'!$A$62&gt;35,AI124+AH125-AQ124,IF(A125&lt;'Données projet'!$A$62,$AF$205^A125,IF(A125='Données projet'!$A$62,'Données projet'!$B$62,AI124+AH125-AQ124)))</f>
        <v>400.82800000000026</v>
      </c>
      <c r="AJ125" s="13">
        <f>AI125*VLOOKUP('Données projet'!$B$10,Paramètres!$A$1:$I$89,3,0)*VLOOKUP('Données projet'!$B$10,Paramètres!$A$1:$I$89,5,0)</f>
        <v>381.42792480000026</v>
      </c>
      <c r="AK125" s="13">
        <f t="shared" si="89"/>
        <v>88.001107275506357</v>
      </c>
      <c r="AL125" s="20">
        <f t="shared" si="58"/>
        <v>817.58889753150731</v>
      </c>
      <c r="AM125" s="59">
        <f t="shared" si="59"/>
        <v>1110.9222308648407</v>
      </c>
      <c r="AN125" s="59">
        <f ca="1">AVERAGE(OFFSET($AM$3,0,0,'Données projet'!$E$10+1,1))-AVERAGE(OFFSET($H$3,0,0,'Données projet'!$E$10+1,1))</f>
        <v>449.28947235329758</v>
      </c>
      <c r="AO125" s="59">
        <f t="shared" si="90"/>
        <v>289.36994109443964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44.403023724411121</v>
      </c>
      <c r="AV125" s="21">
        <f>EXP(-LN(2)/25)*AV124+(1-EXP(-LN(2)/25))/(LN(2)/25)*Calculateur!AQ125*Calculateur!AS125*VLOOKUP('Données projet'!$B$10,Paramètres!$A$1:$I$89,3,0)*0.475*44/12</f>
        <v>20.095965061581371</v>
      </c>
      <c r="AW125" s="21">
        <f>EXP(-LN(2)/2)*AW124+(1-EXP(-LN(2)/2))/(LN(2)/2)*AQ125*AT125*VLOOKUP('Données projet'!$B$10,Paramètres!$A$1:$I$89,3,0)*0.475*44/12</f>
        <v>6.4031727044506809E-6</v>
      </c>
      <c r="AX125" s="21">
        <f t="shared" si="60"/>
        <v>64.4989951891652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392.70853440000059</v>
      </c>
      <c r="BF125" s="13">
        <f t="shared" si="91"/>
        <v>90.296853458070288</v>
      </c>
      <c r="BG125" s="20">
        <f t="shared" si="61"/>
        <v>841.23438385280679</v>
      </c>
      <c r="BH125" s="59">
        <f t="shared" si="62"/>
        <v>1134.56771718614</v>
      </c>
      <c r="BI125" s="59">
        <f ca="1">AVERAGE(OFFSET($BH$3,0,0,'Données projet'!$E$11+1,1))-AVERAGE(OFFSET($H$3,0,0,'Données projet'!$E$11+1,1))</f>
        <v>635.71275911100679</v>
      </c>
      <c r="BJ125" s="59">
        <f t="shared" si="92"/>
        <v>281.7776857269169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31.11904619491759</v>
      </c>
      <c r="BQ125" s="21">
        <f>EXP(-LN(2)/25)*BQ124+(1-EXP(-LN(2)/25))/(LN(2)/25)*Calculateur!BL125*Calculateur!BN125*VLOOKUP('Données projet'!$B$11,Paramètres!$A$1:$I$89,3,0)*0.475*44/12</f>
        <v>20.652283476488776</v>
      </c>
      <c r="BR125" s="21">
        <f>EXP(-LN(2)/2)*BR124+(1-EXP(-LN(2)/2))/(LN(2)/2)*BL125*BO125*VLOOKUP('Données projet'!$B$11,Paramètres!$A$1:$I$89,3,0)*0.475*44/12</f>
        <v>0.34144482775250484</v>
      </c>
      <c r="BS125" s="22">
        <f t="shared" si="63"/>
        <v>52.112774499158867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>
        <f>VLOOKUP(A125,'Données projet'!$A$113:$I$133,2,0)</f>
        <v>315.27</v>
      </c>
      <c r="BW125" s="12">
        <f>VLOOKUP(A125,'Données projet'!$A$113:$I$133,9,0)</f>
        <v>7.0011111111111104</v>
      </c>
      <c r="BX125" s="12">
        <f t="array" ref="BX125">INDEX(BW:BW,MIN(IF(ISNUMBER(BW125:BW321),ROW(BW125:BW321),"")))</f>
        <v>7.0011111111111104</v>
      </c>
      <c r="BY125" s="12">
        <f>IF('Données projet'!$A$114&gt;35,BY124+BX125-CG124,IF(A125&lt;'Données projet'!$A$114,$BV$205^A125,IF(A125='Données projet'!$A$114,'Données projet'!$B$114,BY124+BX125-CG124)))</f>
        <v>315.27000000000004</v>
      </c>
      <c r="BZ125" s="13">
        <f>BY125*VLOOKUP('Données projet'!$B$12,Paramètres!$A$1:$I$89,3,0)*VLOOKUP('Données projet'!$B$12,Paramètres!$A$1:$I$89,5,0)</f>
        <v>359.02947600000005</v>
      </c>
      <c r="CA125" s="13">
        <f t="shared" si="93"/>
        <v>83.419008930402995</v>
      </c>
      <c r="CB125" s="20">
        <f t="shared" si="64"/>
        <v>770.5977779204519</v>
      </c>
      <c r="CC125" s="59">
        <f t="shared" si="65"/>
        <v>1063.9311112537853</v>
      </c>
      <c r="CD125" s="59">
        <f ca="1">AVERAGE(OFFSET($CC$3,0,0,'Données projet'!$E$12+1,1))-AVERAGE(OFFSET($H$3,0,0,'Données projet'!$E$12+1,1))</f>
        <v>593.28343396240075</v>
      </c>
      <c r="CE125" s="59">
        <f t="shared" si="94"/>
        <v>289.66477662068695</v>
      </c>
      <c r="CF125" s="15">
        <f>IF(ISNA(VLOOKUP(A125,'Données projet'!$A$113:$I$133,3,0)),0,VLOOKUP(A125,'Données projet'!$A$113:$I$133,3,0))</f>
        <v>8</v>
      </c>
      <c r="CG125" s="15">
        <f>IF(ISNA(VLOOKUP(A125,'Données projet'!$A$113:$I$133,4,0)),0,VLOOKUP(A125,'Données projet'!$A$113:$I$133,4,0))</f>
        <v>45.829999999999984</v>
      </c>
      <c r="CH125" s="16">
        <f>IF(ISNA(VLOOKUP(A125,'Données projet'!$A$113:$I$133,5,0)),0%,VLOOKUP(A125,'Données projet'!$A$113:$I$133,5,0)*VLOOKUP('Données projet'!$B$12,Paramètres!$A$1:$I$89,7,0))</f>
        <v>0.15049999999999999</v>
      </c>
      <c r="CI125" s="16">
        <f>IF(ISNA(VLOOKUP(A125,'Données projet'!$A$113:$I$133,6,0)),0%,VLOOKUP(A125,'Données projet'!$A$113:$I$133,6,0)*VLOOKUP('Données projet'!$B$12,Paramètres!$A$1:$I$89,7,0))</f>
        <v>8.6000000000000007E-2</v>
      </c>
      <c r="CJ125" s="16">
        <f>IF(ISNA(VLOOKUP(A125,'Données projet'!$A$113:$I$133,7,0)),0%,VLOOKUP(A125,'Données projet'!$A$113:$I$133,7,0))</f>
        <v>0.1</v>
      </c>
      <c r="CK125" s="21">
        <f>EXP(-LN(2)/35)*CK124+(1-EXP(-LN(2)/35))/(LN(2)/35)*CG125*CH125*VLOOKUP('Données projet'!$B$12,Paramètres!$A$1:$I$89,3,0)*0.475*44/12</f>
        <v>28.681679730442646</v>
      </c>
      <c r="CL125" s="21">
        <f>EXP(-LN(2)/25)*CL124+(1-EXP(-LN(2)/25))/(LN(2)/25)*Calculateur!CG125*Calculateur!CI125*VLOOKUP('Données projet'!$B$12,Paramètres!$A$1:$I$89,3,0)*0.475*44/12</f>
        <v>28.694772840348108</v>
      </c>
      <c r="CM125" s="21">
        <f>EXP(-LN(2)/2)*CM124+(1-EXP(-LN(2)/2))/(LN(2)/2)*CG125*CJ125*VLOOKUP('Données projet'!$B$12,Paramètres!$A$1:$I$89,3,0)*0.475*44/12</f>
        <v>5.1307894444948854</v>
      </c>
      <c r="CN125" s="22">
        <f t="shared" si="66"/>
        <v>62.507242015285641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2.2737367544323206E-13</v>
      </c>
      <c r="CU125" s="17">
        <f>CT125*VLOOKUP('Données projet'!$B$13,Paramètres!$A$1:$I$89,3,0)*VLOOKUP('Données projet'!$B$13,Paramètres!$A$1:$I$89,5,0)</f>
        <v>2.3765096557326618E-13</v>
      </c>
      <c r="CV125" s="13">
        <f t="shared" si="95"/>
        <v>3.2279907425805489E-12</v>
      </c>
      <c r="CW125" s="20">
        <f t="shared" si="67"/>
        <v>6.0359926417012276E-12</v>
      </c>
      <c r="CX125" s="59">
        <f t="shared" si="68"/>
        <v>293.33333333333934</v>
      </c>
      <c r="CY125" s="59">
        <f ca="1">AVERAGE(OFFSET($CX$3,0,0,'Données projet'!$E$13+1,1))-AVERAGE(OFFSET($H$3,0,0,'Données projet'!$E$13+1,1))</f>
        <v>260.65406541614402</v>
      </c>
      <c r="CZ125" s="59">
        <f t="shared" si="96"/>
        <v>277.63456890196886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9.5586815664114706</v>
      </c>
      <c r="DG125" s="21">
        <f>EXP(-LN(2)/25)*DG124+(1-EXP(-LN(2)/25))/(LN(2)/25)*Calculateur!DB125*Calculateur!DD125*VLOOKUP('Données projet'!$B$13,Paramètres!$A$1:$I$89,3,0)*0.475*44/12</f>
        <v>20.400211360952667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29.95889292736414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2.2737367544323206E-13</v>
      </c>
      <c r="DP125" s="17">
        <f>DO125*VLOOKUP('Données projet'!$B$14,Paramètres!$A$1:$I$89,3,0)*VLOOKUP('Données projet'!$B$14,Paramètres!$A$1:$I$89,5,0)</f>
        <v>1.4897523215040565E-13</v>
      </c>
      <c r="DQ125" s="13">
        <f t="shared" si="97"/>
        <v>2.136562777003313E-12</v>
      </c>
      <c r="DR125" s="20">
        <f t="shared" si="70"/>
        <v>3.9806453659427267E-12</v>
      </c>
      <c r="DS125" s="59">
        <f t="shared" si="71"/>
        <v>293.33333333333729</v>
      </c>
      <c r="DT125" s="59">
        <f ca="1">AVERAGE(OFFSET($DS$3,0,0,'Données projet'!$E$14+1,1))-AVERAGE(OFFSET($H$3,0,0,'Données projet'!$E$14+1,1))</f>
        <v>181.4272795535777</v>
      </c>
      <c r="DU125" s="59">
        <f t="shared" si="98"/>
        <v>187.67131775419904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8.9701719742974273</v>
      </c>
      <c r="EB125" s="21">
        <f>EXP(-LN(2)/25)*EB124+(1-EXP(-LN(2)/25))/(LN(2)/25)*Calculateur!DW125*Calculateur!DY125*VLOOKUP('Données projet'!$B$14,Paramètres!$A$1:$I$89,3,0)*0.475*44/12</f>
        <v>7.4298577348239876</v>
      </c>
      <c r="EC125" s="21">
        <f>EXP(-LN(2)/2)*EC124+(1-EXP(-LN(2)/2))/(LN(2)/2)*DW125*DZ125*VLOOKUP('Données projet'!$B$14,Paramètres!$A$1:$I$89,3,0)*0.475*44/12</f>
        <v>3.828724616530524E-4</v>
      </c>
      <c r="ED125" s="22">
        <f t="shared" si="72"/>
        <v>16.400412581583069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1.1368683772161603E-13</v>
      </c>
      <c r="EK125" s="17">
        <f>EJ125*VLOOKUP('Données projet'!$B$15,Paramètres!$A$1:$I$89,3,0)*VLOOKUP('Données projet'!$B$15,Paramètres!$A$1:$I$89,5,0)</f>
        <v>9.2222762759774927E-14</v>
      </c>
      <c r="EL125" s="13">
        <f t="shared" si="99"/>
        <v>1.3985662224947967E-12</v>
      </c>
      <c r="EM125" s="20">
        <f t="shared" si="73"/>
        <v>2.5964574826517121E-12</v>
      </c>
      <c r="EN125" s="59">
        <f t="shared" si="74"/>
        <v>293.33333333333593</v>
      </c>
      <c r="EO125" s="59">
        <f ca="1">AVERAGE(OFFSET($EN$3,0,0,'Données projet'!$E$15+1,1))-AVERAGE(OFFSET($H$3,0,0,'Données projet'!$E$15+1,1))</f>
        <v>159.68591355116837</v>
      </c>
      <c r="EP125" s="59">
        <f t="shared" si="100"/>
        <v>284.32631786390112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2.8747537269992458</v>
      </c>
      <c r="EW125" s="21">
        <f>EXP(-LN(2)/25)*EW124+(1-EXP(-LN(2)/25))/(LN(2)/25)*Calculateur!ER125*Calculateur!ET125*VLOOKUP('Données projet'!$B$15,Paramètres!$A$1:$I$89,3,0)*0.475*44/12</f>
        <v>1.988975021665838</v>
      </c>
      <c r="EX125" s="21">
        <f>EXP(-LN(2)/2)*EX124+(1-EXP(-LN(2)/2))/(LN(2)/2)*ER125*EU125*VLOOKUP('Données projet'!$B$15,Paramètres!$A$1:$I$89,3,0)*0.475*44/12</f>
        <v>1.327048921430826E-11</v>
      </c>
      <c r="EY125" s="22">
        <f t="shared" si="75"/>
        <v>4.863728748678354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-1.3567387213697657E-13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299.10536994156814</v>
      </c>
      <c r="FK125" s="59">
        <f t="shared" si="102"/>
        <v>292.57799203101769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17.682303154157541</v>
      </c>
      <c r="FR125" s="21">
        <f>EXP(-LN(2)/25)*FR124+(1-EXP(-LN(2)/25))/(LN(2)/25)*Calculateur!FM125*Calculateur!FO125*VLOOKUP('Données projet'!$B$16,Paramètres!$A$1:$I$89,3,0)*0.475*44/12</f>
        <v>13.220467584837433</v>
      </c>
      <c r="FS125" s="21">
        <f>EXP(-LN(2)/2)*FS124+(1-EXP(-LN(2)/2))/(LN(2)/2)*FM125*FP125*VLOOKUP('Données projet'!$B$16,Paramètres!$A$1:$I$89,3,0)*0.475*44/12</f>
        <v>2.4785965340359164E-5</v>
      </c>
      <c r="FT125" s="22">
        <f t="shared" si="78"/>
        <v>30.902795524960315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5.6843418860808015E-14</v>
      </c>
      <c r="GA125" s="17">
        <f>FZ125*VLOOKUP('Données projet'!$B$17,Paramètres!$A$1:$I$89,3,0)*VLOOKUP('Données projet'!$B$17,Paramètres!$A$1:$I$89,5,0)</f>
        <v>5.1431925385259088E-14</v>
      </c>
      <c r="GB125" s="13">
        <f t="shared" si="103"/>
        <v>8.3482866290946129E-13</v>
      </c>
      <c r="GC125" s="20">
        <f t="shared" si="79"/>
        <v>1.5435705246133045E-12</v>
      </c>
      <c r="GD125" s="59">
        <f t="shared" si="80"/>
        <v>293.33333333333485</v>
      </c>
      <c r="GE125" s="59">
        <f ca="1">AVERAGE(OFFSET($GD$3,0,0,'Données projet'!$E$17+1,1))-AVERAGE(OFFSET($H$3,0,0,'Données projet'!$E$17+1,1))</f>
        <v>204.78565758021779</v>
      </c>
      <c r="GF125" s="59">
        <f t="shared" si="104"/>
        <v>287.25131613242439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3.3971634316146395</v>
      </c>
      <c r="GM125" s="21">
        <f>EXP(-LN(2)/25)*GM124+(1-EXP(-LN(2)/25))/(LN(2)/25)*Calculateur!GH125*Calculateur!GJ125*VLOOKUP('Données projet'!$B$17,Paramètres!$A$1:$I$89,3,0)*0.475*44/12</f>
        <v>1.5630058106639011</v>
      </c>
      <c r="GN125" s="21">
        <f>EXP(-LN(2)/2)*GN124+(1-EXP(-LN(2)/2))/(LN(2)/2)*GH125*GK125*VLOOKUP('Données projet'!$B$17,Paramètres!$A$1:$I$89,3,0)*0.475*44/12</f>
        <v>3.5475456642945044E-11</v>
      </c>
      <c r="GO125" s="21">
        <f t="shared" si="81"/>
        <v>4.9601692423140165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5.6843418860808015E-14</v>
      </c>
      <c r="GV125" s="17">
        <f>GU125*VLOOKUP('Données projet'!$B$18,Paramètres!$A$1:$I$89,3,0)*VLOOKUP('Données projet'!$B$18,Paramètres!$A$1:$I$89,5,0)</f>
        <v>4.4337866711430253E-14</v>
      </c>
      <c r="GW125" s="13">
        <f t="shared" si="105"/>
        <v>7.3222115536967035E-13</v>
      </c>
      <c r="GX125" s="20">
        <f t="shared" si="82"/>
        <v>1.3525069634579169E-12</v>
      </c>
      <c r="GY125" s="59">
        <f t="shared" si="83"/>
        <v>293.33333333333468</v>
      </c>
      <c r="GZ125" s="59">
        <f ca="1">AVERAGE(OFFSET($GY$3,0,0,'Données projet'!$E$18+1,1))-AVERAGE(OFFSET($H$3,0,0,'Données projet'!$E$18+1,1))</f>
        <v>288.82868507674738</v>
      </c>
      <c r="HA125" s="59">
        <f t="shared" si="106"/>
        <v>283.48738729114024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15.052501966717491</v>
      </c>
      <c r="HH125" s="21">
        <f>EXP(-LN(2)/25)*HH124+(1-EXP(-LN(2)/25))/(LN(2)/25)*Calculateur!HC125*Calculateur!HE125*VLOOKUP('Données projet'!$B$18,Paramètres!$A$1:$I$89,3,0)*0.475*44/12</f>
        <v>9.7390778974490804</v>
      </c>
      <c r="HI125" s="21">
        <f>EXP(-LN(2)/2)*HI124+(1-EXP(-LN(2)/2))/(LN(2)/2)*HC125*HF125*VLOOKUP('Données projet'!$B$18,Paramètres!$A$1:$I$89,3,0)*0.475*44/12</f>
        <v>6.4016871018638412E-7</v>
      </c>
      <c r="HJ125" s="22">
        <f t="shared" si="84"/>
        <v>24.791580504335283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349.71285006949597</v>
      </c>
      <c r="T126" s="59">
        <f t="shared" si="88"/>
        <v>258.51550516456842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65.405329464690823</v>
      </c>
      <c r="AA126" s="21">
        <f>EXP(-LN(2)/25)*AA125+(1-EXP(-LN(2)/25))/(LN(2)/25)*Calculateur!V126*Calculateur!X126*VLOOKUP('Données projet'!$B$9,Paramètres!$A$1:$I$89,3,0)*0.475*44/12</f>
        <v>15.706938180909917</v>
      </c>
      <c r="AB126" s="21">
        <f>EXP(-LN(2)/2)*AB125+(1-EXP(-LN(2)/2))/(LN(2)/2)*V126*Y126*VLOOKUP('Données projet'!$B$9,Paramètres!$A$1:$I$89,3,0)*0.475*44/12</f>
        <v>2.3843869050732387E-5</v>
      </c>
      <c r="AC126" s="22">
        <f t="shared" si="57"/>
        <v>81.112291489469783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409.53</v>
      </c>
      <c r="AG126" s="12">
        <f>VLOOKUP(A126,'Données projet'!$A$61:$I$81,9,0)</f>
        <v>8.7019999999999982</v>
      </c>
      <c r="AH126" s="12">
        <f t="array" ref="AH126">INDEX(AG:AG,MIN(IF(ISNUMBER(AG126:AG322),ROW(AG126:AG322),"")))</f>
        <v>8.7019999999999982</v>
      </c>
      <c r="AI126" s="13">
        <f>IF('Données projet'!$A$62&gt;35,AI125+AH126-AQ125,IF(A126&lt;'Données projet'!$A$62,$AF$205^A126,IF(A126='Données projet'!$A$62,'Données projet'!$B$62,AI125+AH126-AQ125)))</f>
        <v>409.53000000000026</v>
      </c>
      <c r="AJ126" s="13">
        <f>AI126*VLOOKUP('Données projet'!$B$10,Paramètres!$A$1:$I$89,3,0)*VLOOKUP('Données projet'!$B$10,Paramètres!$A$1:$I$89,5,0)</f>
        <v>389.70874800000024</v>
      </c>
      <c r="AK126" s="13">
        <f t="shared" si="89"/>
        <v>89.687117370320195</v>
      </c>
      <c r="AL126" s="20">
        <f t="shared" si="58"/>
        <v>834.94779885330809</v>
      </c>
      <c r="AM126" s="59">
        <f t="shared" si="59"/>
        <v>1128.2811321866413</v>
      </c>
      <c r="AN126" s="59">
        <f ca="1">AVERAGE(OFFSET($AM$3,0,0,'Données projet'!$E$10+1,1))-AVERAGE(OFFSET($H$3,0,0,'Données projet'!$E$10+1,1))</f>
        <v>449.28947235329758</v>
      </c>
      <c r="AO126" s="59">
        <f t="shared" si="90"/>
        <v>289.36994109443964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203.78999999999996</v>
      </c>
      <c r="AR126" s="16">
        <f>IF(ISNA(VLOOKUP(A126,'Données projet'!$A$61:$I$81,5,0)),0%,VLOOKUP(A126,'Données projet'!$A$61:$I$81,5,0)*VLOOKUP('Données projet'!$B$10,Paramètres!$A$1:$I$89,7,0))</f>
        <v>0.19350000000000001</v>
      </c>
      <c r="AS126" s="16">
        <f>IF(ISNA(VLOOKUP(A126,'Données projet'!$A$61:$I$81,6,0)),0%,VLOOKUP(A126,'Données projet'!$A$61:$I$81,6,0)*VLOOKUP('Données projet'!$B$10,Paramètres!$A$1:$I$89,7,0))</f>
        <v>2.1500000000000002E-2</v>
      </c>
      <c r="AT126" s="16">
        <f>IF(ISNA(VLOOKUP(A126,'Données projet'!$A$61:$I$81,7,0)),0%,VLOOKUP(A126,'Données projet'!$A$61:$I$81,7,0))</f>
        <v>0.05</v>
      </c>
      <c r="AU126" s="21">
        <f>EXP(-LN(2)/35)*AU125+(1-EXP(-LN(2)/35))/(LN(2)/35)*AQ126*AR126*VLOOKUP('Données projet'!$B$10,Paramètres!$A$1:$I$89,3,0)*0.475*44/12</f>
        <v>85.014851503672929</v>
      </c>
      <c r="AV126" s="21">
        <f>EXP(-LN(2)/25)*AV125+(1-EXP(-LN(2)/25))/(LN(2)/25)*Calculateur!AQ126*Calculateur!AS126*VLOOKUP('Données projet'!$B$10,Paramètres!$A$1:$I$89,3,0)*0.475*44/12</f>
        <v>24.137463330120998</v>
      </c>
      <c r="AW126" s="21">
        <f>EXP(-LN(2)/2)*AW125+(1-EXP(-LN(2)/2))/(LN(2)/2)*AQ126*AT126*VLOOKUP('Données projet'!$B$10,Paramètres!$A$1:$I$89,3,0)*0.475*44/12</f>
        <v>9.1487511572740559</v>
      </c>
      <c r="AX126" s="21">
        <f t="shared" si="60"/>
        <v>118.30106599106799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400.77573120000062</v>
      </c>
      <c r="BF126" s="13">
        <f t="shared" si="91"/>
        <v>91.933915079444887</v>
      </c>
      <c r="BG126" s="20">
        <f t="shared" si="61"/>
        <v>858.13596727003414</v>
      </c>
      <c r="BH126" s="59">
        <f t="shared" si="62"/>
        <v>1151.4693006033674</v>
      </c>
      <c r="BI126" s="59">
        <f ca="1">AVERAGE(OFFSET($BH$3,0,0,'Données projet'!$E$11+1,1))-AVERAGE(OFFSET($H$3,0,0,'Données projet'!$E$11+1,1))</f>
        <v>635.71275911100679</v>
      </c>
      <c r="BJ126" s="59">
        <f t="shared" si="92"/>
        <v>281.7776857269169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30.508820679779241</v>
      </c>
      <c r="BQ126" s="21">
        <f>EXP(-LN(2)/25)*BQ125+(1-EXP(-LN(2)/25))/(LN(2)/25)*Calculateur!BL126*Calculateur!BN126*VLOOKUP('Données projet'!$B$11,Paramètres!$A$1:$I$89,3,0)*0.475*44/12</f>
        <v>20.087545698767805</v>
      </c>
      <c r="BR126" s="21">
        <f>EXP(-LN(2)/2)*BR125+(1-EXP(-LN(2)/2))/(LN(2)/2)*BL126*BO126*VLOOKUP('Données projet'!$B$11,Paramètres!$A$1:$I$89,3,0)*0.475*44/12</f>
        <v>0.24143795310486887</v>
      </c>
      <c r="BS126" s="22">
        <f t="shared" si="63"/>
        <v>50.837804331651917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7.1129999999999995</v>
      </c>
      <c r="BY126" s="12">
        <f>IF('Données projet'!$A$114&gt;35,BY125+BX126-CG125,IF(A126&lt;'Données projet'!$A$114,$BV$205^A126,IF(A126='Données projet'!$A$114,'Données projet'!$B$114,BY125+BX126-CG125)))</f>
        <v>276.55300000000005</v>
      </c>
      <c r="BZ126" s="13">
        <f>BY126*VLOOKUP('Données projet'!$B$12,Paramètres!$A$1:$I$89,3,0)*VLOOKUP('Données projet'!$B$12,Paramètres!$A$1:$I$89,5,0)</f>
        <v>314.93855640000004</v>
      </c>
      <c r="CA126" s="13">
        <f t="shared" si="93"/>
        <v>74.299246672874546</v>
      </c>
      <c r="CB126" s="20">
        <f t="shared" si="64"/>
        <v>677.92250701858995</v>
      </c>
      <c r="CC126" s="59">
        <f t="shared" si="65"/>
        <v>971.25584035192333</v>
      </c>
      <c r="CD126" s="59">
        <f ca="1">AVERAGE(OFFSET($CC$3,0,0,'Données projet'!$E$12+1,1))-AVERAGE(OFFSET($H$3,0,0,'Données projet'!$E$12+1,1))</f>
        <v>593.28343396240075</v>
      </c>
      <c r="CE126" s="59">
        <f t="shared" si="94"/>
        <v>289.66477662068695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28.119249485025904</v>
      </c>
      <c r="CL126" s="21">
        <f>EXP(-LN(2)/25)*CL125+(1-EXP(-LN(2)/25))/(LN(2)/25)*Calculateur!CG126*Calculateur!CI126*VLOOKUP('Données projet'!$B$12,Paramètres!$A$1:$I$89,3,0)*0.475*44/12</f>
        <v>27.910112768036267</v>
      </c>
      <c r="CM126" s="21">
        <f>EXP(-LN(2)/2)*CM125+(1-EXP(-LN(2)/2))/(LN(2)/2)*CG126*CJ126*VLOOKUP('Données projet'!$B$12,Paramètres!$A$1:$I$89,3,0)*0.475*44/12</f>
        <v>3.6280160090426929</v>
      </c>
      <c r="CN126" s="22">
        <f t="shared" si="66"/>
        <v>59.657378262104871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2.2737367544323206E-13</v>
      </c>
      <c r="CU126" s="17">
        <f>CT126*VLOOKUP('Données projet'!$B$13,Paramètres!$A$1:$I$89,3,0)*VLOOKUP('Données projet'!$B$13,Paramètres!$A$1:$I$89,5,0)</f>
        <v>2.3765096557326618E-13</v>
      </c>
      <c r="CV126" s="13">
        <f t="shared" si="95"/>
        <v>3.2279907425805489E-12</v>
      </c>
      <c r="CW126" s="20">
        <f t="shared" si="67"/>
        <v>6.0359926417012276E-12</v>
      </c>
      <c r="CX126" s="59">
        <f t="shared" si="68"/>
        <v>293.33333333333934</v>
      </c>
      <c r="CY126" s="59">
        <f ca="1">AVERAGE(OFFSET($CX$3,0,0,'Données projet'!$E$13+1,1))-AVERAGE(OFFSET($H$3,0,0,'Données projet'!$E$13+1,1))</f>
        <v>260.65406541614402</v>
      </c>
      <c r="CZ126" s="59">
        <f t="shared" si="96"/>
        <v>277.63456890196886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9.3712416511142109</v>
      </c>
      <c r="DG126" s="21">
        <f>EXP(-LN(2)/25)*DG125+(1-EXP(-LN(2)/25))/(LN(2)/25)*Calculateur!DB126*Calculateur!DD126*VLOOKUP('Données projet'!$B$13,Paramètres!$A$1:$I$89,3,0)*0.475*44/12</f>
        <v>19.842366508486926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29.213608159601137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2.2737367544323206E-13</v>
      </c>
      <c r="DP126" s="17">
        <f>DO126*VLOOKUP('Données projet'!$B$14,Paramètres!$A$1:$I$89,3,0)*VLOOKUP('Données projet'!$B$14,Paramètres!$A$1:$I$89,5,0)</f>
        <v>1.4897523215040565E-13</v>
      </c>
      <c r="DQ126" s="13">
        <f t="shared" si="97"/>
        <v>2.136562777003313E-12</v>
      </c>
      <c r="DR126" s="20">
        <f t="shared" si="70"/>
        <v>3.9806453659427267E-12</v>
      </c>
      <c r="DS126" s="59">
        <f t="shared" si="71"/>
        <v>293.33333333333729</v>
      </c>
      <c r="DT126" s="59">
        <f ca="1">AVERAGE(OFFSET($DS$3,0,0,'Données projet'!$E$14+1,1))-AVERAGE(OFFSET($H$3,0,0,'Données projet'!$E$14+1,1))</f>
        <v>181.4272795535777</v>
      </c>
      <c r="DU126" s="59">
        <f t="shared" si="98"/>
        <v>187.67131775419904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8.7942723731461161</v>
      </c>
      <c r="EB126" s="21">
        <f>EXP(-LN(2)/25)*EB125+(1-EXP(-LN(2)/25))/(LN(2)/25)*Calculateur!DW126*Calculateur!DY126*VLOOKUP('Données projet'!$B$14,Paramètres!$A$1:$I$89,3,0)*0.475*44/12</f>
        <v>7.2266878843459885</v>
      </c>
      <c r="EC126" s="21">
        <f>EXP(-LN(2)/2)*EC125+(1-EXP(-LN(2)/2))/(LN(2)/2)*DW126*DZ126*VLOOKUP('Données projet'!$B$14,Paramètres!$A$1:$I$89,3,0)*0.475*44/12</f>
        <v>2.7073171396445973E-4</v>
      </c>
      <c r="ED126" s="22">
        <f t="shared" si="72"/>
        <v>16.021230989206071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1.1368683772161603E-13</v>
      </c>
      <c r="EK126" s="17">
        <f>EJ126*VLOOKUP('Données projet'!$B$15,Paramètres!$A$1:$I$89,3,0)*VLOOKUP('Données projet'!$B$15,Paramètres!$A$1:$I$89,5,0)</f>
        <v>9.2222762759774927E-14</v>
      </c>
      <c r="EL126" s="13">
        <f t="shared" si="99"/>
        <v>1.3985662224947967E-12</v>
      </c>
      <c r="EM126" s="20">
        <f t="shared" si="73"/>
        <v>2.5964574826517121E-12</v>
      </c>
      <c r="EN126" s="59">
        <f t="shared" si="74"/>
        <v>293.33333333333593</v>
      </c>
      <c r="EO126" s="59">
        <f ca="1">AVERAGE(OFFSET($EN$3,0,0,'Données projet'!$E$15+1,1))-AVERAGE(OFFSET($H$3,0,0,'Données projet'!$E$15+1,1))</f>
        <v>159.68591355116837</v>
      </c>
      <c r="EP126" s="59">
        <f t="shared" si="100"/>
        <v>284.32631786390112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2.8183815598394277</v>
      </c>
      <c r="EW126" s="21">
        <f>EXP(-LN(2)/25)*EW125+(1-EXP(-LN(2)/25))/(LN(2)/25)*Calculateur!ER126*Calculateur!ET126*VLOOKUP('Données projet'!$B$15,Paramètres!$A$1:$I$89,3,0)*0.475*44/12</f>
        <v>1.9345863951027351</v>
      </c>
      <c r="EX126" s="21">
        <f>EXP(-LN(2)/2)*EX125+(1-EXP(-LN(2)/2))/(LN(2)/2)*ER126*EU126*VLOOKUP('Données projet'!$B$15,Paramètres!$A$1:$I$89,3,0)*0.475*44/12</f>
        <v>9.3836529131003093E-12</v>
      </c>
      <c r="EY126" s="22">
        <f t="shared" si="75"/>
        <v>4.7529679549515462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-1.3567387213697657E-13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299.10536994156814</v>
      </c>
      <c r="FK126" s="59">
        <f t="shared" si="102"/>
        <v>292.57799203101769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17.33556397444449</v>
      </c>
      <c r="FR126" s="21">
        <f>EXP(-LN(2)/25)*FR125+(1-EXP(-LN(2)/25))/(LN(2)/25)*Calculateur!FM126*Calculateur!FO126*VLOOKUP('Données projet'!$B$16,Paramètres!$A$1:$I$89,3,0)*0.475*44/12</f>
        <v>12.858953203495879</v>
      </c>
      <c r="FS126" s="21">
        <f>EXP(-LN(2)/2)*FS125+(1-EXP(-LN(2)/2))/(LN(2)/2)*FM126*FP126*VLOOKUP('Données projet'!$B$16,Paramètres!$A$1:$I$89,3,0)*0.475*44/12</f>
        <v>1.7526324170422698E-5</v>
      </c>
      <c r="FT126" s="22">
        <f t="shared" si="78"/>
        <v>30.194534704264541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5.6843418860808015E-14</v>
      </c>
      <c r="GA126" s="17">
        <f>FZ126*VLOOKUP('Données projet'!$B$17,Paramètres!$A$1:$I$89,3,0)*VLOOKUP('Données projet'!$B$17,Paramètres!$A$1:$I$89,5,0)</f>
        <v>5.1431925385259088E-14</v>
      </c>
      <c r="GB126" s="13">
        <f t="shared" si="103"/>
        <v>8.3482866290946129E-13</v>
      </c>
      <c r="GC126" s="20">
        <f t="shared" si="79"/>
        <v>1.5435705246133045E-12</v>
      </c>
      <c r="GD126" s="59">
        <f t="shared" si="80"/>
        <v>293.33333333333485</v>
      </c>
      <c r="GE126" s="59">
        <f ca="1">AVERAGE(OFFSET($GD$3,0,0,'Données projet'!$E$17+1,1))-AVERAGE(OFFSET($H$3,0,0,'Données projet'!$E$17+1,1))</f>
        <v>204.78565758021779</v>
      </c>
      <c r="GF126" s="59">
        <f t="shared" si="104"/>
        <v>287.25131613242439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3.3305471287857702</v>
      </c>
      <c r="GM126" s="21">
        <f>EXP(-LN(2)/25)*GM125+(1-EXP(-LN(2)/25))/(LN(2)/25)*Calculateur!GH126*Calculateur!GJ126*VLOOKUP('Données projet'!$B$17,Paramètres!$A$1:$I$89,3,0)*0.475*44/12</f>
        <v>1.5202653345763935</v>
      </c>
      <c r="GN126" s="21">
        <f>EXP(-LN(2)/2)*GN125+(1-EXP(-LN(2)/2))/(LN(2)/2)*GH126*GK126*VLOOKUP('Données projet'!$B$17,Paramètres!$A$1:$I$89,3,0)*0.475*44/12</f>
        <v>2.5084935957915795E-11</v>
      </c>
      <c r="GO126" s="21">
        <f t="shared" si="81"/>
        <v>4.8508124633872489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5.6843418860808015E-14</v>
      </c>
      <c r="GV126" s="17">
        <f>GU126*VLOOKUP('Données projet'!$B$18,Paramètres!$A$1:$I$89,3,0)*VLOOKUP('Données projet'!$B$18,Paramètres!$A$1:$I$89,5,0)</f>
        <v>4.4337866711430253E-14</v>
      </c>
      <c r="GW126" s="13">
        <f t="shared" si="105"/>
        <v>7.3222115536967035E-13</v>
      </c>
      <c r="GX126" s="20">
        <f t="shared" si="82"/>
        <v>1.3525069634579169E-12</v>
      </c>
      <c r="GY126" s="59">
        <f t="shared" si="83"/>
        <v>293.33333333333468</v>
      </c>
      <c r="GZ126" s="59">
        <f ca="1">AVERAGE(OFFSET($GY$3,0,0,'Données projet'!$E$18+1,1))-AVERAGE(OFFSET($H$3,0,0,'Données projet'!$E$18+1,1))</f>
        <v>288.82868507674738</v>
      </c>
      <c r="HA126" s="59">
        <f t="shared" si="106"/>
        <v>283.48738729114024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14.757331584269801</v>
      </c>
      <c r="HH126" s="21">
        <f>EXP(-LN(2)/25)*HH125+(1-EXP(-LN(2)/25))/(LN(2)/25)*Calculateur!HC126*Calculateur!HE126*VLOOKUP('Données projet'!$B$18,Paramètres!$A$1:$I$89,3,0)*0.475*44/12</f>
        <v>9.4727623001874868</v>
      </c>
      <c r="HI126" s="21">
        <f>EXP(-LN(2)/2)*HI125+(1-EXP(-LN(2)/2))/(LN(2)/2)*HC126*HF126*VLOOKUP('Données projet'!$B$18,Paramètres!$A$1:$I$89,3,0)*0.475*44/12</f>
        <v>4.5266763607623788E-7</v>
      </c>
      <c r="HJ126" s="22">
        <f t="shared" si="84"/>
        <v>24.230094337124925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349.71285006949597</v>
      </c>
      <c r="T127" s="59">
        <f t="shared" si="88"/>
        <v>258.51550516456842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64.122770847200073</v>
      </c>
      <c r="AA127" s="21">
        <f>EXP(-LN(2)/25)*AA126+(1-EXP(-LN(2)/25))/(LN(2)/25)*Calculateur!V127*Calculateur!X127*VLOOKUP('Données projet'!$B$9,Paramètres!$A$1:$I$89,3,0)*0.475*44/12</f>
        <v>15.277431130360956</v>
      </c>
      <c r="AB127" s="21">
        <f>EXP(-LN(2)/2)*AB126+(1-EXP(-LN(2)/2))/(LN(2)/2)*V127*Y127*VLOOKUP('Données projet'!$B$9,Paramètres!$A$1:$I$89,3,0)*0.475*44/12</f>
        <v>1.6860161495496918E-5</v>
      </c>
      <c r="AC127" s="22">
        <f t="shared" si="57"/>
        <v>79.40021883772252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4.8499999999999943</v>
      </c>
      <c r="AI127" s="13">
        <f>IF('Données projet'!$A$62&gt;35,AI126+AH127-AQ126,IF(A127&lt;'Données projet'!$A$62,$AF$205^A127,IF(A127='Données projet'!$A$62,'Données projet'!$B$62,AI126+AH127-AQ126)))</f>
        <v>210.59000000000026</v>
      </c>
      <c r="AJ127" s="13">
        <f>AI127*VLOOKUP('Données projet'!$B$10,Paramètres!$A$1:$I$89,3,0)*VLOOKUP('Données projet'!$B$10,Paramètres!$A$1:$I$89,5,0)</f>
        <v>200.39744400000023</v>
      </c>
      <c r="AK127" s="13">
        <f t="shared" si="89"/>
        <v>49.831503792487226</v>
      </c>
      <c r="AL127" s="20">
        <f t="shared" si="58"/>
        <v>435.81541740524904</v>
      </c>
      <c r="AM127" s="59">
        <f t="shared" si="59"/>
        <v>729.14875073858229</v>
      </c>
      <c r="AN127" s="59">
        <f ca="1">AVERAGE(OFFSET($AM$3,0,0,'Données projet'!$E$10+1,1))-AVERAGE(OFFSET($H$3,0,0,'Données projet'!$E$10+1,1))</f>
        <v>449.28947235329758</v>
      </c>
      <c r="AO127" s="59">
        <f t="shared" si="90"/>
        <v>289.36994109443964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83.347762119625173</v>
      </c>
      <c r="AV127" s="21">
        <f>EXP(-LN(2)/25)*AV126+(1-EXP(-LN(2)/25))/(LN(2)/25)*Calculateur!AQ127*Calculateur!AS127*VLOOKUP('Données projet'!$B$10,Paramètres!$A$1:$I$89,3,0)*0.475*44/12</f>
        <v>23.47742312602481</v>
      </c>
      <c r="AW127" s="21">
        <f>EXP(-LN(2)/2)*AW126+(1-EXP(-LN(2)/2))/(LN(2)/2)*AQ127*AT127*VLOOKUP('Données projet'!$B$10,Paramètres!$A$1:$I$89,3,0)*0.475*44/12</f>
        <v>6.4691439826967594</v>
      </c>
      <c r="AX127" s="21">
        <f t="shared" si="60"/>
        <v>113.29432922834674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408.84292800000065</v>
      </c>
      <c r="BF127" s="13">
        <f t="shared" si="91"/>
        <v>93.567145264891295</v>
      </c>
      <c r="BG127" s="20">
        <f t="shared" si="61"/>
        <v>875.03087760302014</v>
      </c>
      <c r="BH127" s="59">
        <f t="shared" si="62"/>
        <v>1168.3642109363534</v>
      </c>
      <c r="BI127" s="59">
        <f ca="1">AVERAGE(OFFSET($BH$3,0,0,'Données projet'!$E$11+1,1))-AVERAGE(OFFSET($H$3,0,0,'Données projet'!$E$11+1,1))</f>
        <v>635.71275911100679</v>
      </c>
      <c r="BJ127" s="59">
        <f t="shared" si="92"/>
        <v>281.7776857269169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38.612963922572</v>
      </c>
      <c r="BQ127" s="21">
        <f>EXP(-LN(2)/25)*BQ126+(1-EXP(-LN(2)/25))/(LN(2)/25)*Calculateur!BL127*Calculateur!BN127*VLOOKUP('Données projet'!$B$11,Paramètres!$A$1:$I$89,3,0)*0.475*44/12</f>
        <v>24.491472381184234</v>
      </c>
      <c r="BR127" s="21">
        <f>EXP(-LN(2)/2)*BR126+(1-EXP(-LN(2)/2))/(LN(2)/2)*BL127*BO127*VLOOKUP('Données projet'!$B$11,Paramètres!$A$1:$I$89,3,0)*0.475*44/12</f>
        <v>5.1059803375246293</v>
      </c>
      <c r="BS127" s="22">
        <f t="shared" si="63"/>
        <v>68.210416641280858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7.1129999999999995</v>
      </c>
      <c r="BY127" s="12">
        <f>IF('Données projet'!$A$114&gt;35,BY126+BX127-CG126,IF(A127&lt;'Données projet'!$A$114,$BV$205^A127,IF(A127='Données projet'!$A$114,'Données projet'!$B$114,BY126+BX127-CG126)))</f>
        <v>283.66600000000005</v>
      </c>
      <c r="BZ127" s="13">
        <f>BY127*VLOOKUP('Données projet'!$B$12,Paramètres!$A$1:$I$89,3,0)*VLOOKUP('Données projet'!$B$12,Paramètres!$A$1:$I$89,5,0)</f>
        <v>323.03884080000006</v>
      </c>
      <c r="CA127" s="13">
        <f t="shared" si="93"/>
        <v>75.985295359040222</v>
      </c>
      <c r="CB127" s="20">
        <f t="shared" si="64"/>
        <v>694.96703714366186</v>
      </c>
      <c r="CC127" s="59">
        <f t="shared" si="65"/>
        <v>988.30037047699511</v>
      </c>
      <c r="CD127" s="59">
        <f ca="1">AVERAGE(OFFSET($CC$3,0,0,'Données projet'!$E$12+1,1))-AVERAGE(OFFSET($H$3,0,0,'Données projet'!$E$12+1,1))</f>
        <v>593.28343396240075</v>
      </c>
      <c r="CE127" s="59">
        <f t="shared" si="94"/>
        <v>289.66477662068695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27.567848153673207</v>
      </c>
      <c r="CL127" s="21">
        <f>EXP(-LN(2)/25)*CL126+(1-EXP(-LN(2)/25))/(LN(2)/25)*Calculateur!CG127*Calculateur!CI127*VLOOKUP('Données projet'!$B$12,Paramètres!$A$1:$I$89,3,0)*0.475*44/12</f>
        <v>27.146909266665276</v>
      </c>
      <c r="CM127" s="21">
        <f>EXP(-LN(2)/2)*CM126+(1-EXP(-LN(2)/2))/(LN(2)/2)*CG127*CJ127*VLOOKUP('Données projet'!$B$12,Paramètres!$A$1:$I$89,3,0)*0.475*44/12</f>
        <v>2.5653947222474431</v>
      </c>
      <c r="CN127" s="22">
        <f t="shared" si="66"/>
        <v>57.280152142585926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2.2737367544323206E-13</v>
      </c>
      <c r="CU127" s="17">
        <f>CT127*VLOOKUP('Données projet'!$B$13,Paramètres!$A$1:$I$89,3,0)*VLOOKUP('Données projet'!$B$13,Paramètres!$A$1:$I$89,5,0)</f>
        <v>2.3765096557326618E-13</v>
      </c>
      <c r="CV127" s="13">
        <f t="shared" si="95"/>
        <v>3.2279907425805489E-12</v>
      </c>
      <c r="CW127" s="20">
        <f t="shared" si="67"/>
        <v>6.0359926417012276E-12</v>
      </c>
      <c r="CX127" s="59">
        <f t="shared" si="68"/>
        <v>293.33333333333934</v>
      </c>
      <c r="CY127" s="59">
        <f ca="1">AVERAGE(OFFSET($CX$3,0,0,'Données projet'!$E$13+1,1))-AVERAGE(OFFSET($H$3,0,0,'Données projet'!$E$13+1,1))</f>
        <v>260.65406541614402</v>
      </c>
      <c r="CZ127" s="59">
        <f t="shared" si="96"/>
        <v>277.63456890196886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9.1874773182288703</v>
      </c>
      <c r="DG127" s="21">
        <f>EXP(-LN(2)/25)*DG126+(1-EXP(-LN(2)/25))/(LN(2)/25)*Calculateur!DB127*Calculateur!DD127*VLOOKUP('Données projet'!$B$13,Paramètres!$A$1:$I$89,3,0)*0.475*44/12</f>
        <v>19.299775952847646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28.487253271076519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2.2737367544323206E-13</v>
      </c>
      <c r="DP127" s="17">
        <f>DO127*VLOOKUP('Données projet'!$B$14,Paramètres!$A$1:$I$89,3,0)*VLOOKUP('Données projet'!$B$14,Paramètres!$A$1:$I$89,5,0)</f>
        <v>1.4897523215040565E-13</v>
      </c>
      <c r="DQ127" s="13">
        <f t="shared" si="97"/>
        <v>2.136562777003313E-12</v>
      </c>
      <c r="DR127" s="20">
        <f t="shared" si="70"/>
        <v>3.9806453659427267E-12</v>
      </c>
      <c r="DS127" s="59">
        <f t="shared" si="71"/>
        <v>293.33333333333729</v>
      </c>
      <c r="DT127" s="59">
        <f ca="1">AVERAGE(OFFSET($DS$3,0,0,'Données projet'!$E$14+1,1))-AVERAGE(OFFSET($H$3,0,0,'Données projet'!$E$14+1,1))</f>
        <v>181.4272795535777</v>
      </c>
      <c r="DU127" s="59">
        <f t="shared" si="98"/>
        <v>187.67131775419904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8.6218220558852199</v>
      </c>
      <c r="EB127" s="21">
        <f>EXP(-LN(2)/25)*EB126+(1-EXP(-LN(2)/25))/(LN(2)/25)*Calculateur!DW127*Calculateur!DY127*VLOOKUP('Données projet'!$B$14,Paramètres!$A$1:$I$89,3,0)*0.475*44/12</f>
        <v>7.0290737241135481</v>
      </c>
      <c r="EC127" s="21">
        <f>EXP(-LN(2)/2)*EC126+(1-EXP(-LN(2)/2))/(LN(2)/2)*DW127*DZ127*VLOOKUP('Données projet'!$B$14,Paramètres!$A$1:$I$89,3,0)*0.475*44/12</f>
        <v>1.914362308265262E-4</v>
      </c>
      <c r="ED127" s="22">
        <f t="shared" si="72"/>
        <v>15.651087216229595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1.1368683772161603E-13</v>
      </c>
      <c r="EK127" s="17">
        <f>EJ127*VLOOKUP('Données projet'!$B$15,Paramètres!$A$1:$I$89,3,0)*VLOOKUP('Données projet'!$B$15,Paramètres!$A$1:$I$89,5,0)</f>
        <v>9.2222762759774927E-14</v>
      </c>
      <c r="EL127" s="13">
        <f t="shared" si="99"/>
        <v>1.3985662224947967E-12</v>
      </c>
      <c r="EM127" s="20">
        <f t="shared" si="73"/>
        <v>2.5964574826517121E-12</v>
      </c>
      <c r="EN127" s="59">
        <f t="shared" si="74"/>
        <v>293.33333333333593</v>
      </c>
      <c r="EO127" s="59">
        <f ca="1">AVERAGE(OFFSET($EN$3,0,0,'Données projet'!$E$15+1,1))-AVERAGE(OFFSET($H$3,0,0,'Données projet'!$E$15+1,1))</f>
        <v>159.68591355116837</v>
      </c>
      <c r="EP127" s="59">
        <f t="shared" si="100"/>
        <v>284.32631786390112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2.7631148164939865</v>
      </c>
      <c r="EW127" s="21">
        <f>EXP(-LN(2)/25)*EW126+(1-EXP(-LN(2)/25))/(LN(2)/25)*Calculateur!ER127*Calculateur!ET127*VLOOKUP('Données projet'!$B$15,Paramètres!$A$1:$I$89,3,0)*0.475*44/12</f>
        <v>1.8816850283931739</v>
      </c>
      <c r="EX127" s="21">
        <f>EXP(-LN(2)/2)*EX126+(1-EXP(-LN(2)/2))/(LN(2)/2)*ER127*EU127*VLOOKUP('Données projet'!$B$15,Paramètres!$A$1:$I$89,3,0)*0.475*44/12</f>
        <v>6.6352446071541298E-12</v>
      </c>
      <c r="EY127" s="22">
        <f t="shared" si="75"/>
        <v>4.6447998448937957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-1.3567387213697657E-13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299.10536994156814</v>
      </c>
      <c r="FK127" s="59">
        <f t="shared" si="102"/>
        <v>292.57799203101769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16.995624138555598</v>
      </c>
      <c r="FR127" s="21">
        <f>EXP(-LN(2)/25)*FR126+(1-EXP(-LN(2)/25))/(LN(2)/25)*Calculateur!FM127*Calculateur!FO127*VLOOKUP('Données projet'!$B$16,Paramètres!$A$1:$I$89,3,0)*0.475*44/12</f>
        <v>12.507324451923324</v>
      </c>
      <c r="FS127" s="21">
        <f>EXP(-LN(2)/2)*FS126+(1-EXP(-LN(2)/2))/(LN(2)/2)*FM127*FP127*VLOOKUP('Données projet'!$B$16,Paramètres!$A$1:$I$89,3,0)*0.475*44/12</f>
        <v>1.2392982670179582E-5</v>
      </c>
      <c r="FT127" s="22">
        <f t="shared" si="78"/>
        <v>29.502960983461591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5.6843418860808015E-14</v>
      </c>
      <c r="GA127" s="17">
        <f>FZ127*VLOOKUP('Données projet'!$B$17,Paramètres!$A$1:$I$89,3,0)*VLOOKUP('Données projet'!$B$17,Paramètres!$A$1:$I$89,5,0)</f>
        <v>5.1431925385259088E-14</v>
      </c>
      <c r="GB127" s="13">
        <f t="shared" si="103"/>
        <v>8.3482866290946129E-13</v>
      </c>
      <c r="GC127" s="20">
        <f t="shared" si="79"/>
        <v>1.5435705246133045E-12</v>
      </c>
      <c r="GD127" s="59">
        <f t="shared" si="80"/>
        <v>293.33333333333485</v>
      </c>
      <c r="GE127" s="59">
        <f ca="1">AVERAGE(OFFSET($GD$3,0,0,'Données projet'!$E$17+1,1))-AVERAGE(OFFSET($H$3,0,0,'Données projet'!$E$17+1,1))</f>
        <v>204.78565758021779</v>
      </c>
      <c r="GF127" s="59">
        <f t="shared" si="104"/>
        <v>287.25131613242439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3.2652371310234423</v>
      </c>
      <c r="GM127" s="21">
        <f>EXP(-LN(2)/25)*GM126+(1-EXP(-LN(2)/25))/(LN(2)/25)*Calculateur!GH127*Calculateur!GJ127*VLOOKUP('Données projet'!$B$17,Paramètres!$A$1:$I$89,3,0)*0.475*44/12</f>
        <v>1.4786935990551227</v>
      </c>
      <c r="GN127" s="21">
        <f>EXP(-LN(2)/2)*GN126+(1-EXP(-LN(2)/2))/(LN(2)/2)*GH127*GK127*VLOOKUP('Données projet'!$B$17,Paramètres!$A$1:$I$89,3,0)*0.475*44/12</f>
        <v>1.7737728321472522E-11</v>
      </c>
      <c r="GO127" s="21">
        <f t="shared" si="81"/>
        <v>4.7439307300963032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5.6843418860808015E-14</v>
      </c>
      <c r="GV127" s="17">
        <f>GU127*VLOOKUP('Données projet'!$B$18,Paramètres!$A$1:$I$89,3,0)*VLOOKUP('Données projet'!$B$18,Paramètres!$A$1:$I$89,5,0)</f>
        <v>4.4337866711430253E-14</v>
      </c>
      <c r="GW127" s="13">
        <f t="shared" si="105"/>
        <v>7.3222115536967035E-13</v>
      </c>
      <c r="GX127" s="20">
        <f t="shared" si="82"/>
        <v>1.3525069634579169E-12</v>
      </c>
      <c r="GY127" s="59">
        <f t="shared" si="83"/>
        <v>293.33333333333468</v>
      </c>
      <c r="GZ127" s="59">
        <f ca="1">AVERAGE(OFFSET($GY$3,0,0,'Données projet'!$E$18+1,1))-AVERAGE(OFFSET($H$3,0,0,'Données projet'!$E$18+1,1))</f>
        <v>288.82868507674738</v>
      </c>
      <c r="HA127" s="59">
        <f t="shared" si="106"/>
        <v>283.48738729114024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14.467949312985754</v>
      </c>
      <c r="HH127" s="21">
        <f>EXP(-LN(2)/25)*HH126+(1-EXP(-LN(2)/25))/(LN(2)/25)*Calculateur!HC127*Calculateur!HE127*VLOOKUP('Données projet'!$B$18,Paramètres!$A$1:$I$89,3,0)*0.475*44/12</f>
        <v>9.2137291169379409</v>
      </c>
      <c r="HI127" s="21">
        <f>EXP(-LN(2)/2)*HI126+(1-EXP(-LN(2)/2))/(LN(2)/2)*HC127*HF127*VLOOKUP('Données projet'!$B$18,Paramètres!$A$1:$I$89,3,0)*0.475*44/12</f>
        <v>3.2008435509319206E-7</v>
      </c>
      <c r="HJ127" s="22">
        <f t="shared" si="84"/>
        <v>23.681678750008047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349.71285006949597</v>
      </c>
      <c r="T128" s="59">
        <f t="shared" si="88"/>
        <v>258.51550516456842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62.865362421914803</v>
      </c>
      <c r="AA128" s="21">
        <f>EXP(-LN(2)/25)*AA127+(1-EXP(-LN(2)/25))/(LN(2)/25)*Calculateur!V128*Calculateur!X128*VLOOKUP('Données projet'!$B$9,Paramètres!$A$1:$I$89,3,0)*0.475*44/12</f>
        <v>14.859668972696049</v>
      </c>
      <c r="AB128" s="21">
        <f>EXP(-LN(2)/2)*AB127+(1-EXP(-LN(2)/2))/(LN(2)/2)*V128*Y128*VLOOKUP('Données projet'!$B$9,Paramètres!$A$1:$I$89,3,0)*0.475*44/12</f>
        <v>1.1921934525366193E-5</v>
      </c>
      <c r="AC128" s="22">
        <f t="shared" si="57"/>
        <v>77.725043316545381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215.44</v>
      </c>
      <c r="AG128" s="12">
        <f>VLOOKUP(A128,'Données projet'!$A$61:$I$81,9,0)</f>
        <v>4.8499999999999943</v>
      </c>
      <c r="AH128" s="12">
        <f t="array" ref="AH128">INDEX(AG:AG,MIN(IF(ISNUMBER(AG128:AG324),ROW(AG128:AG324),"")))</f>
        <v>4.8499999999999943</v>
      </c>
      <c r="AI128" s="13">
        <f>IF('Données projet'!$A$62&gt;35,AI127+AH128-AQ127,IF(A128&lt;'Données projet'!$A$62,$AF$205^A128,IF(A128='Données projet'!$A$62,'Données projet'!$B$62,AI127+AH128-AQ127)))</f>
        <v>215.44000000000025</v>
      </c>
      <c r="AJ128" s="13">
        <f>AI128*VLOOKUP('Données projet'!$B$10,Paramètres!$A$1:$I$89,3,0)*VLOOKUP('Données projet'!$B$10,Paramètres!$A$1:$I$89,5,0)</f>
        <v>205.01270400000027</v>
      </c>
      <c r="AK128" s="13">
        <f t="shared" si="89"/>
        <v>50.844216177769056</v>
      </c>
      <c r="AL128" s="20">
        <f t="shared" si="58"/>
        <v>445.61746930961482</v>
      </c>
      <c r="AM128" s="59">
        <f t="shared" si="59"/>
        <v>738.95080264294813</v>
      </c>
      <c r="AN128" s="59">
        <f ca="1">AVERAGE(OFFSET($AM$3,0,0,'Données projet'!$E$10+1,1))-AVERAGE(OFFSET($H$3,0,0,'Données projet'!$E$10+1,1))</f>
        <v>449.28947235329758</v>
      </c>
      <c r="AO128" s="59">
        <f t="shared" si="90"/>
        <v>289.36994109443964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70.609999999999985</v>
      </c>
      <c r="AR128" s="16">
        <f>IF(ISNA(VLOOKUP(A128,'Données projet'!$A$61:$I$81,5,0)),0%,VLOOKUP(A128,'Données projet'!$A$61:$I$81,5,0)*VLOOKUP('Données projet'!$B$10,Paramètres!$A$1:$I$89,7,0))</f>
        <v>0.19350000000000001</v>
      </c>
      <c r="AS128" s="16">
        <f>IF(ISNA(VLOOKUP(A128,'Données projet'!$A$61:$I$81,6,0)),0%,VLOOKUP(A128,'Données projet'!$A$61:$I$81,6,0)*VLOOKUP('Données projet'!$B$10,Paramètres!$A$1:$I$89,7,0))</f>
        <v>2.1500000000000002E-2</v>
      </c>
      <c r="AT128" s="16">
        <f>IF(ISNA(VLOOKUP(A128,'Données projet'!$A$61:$I$81,7,0)),0%,VLOOKUP(A128,'Données projet'!$A$61:$I$81,7,0))</f>
        <v>0.05</v>
      </c>
      <c r="AU128" s="21">
        <f>EXP(-LN(2)/35)*AU127+(1-EXP(-LN(2)/35))/(LN(2)/35)*AQ128*AR128*VLOOKUP('Données projet'!$B$10,Paramètres!$A$1:$I$89,3,0)*0.475*44/12</f>
        <v>96.08640633302457</v>
      </c>
      <c r="AV128" s="21">
        <f>EXP(-LN(2)/25)*AV127+(1-EXP(-LN(2)/25))/(LN(2)/25)*Calculateur!AQ128*Calculateur!AS128*VLOOKUP('Données projet'!$B$10,Paramètres!$A$1:$I$89,3,0)*0.475*44/12</f>
        <v>24.426148516534532</v>
      </c>
      <c r="AW128" s="21">
        <f>EXP(-LN(2)/2)*AW127+(1-EXP(-LN(2)/2))/(LN(2)/2)*AQ128*AT128*VLOOKUP('Données projet'!$B$10,Paramètres!$A$1:$I$89,3,0)*0.475*44/12</f>
        <v>7.7442710568858573</v>
      </c>
      <c r="AX128" s="21">
        <f t="shared" si="60"/>
        <v>128.25682590644496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364.70045040000065</v>
      </c>
      <c r="BF128" s="13">
        <f t="shared" si="91"/>
        <v>84.582200429685614</v>
      </c>
      <c r="BG128" s="20">
        <f t="shared" si="61"/>
        <v>782.50061686170341</v>
      </c>
      <c r="BH128" s="59">
        <f t="shared" si="62"/>
        <v>1075.8339501950368</v>
      </c>
      <c r="BI128" s="59">
        <f ca="1">AVERAGE(OFFSET($BH$3,0,0,'Données projet'!$E$11+1,1))-AVERAGE(OFFSET($H$3,0,0,'Données projet'!$E$11+1,1))</f>
        <v>635.71275911100679</v>
      </c>
      <c r="BJ128" s="59">
        <f t="shared" si="92"/>
        <v>281.7776857269169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37.855787251632833</v>
      </c>
      <c r="BQ128" s="21">
        <f>EXP(-LN(2)/25)*BQ127+(1-EXP(-LN(2)/25))/(LN(2)/25)*Calculateur!BL128*Calculateur!BN128*VLOOKUP('Données projet'!$B$11,Paramètres!$A$1:$I$89,3,0)*0.475*44/12</f>
        <v>23.821751780970196</v>
      </c>
      <c r="BR128" s="21">
        <f>EXP(-LN(2)/2)*BR127+(1-EXP(-LN(2)/2))/(LN(2)/2)*BL128*BO128*VLOOKUP('Données projet'!$B$11,Paramètres!$A$1:$I$89,3,0)*0.475*44/12</f>
        <v>3.6104733212688425</v>
      </c>
      <c r="BS128" s="22">
        <f t="shared" si="63"/>
        <v>65.288012353871878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7.1129999999999995</v>
      </c>
      <c r="BY128" s="12">
        <f>IF('Données projet'!$A$114&gt;35,BY127+BX128-CG127,IF(A128&lt;'Données projet'!$A$114,$BV$205^A128,IF(A128='Données projet'!$A$114,'Données projet'!$B$114,BY127+BX128-CG127)))</f>
        <v>290.77900000000005</v>
      </c>
      <c r="BZ128" s="13">
        <f>BY128*VLOOKUP('Données projet'!$B$12,Paramètres!$A$1:$I$89,3,0)*VLOOKUP('Données projet'!$B$12,Paramètres!$A$1:$I$89,5,0)</f>
        <v>331.13912520000008</v>
      </c>
      <c r="CA128" s="13">
        <f t="shared" si="93"/>
        <v>77.6664295030006</v>
      </c>
      <c r="CB128" s="20">
        <f t="shared" si="64"/>
        <v>712.00300777439281</v>
      </c>
      <c r="CC128" s="59">
        <f t="shared" si="65"/>
        <v>1005.3363411077262</v>
      </c>
      <c r="CD128" s="59">
        <f ca="1">AVERAGE(OFFSET($CC$3,0,0,'Données projet'!$E$12+1,1))-AVERAGE(OFFSET($H$3,0,0,'Données projet'!$E$12+1,1))</f>
        <v>593.28343396240075</v>
      </c>
      <c r="CE128" s="59">
        <f t="shared" si="94"/>
        <v>289.66477662068695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27.027259466106734</v>
      </c>
      <c r="CL128" s="21">
        <f>EXP(-LN(2)/25)*CL127+(1-EXP(-LN(2)/25))/(LN(2)/25)*Calculateur!CG128*Calculateur!CI128*VLOOKUP('Données projet'!$B$12,Paramètres!$A$1:$I$89,3,0)*0.475*44/12</f>
        <v>26.404575605174401</v>
      </c>
      <c r="CM128" s="21">
        <f>EXP(-LN(2)/2)*CM127+(1-EXP(-LN(2)/2))/(LN(2)/2)*CG128*CJ128*VLOOKUP('Données projet'!$B$12,Paramètres!$A$1:$I$89,3,0)*0.475*44/12</f>
        <v>1.8140080045213467</v>
      </c>
      <c r="CN128" s="22">
        <f t="shared" si="66"/>
        <v>55.245843075802483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2.2737367544323206E-13</v>
      </c>
      <c r="CU128" s="17">
        <f>CT128*VLOOKUP('Données projet'!$B$13,Paramètres!$A$1:$I$89,3,0)*VLOOKUP('Données projet'!$B$13,Paramètres!$A$1:$I$89,5,0)</f>
        <v>2.3765096557326618E-13</v>
      </c>
      <c r="CV128" s="13">
        <f t="shared" si="95"/>
        <v>3.2279907425805489E-12</v>
      </c>
      <c r="CW128" s="20">
        <f t="shared" si="67"/>
        <v>6.0359926417012276E-12</v>
      </c>
      <c r="CX128" s="59">
        <f t="shared" si="68"/>
        <v>293.33333333333934</v>
      </c>
      <c r="CY128" s="59">
        <f ca="1">AVERAGE(OFFSET($CX$3,0,0,'Données projet'!$E$13+1,1))-AVERAGE(OFFSET($H$3,0,0,'Données projet'!$E$13+1,1))</f>
        <v>260.65406541614402</v>
      </c>
      <c r="CZ128" s="59">
        <f t="shared" si="96"/>
        <v>277.63456890196886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9.0073164918262361</v>
      </c>
      <c r="DG128" s="21">
        <f>EXP(-LN(2)/25)*DG127+(1-EXP(-LN(2)/25))/(LN(2)/25)*Calculateur!DB128*Calculateur!DD128*VLOOKUP('Données projet'!$B$13,Paramètres!$A$1:$I$89,3,0)*0.475*44/12</f>
        <v>18.772022564485919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27.779339056312153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2.2737367544323206E-13</v>
      </c>
      <c r="DP128" s="17">
        <f>DO128*VLOOKUP('Données projet'!$B$14,Paramètres!$A$1:$I$89,3,0)*VLOOKUP('Données projet'!$B$14,Paramètres!$A$1:$I$89,5,0)</f>
        <v>1.4897523215040565E-13</v>
      </c>
      <c r="DQ128" s="13">
        <f t="shared" si="97"/>
        <v>2.136562777003313E-12</v>
      </c>
      <c r="DR128" s="20">
        <f t="shared" si="70"/>
        <v>3.9806453659427267E-12</v>
      </c>
      <c r="DS128" s="59">
        <f t="shared" si="71"/>
        <v>293.33333333333729</v>
      </c>
      <c r="DT128" s="59">
        <f ca="1">AVERAGE(OFFSET($DS$3,0,0,'Données projet'!$E$14+1,1))-AVERAGE(OFFSET($H$3,0,0,'Données projet'!$E$14+1,1))</f>
        <v>181.4272795535777</v>
      </c>
      <c r="DU128" s="59">
        <f t="shared" si="98"/>
        <v>187.67131775419904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8.4527533841615021</v>
      </c>
      <c r="EB128" s="21">
        <f>EXP(-LN(2)/25)*EB127+(1-EXP(-LN(2)/25))/(LN(2)/25)*Calculateur!DW128*Calculateur!DY128*VLOOKUP('Données projet'!$B$14,Paramètres!$A$1:$I$89,3,0)*0.475*44/12</f>
        <v>6.8368633334847413</v>
      </c>
      <c r="EC128" s="21">
        <f>EXP(-LN(2)/2)*EC127+(1-EXP(-LN(2)/2))/(LN(2)/2)*DW128*DZ128*VLOOKUP('Données projet'!$B$14,Paramètres!$A$1:$I$89,3,0)*0.475*44/12</f>
        <v>1.3536585698222987E-4</v>
      </c>
      <c r="ED128" s="22">
        <f t="shared" si="72"/>
        <v>15.289752083503226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1.1368683772161603E-13</v>
      </c>
      <c r="EK128" s="17">
        <f>EJ128*VLOOKUP('Données projet'!$B$15,Paramètres!$A$1:$I$89,3,0)*VLOOKUP('Données projet'!$B$15,Paramètres!$A$1:$I$89,5,0)</f>
        <v>9.2222762759774927E-14</v>
      </c>
      <c r="EL128" s="13">
        <f t="shared" si="99"/>
        <v>1.3985662224947967E-12</v>
      </c>
      <c r="EM128" s="20">
        <f t="shared" si="73"/>
        <v>2.5964574826517121E-12</v>
      </c>
      <c r="EN128" s="59">
        <f t="shared" si="74"/>
        <v>293.33333333333593</v>
      </c>
      <c r="EO128" s="59">
        <f ca="1">AVERAGE(OFFSET($EN$3,0,0,'Données projet'!$E$15+1,1))-AVERAGE(OFFSET($H$3,0,0,'Données projet'!$E$15+1,1))</f>
        <v>159.68591355116837</v>
      </c>
      <c r="EP128" s="59">
        <f t="shared" si="100"/>
        <v>284.32631786390112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2.7089318202761645</v>
      </c>
      <c r="EW128" s="21">
        <f>EXP(-LN(2)/25)*EW127+(1-EXP(-LN(2)/25))/(LN(2)/25)*Calculateur!ER128*Calculateur!ET128*VLOOKUP('Données projet'!$B$15,Paramètres!$A$1:$I$89,3,0)*0.475*44/12</f>
        <v>1.8302302523382474</v>
      </c>
      <c r="EX128" s="21">
        <f>EXP(-LN(2)/2)*EX127+(1-EXP(-LN(2)/2))/(LN(2)/2)*ER128*EU128*VLOOKUP('Données projet'!$B$15,Paramètres!$A$1:$I$89,3,0)*0.475*44/12</f>
        <v>4.6918264565501547E-12</v>
      </c>
      <c r="EY128" s="22">
        <f t="shared" si="75"/>
        <v>4.5391620726191038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-1.3567387213697657E-13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299.10536994156814</v>
      </c>
      <c r="FK128" s="59">
        <f t="shared" si="102"/>
        <v>292.57799203101769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16.662350315505659</v>
      </c>
      <c r="FR128" s="21">
        <f>EXP(-LN(2)/25)*FR127+(1-EXP(-LN(2)/25))/(LN(2)/25)*Calculateur!FM128*Calculateur!FO128*VLOOKUP('Données projet'!$B$16,Paramètres!$A$1:$I$89,3,0)*0.475*44/12</f>
        <v>12.165311007053873</v>
      </c>
      <c r="FS128" s="21">
        <f>EXP(-LN(2)/2)*FS127+(1-EXP(-LN(2)/2))/(LN(2)/2)*FM128*FP128*VLOOKUP('Données projet'!$B$16,Paramètres!$A$1:$I$89,3,0)*0.475*44/12</f>
        <v>8.7631620852113489E-6</v>
      </c>
      <c r="FT128" s="22">
        <f t="shared" si="78"/>
        <v>28.827670085721618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5.6843418860808015E-14</v>
      </c>
      <c r="GA128" s="17">
        <f>FZ128*VLOOKUP('Données projet'!$B$17,Paramètres!$A$1:$I$89,3,0)*VLOOKUP('Données projet'!$B$17,Paramètres!$A$1:$I$89,5,0)</f>
        <v>5.1431925385259088E-14</v>
      </c>
      <c r="GB128" s="13">
        <f t="shared" si="103"/>
        <v>8.3482866290946129E-13</v>
      </c>
      <c r="GC128" s="20">
        <f t="shared" si="79"/>
        <v>1.5435705246133045E-12</v>
      </c>
      <c r="GD128" s="59">
        <f t="shared" si="80"/>
        <v>293.33333333333485</v>
      </c>
      <c r="GE128" s="59">
        <f ca="1">AVERAGE(OFFSET($GD$3,0,0,'Données projet'!$E$17+1,1))-AVERAGE(OFFSET($H$3,0,0,'Données projet'!$E$17+1,1))</f>
        <v>204.78565758021779</v>
      </c>
      <c r="GF128" s="59">
        <f t="shared" si="104"/>
        <v>287.25131613242439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3.2012078224820684</v>
      </c>
      <c r="GM128" s="21">
        <f>EXP(-LN(2)/25)*GM127+(1-EXP(-LN(2)/25))/(LN(2)/25)*Calculateur!GH128*Calculateur!GJ128*VLOOKUP('Données projet'!$B$17,Paramètres!$A$1:$I$89,3,0)*0.475*44/12</f>
        <v>1.4382586448278436</v>
      </c>
      <c r="GN128" s="21">
        <f>EXP(-LN(2)/2)*GN127+(1-EXP(-LN(2)/2))/(LN(2)/2)*GH128*GK128*VLOOKUP('Données projet'!$B$17,Paramètres!$A$1:$I$89,3,0)*0.475*44/12</f>
        <v>1.2542467978957898E-11</v>
      </c>
      <c r="GO128" s="21">
        <f t="shared" si="81"/>
        <v>4.639466467322455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5.6843418860808015E-14</v>
      </c>
      <c r="GV128" s="17">
        <f>GU128*VLOOKUP('Données projet'!$B$18,Paramètres!$A$1:$I$89,3,0)*VLOOKUP('Données projet'!$B$18,Paramètres!$A$1:$I$89,5,0)</f>
        <v>4.4337866711430253E-14</v>
      </c>
      <c r="GW128" s="13">
        <f t="shared" si="105"/>
        <v>7.3222115536967035E-13</v>
      </c>
      <c r="GX128" s="20">
        <f t="shared" si="82"/>
        <v>1.3525069634579169E-12</v>
      </c>
      <c r="GY128" s="59">
        <f t="shared" si="83"/>
        <v>293.33333333333468</v>
      </c>
      <c r="GZ128" s="59">
        <f ca="1">AVERAGE(OFFSET($GY$3,0,0,'Données projet'!$E$18+1,1))-AVERAGE(OFFSET($H$3,0,0,'Données projet'!$E$18+1,1))</f>
        <v>288.82868507674738</v>
      </c>
      <c r="HA128" s="59">
        <f t="shared" si="106"/>
        <v>283.48738729114024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14.18424165153583</v>
      </c>
      <c r="HH128" s="21">
        <f>EXP(-LN(2)/25)*HH127+(1-EXP(-LN(2)/25))/(LN(2)/25)*Calculateur!HC128*Calculateur!HE128*VLOOKUP('Données projet'!$B$18,Paramètres!$A$1:$I$89,3,0)*0.475*44/12</f>
        <v>8.9617792097063163</v>
      </c>
      <c r="HI128" s="21">
        <f>EXP(-LN(2)/2)*HI127+(1-EXP(-LN(2)/2))/(LN(2)/2)*HC128*HF128*VLOOKUP('Données projet'!$B$18,Paramètres!$A$1:$I$89,3,0)*0.475*44/12</f>
        <v>2.2633381803811894E-7</v>
      </c>
      <c r="HJ128" s="22">
        <f t="shared" si="84"/>
        <v>23.146021087575964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349.71285006949597</v>
      </c>
      <c r="T129" s="59">
        <f t="shared" si="88"/>
        <v>258.51550516456842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61.632611008905968</v>
      </c>
      <c r="AA129" s="21">
        <f>EXP(-LN(2)/25)*AA128+(1-EXP(-LN(2)/25))/(LN(2)/25)*Calculateur!V129*Calculateur!X129*VLOOKUP('Données projet'!$B$9,Paramètres!$A$1:$I$89,3,0)*0.475*44/12</f>
        <v>14.453330543201647</v>
      </c>
      <c r="AB129" s="21">
        <f>EXP(-LN(2)/2)*AB128+(1-EXP(-LN(2)/2))/(LN(2)/2)*V129*Y129*VLOOKUP('Données projet'!$B$9,Paramètres!$A$1:$I$89,3,0)*0.475*44/12</f>
        <v>8.4300807477484592E-6</v>
      </c>
      <c r="AC129" s="22">
        <f t="shared" si="57"/>
        <v>76.085949982188367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3.3249999999999886</v>
      </c>
      <c r="AI129" s="13">
        <f>IF('Données projet'!$A$62&gt;35,AI128+AH129-AQ128,IF(A129&lt;'Données projet'!$A$62,$AF$205^A129,IF(A129='Données projet'!$A$62,'Données projet'!$B$62,AI128+AH129-AQ128)))</f>
        <v>148.15500000000026</v>
      </c>
      <c r="AJ129" s="13">
        <f>AI129*VLOOKUP('Données projet'!$B$10,Paramètres!$A$1:$I$89,3,0)*VLOOKUP('Données projet'!$B$10,Paramètres!$A$1:$I$89,5,0)</f>
        <v>140.98429800000025</v>
      </c>
      <c r="AK129" s="13">
        <f t="shared" si="89"/>
        <v>36.522402318303413</v>
      </c>
      <c r="AL129" s="20">
        <f t="shared" si="58"/>
        <v>309.15750305437888</v>
      </c>
      <c r="AM129" s="59">
        <f t="shared" si="59"/>
        <v>602.49083638771219</v>
      </c>
      <c r="AN129" s="59">
        <f ca="1">AVERAGE(OFFSET($AM$3,0,0,'Données projet'!$E$10+1,1))-AVERAGE(OFFSET($H$3,0,0,'Données projet'!$E$10+1,1))</f>
        <v>449.28947235329758</v>
      </c>
      <c r="AO129" s="59">
        <f t="shared" si="90"/>
        <v>289.36994109443964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94.20221051175487</v>
      </c>
      <c r="AV129" s="21">
        <f>EXP(-LN(2)/25)*AV128+(1-EXP(-LN(2)/25))/(LN(2)/25)*Calculateur!AQ129*Calculateur!AS129*VLOOKUP('Données projet'!$B$10,Paramètres!$A$1:$I$89,3,0)*0.475*44/12</f>
        <v>23.758214200834573</v>
      </c>
      <c r="AW129" s="21">
        <f>EXP(-LN(2)/2)*AW128+(1-EXP(-LN(2)/2))/(LN(2)/2)*AQ129*AT129*VLOOKUP('Données projet'!$B$10,Paramètres!$A$1:$I$89,3,0)*0.475*44/12</f>
        <v>5.4760265796707017</v>
      </c>
      <c r="AX129" s="21">
        <f t="shared" si="60"/>
        <v>123.43645129226014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372.86446080000059</v>
      </c>
      <c r="BF129" s="13">
        <f t="shared" si="91"/>
        <v>86.253061792690659</v>
      </c>
      <c r="BG129" s="20">
        <f t="shared" si="61"/>
        <v>799.62968518227046</v>
      </c>
      <c r="BH129" s="59">
        <f t="shared" si="62"/>
        <v>1092.9630185156038</v>
      </c>
      <c r="BI129" s="59">
        <f ca="1">AVERAGE(OFFSET($BH$3,0,0,'Données projet'!$E$11+1,1))-AVERAGE(OFFSET($H$3,0,0,'Données projet'!$E$11+1,1))</f>
        <v>635.71275911100679</v>
      </c>
      <c r="BJ129" s="59">
        <f t="shared" si="92"/>
        <v>281.7776857269169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37.113458353378611</v>
      </c>
      <c r="BQ129" s="21">
        <f>EXP(-LN(2)/25)*BQ128+(1-EXP(-LN(2)/25))/(LN(2)/25)*Calculateur!BL129*Calculateur!BN129*VLOOKUP('Données projet'!$B$11,Paramètres!$A$1:$I$89,3,0)*0.475*44/12</f>
        <v>23.170344725788084</v>
      </c>
      <c r="BR129" s="21">
        <f>EXP(-LN(2)/2)*BR128+(1-EXP(-LN(2)/2))/(LN(2)/2)*BL129*BO129*VLOOKUP('Données projet'!$B$11,Paramètres!$A$1:$I$89,3,0)*0.475*44/12</f>
        <v>2.5529901687623151</v>
      </c>
      <c r="BS129" s="22">
        <f t="shared" si="63"/>
        <v>62.836793247929009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7.1129999999999995</v>
      </c>
      <c r="BY129" s="12">
        <f>IF('Données projet'!$A$114&gt;35,BY128+BX129-CG128,IF(A129&lt;'Données projet'!$A$114,$BV$205^A129,IF(A129='Données projet'!$A$114,'Données projet'!$B$114,BY128+BX129-CG128)))</f>
        <v>297.89200000000005</v>
      </c>
      <c r="BZ129" s="13">
        <f>BY129*VLOOKUP('Données projet'!$B$12,Paramètres!$A$1:$I$89,3,0)*VLOOKUP('Données projet'!$B$12,Paramètres!$A$1:$I$89,5,0)</f>
        <v>339.23940960000004</v>
      </c>
      <c r="CA129" s="13">
        <f t="shared" si="93"/>
        <v>79.342783153306911</v>
      </c>
      <c r="CB129" s="20">
        <f t="shared" si="64"/>
        <v>729.03065237867622</v>
      </c>
      <c r="CC129" s="59">
        <f t="shared" si="65"/>
        <v>1022.3639857120095</v>
      </c>
      <c r="CD129" s="59">
        <f ca="1">AVERAGE(OFFSET($CC$3,0,0,'Données projet'!$E$12+1,1))-AVERAGE(OFFSET($H$3,0,0,'Données projet'!$E$12+1,1))</f>
        <v>593.28343396240075</v>
      </c>
      <c r="CE129" s="59">
        <f t="shared" si="94"/>
        <v>289.66477662068695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26.497271392976899</v>
      </c>
      <c r="CL129" s="21">
        <f>EXP(-LN(2)/25)*CL128+(1-EXP(-LN(2)/25))/(LN(2)/25)*Calculateur!CG129*Calculateur!CI129*VLOOKUP('Données projet'!$B$12,Paramètres!$A$1:$I$89,3,0)*0.475*44/12</f>
        <v>25.682541096694624</v>
      </c>
      <c r="CM129" s="21">
        <f>EXP(-LN(2)/2)*CM128+(1-EXP(-LN(2)/2))/(LN(2)/2)*CG129*CJ129*VLOOKUP('Données projet'!$B$12,Paramètres!$A$1:$I$89,3,0)*0.475*44/12</f>
        <v>1.2826973611237218</v>
      </c>
      <c r="CN129" s="22">
        <f t="shared" si="66"/>
        <v>53.462509850795243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2.2737367544323206E-13</v>
      </c>
      <c r="CU129" s="17">
        <f>CT129*VLOOKUP('Données projet'!$B$13,Paramètres!$A$1:$I$89,3,0)*VLOOKUP('Données projet'!$B$13,Paramètres!$A$1:$I$89,5,0)</f>
        <v>2.3765096557326618E-13</v>
      </c>
      <c r="CV129" s="13">
        <f t="shared" si="95"/>
        <v>3.2279907425805489E-12</v>
      </c>
      <c r="CW129" s="20">
        <f t="shared" si="67"/>
        <v>6.0359926417012276E-12</v>
      </c>
      <c r="CX129" s="59">
        <f t="shared" si="68"/>
        <v>293.33333333333934</v>
      </c>
      <c r="CY129" s="59">
        <f ca="1">AVERAGE(OFFSET($CX$3,0,0,'Données projet'!$E$13+1,1))-AVERAGE(OFFSET($H$3,0,0,'Données projet'!$E$13+1,1))</f>
        <v>260.65406541614402</v>
      </c>
      <c r="CZ129" s="59">
        <f t="shared" si="96"/>
        <v>277.63456890196886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8.8306885093421048</v>
      </c>
      <c r="DG129" s="21">
        <f>EXP(-LN(2)/25)*DG128+(1-EXP(-LN(2)/25))/(LN(2)/25)*Calculateur!DB129*Calculateur!DD129*VLOOKUP('Données projet'!$B$13,Paramètres!$A$1:$I$89,3,0)*0.475*44/12</f>
        <v>18.258700620282291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27.089389129624394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2.2737367544323206E-13</v>
      </c>
      <c r="DP129" s="17">
        <f>DO129*VLOOKUP('Données projet'!$B$14,Paramètres!$A$1:$I$89,3,0)*VLOOKUP('Données projet'!$B$14,Paramètres!$A$1:$I$89,5,0)</f>
        <v>1.4897523215040565E-13</v>
      </c>
      <c r="DQ129" s="13">
        <f t="shared" si="97"/>
        <v>2.136562777003313E-12</v>
      </c>
      <c r="DR129" s="20">
        <f t="shared" si="70"/>
        <v>3.9806453659427267E-12</v>
      </c>
      <c r="DS129" s="59">
        <f t="shared" si="71"/>
        <v>293.33333333333729</v>
      </c>
      <c r="DT129" s="59">
        <f ca="1">AVERAGE(OFFSET($DS$3,0,0,'Données projet'!$E$14+1,1))-AVERAGE(OFFSET($H$3,0,0,'Données projet'!$E$14+1,1))</f>
        <v>181.4272795535777</v>
      </c>
      <c r="DU129" s="59">
        <f t="shared" si="98"/>
        <v>187.67131775419904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8.2870000459685791</v>
      </c>
      <c r="EB129" s="21">
        <f>EXP(-LN(2)/25)*EB128+(1-EXP(-LN(2)/25))/(LN(2)/25)*Calculateur!DW129*Calculateur!DY129*VLOOKUP('Données projet'!$B$14,Paramètres!$A$1:$I$89,3,0)*0.475*44/12</f>
        <v>6.649908946095584</v>
      </c>
      <c r="EC129" s="21">
        <f>EXP(-LN(2)/2)*EC128+(1-EXP(-LN(2)/2))/(LN(2)/2)*DW129*DZ129*VLOOKUP('Données projet'!$B$14,Paramètres!$A$1:$I$89,3,0)*0.475*44/12</f>
        <v>9.5718115413263101E-5</v>
      </c>
      <c r="ED129" s="22">
        <f t="shared" si="72"/>
        <v>14.937004710179576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1.1368683772161603E-13</v>
      </c>
      <c r="EK129" s="17">
        <f>EJ129*VLOOKUP('Données projet'!$B$15,Paramètres!$A$1:$I$89,3,0)*VLOOKUP('Données projet'!$B$15,Paramètres!$A$1:$I$89,5,0)</f>
        <v>9.2222762759774927E-14</v>
      </c>
      <c r="EL129" s="13">
        <f t="shared" si="99"/>
        <v>1.3985662224947967E-12</v>
      </c>
      <c r="EM129" s="20">
        <f t="shared" si="73"/>
        <v>2.5964574826517121E-12</v>
      </c>
      <c r="EN129" s="59">
        <f t="shared" si="74"/>
        <v>293.33333333333593</v>
      </c>
      <c r="EO129" s="59">
        <f ca="1">AVERAGE(OFFSET($EN$3,0,0,'Données projet'!$E$15+1,1))-AVERAGE(OFFSET($H$3,0,0,'Données projet'!$E$15+1,1))</f>
        <v>159.68591355116837</v>
      </c>
      <c r="EP129" s="59">
        <f t="shared" si="100"/>
        <v>284.32631786390112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2.6558113195658097</v>
      </c>
      <c r="EW129" s="21">
        <f>EXP(-LN(2)/25)*EW128+(1-EXP(-LN(2)/25))/(LN(2)/25)*Calculateur!ER129*Calculateur!ET129*VLOOKUP('Données projet'!$B$15,Paramètres!$A$1:$I$89,3,0)*0.475*44/12</f>
        <v>1.780182509840432</v>
      </c>
      <c r="EX129" s="21">
        <f>EXP(-LN(2)/2)*EX128+(1-EXP(-LN(2)/2))/(LN(2)/2)*ER129*EU129*VLOOKUP('Données projet'!$B$15,Paramètres!$A$1:$I$89,3,0)*0.475*44/12</f>
        <v>3.3176223035770649E-12</v>
      </c>
      <c r="EY129" s="22">
        <f t="shared" si="75"/>
        <v>4.4359938294095587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-1.3567387213697657E-13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299.10536994156814</v>
      </c>
      <c r="FK129" s="59">
        <f t="shared" si="102"/>
        <v>292.57799203101769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16.33561178884877</v>
      </c>
      <c r="FR129" s="21">
        <f>EXP(-LN(2)/25)*FR128+(1-EXP(-LN(2)/25))/(LN(2)/25)*Calculateur!FM129*Calculateur!FO129*VLOOKUP('Données projet'!$B$16,Paramètres!$A$1:$I$89,3,0)*0.475*44/12</f>
        <v>11.832649937820083</v>
      </c>
      <c r="FS129" s="21">
        <f>EXP(-LN(2)/2)*FS128+(1-EXP(-LN(2)/2))/(LN(2)/2)*FM129*FP129*VLOOKUP('Données projet'!$B$16,Paramètres!$A$1:$I$89,3,0)*0.475*44/12</f>
        <v>6.1964913350897909E-6</v>
      </c>
      <c r="FT129" s="22">
        <f t="shared" si="78"/>
        <v>28.168267923160187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5.6843418860808015E-14</v>
      </c>
      <c r="GA129" s="17">
        <f>FZ129*VLOOKUP('Données projet'!$B$17,Paramètres!$A$1:$I$89,3,0)*VLOOKUP('Données projet'!$B$17,Paramètres!$A$1:$I$89,5,0)</f>
        <v>5.1431925385259088E-14</v>
      </c>
      <c r="GB129" s="13">
        <f t="shared" si="103"/>
        <v>8.3482866290946129E-13</v>
      </c>
      <c r="GC129" s="20">
        <f t="shared" si="79"/>
        <v>1.5435705246133045E-12</v>
      </c>
      <c r="GD129" s="59">
        <f t="shared" si="80"/>
        <v>293.33333333333485</v>
      </c>
      <c r="GE129" s="59">
        <f ca="1">AVERAGE(OFFSET($GD$3,0,0,'Données projet'!$E$17+1,1))-AVERAGE(OFFSET($H$3,0,0,'Données projet'!$E$17+1,1))</f>
        <v>204.78565758021779</v>
      </c>
      <c r="GF129" s="59">
        <f t="shared" si="104"/>
        <v>287.25131613242439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3.138434089627169</v>
      </c>
      <c r="GM129" s="21">
        <f>EXP(-LN(2)/25)*GM128+(1-EXP(-LN(2)/25))/(LN(2)/25)*Calculateur!GH129*Calculateur!GJ129*VLOOKUP('Données projet'!$B$17,Paramètres!$A$1:$I$89,3,0)*0.475*44/12</f>
        <v>1.3989293865502912</v>
      </c>
      <c r="GN129" s="21">
        <f>EXP(-LN(2)/2)*GN128+(1-EXP(-LN(2)/2))/(LN(2)/2)*GH129*GK129*VLOOKUP('Données projet'!$B$17,Paramètres!$A$1:$I$89,3,0)*0.475*44/12</f>
        <v>8.8688641607362609E-12</v>
      </c>
      <c r="GO129" s="21">
        <f t="shared" si="81"/>
        <v>4.5373634761863286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5.6843418860808015E-14</v>
      </c>
      <c r="GV129" s="17">
        <f>GU129*VLOOKUP('Données projet'!$B$18,Paramètres!$A$1:$I$89,3,0)*VLOOKUP('Données projet'!$B$18,Paramètres!$A$1:$I$89,5,0)</f>
        <v>4.4337866711430253E-14</v>
      </c>
      <c r="GW129" s="13">
        <f t="shared" si="105"/>
        <v>7.3222115536967035E-13</v>
      </c>
      <c r="GX129" s="20">
        <f t="shared" si="82"/>
        <v>1.3525069634579169E-12</v>
      </c>
      <c r="GY129" s="59">
        <f t="shared" si="83"/>
        <v>293.33333333333468</v>
      </c>
      <c r="GZ129" s="59">
        <f ca="1">AVERAGE(OFFSET($GY$3,0,0,'Données projet'!$E$18+1,1))-AVERAGE(OFFSET($H$3,0,0,'Données projet'!$E$18+1,1))</f>
        <v>288.82868507674738</v>
      </c>
      <c r="HA129" s="59">
        <f t="shared" si="106"/>
        <v>283.48738729114024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13.906097324282351</v>
      </c>
      <c r="HH129" s="21">
        <f>EXP(-LN(2)/25)*HH128+(1-EXP(-LN(2)/25))/(LN(2)/25)*Calculateur!HC129*Calculateur!HE129*VLOOKUP('Données projet'!$B$18,Paramètres!$A$1:$I$89,3,0)*0.475*44/12</f>
        <v>8.7167188859374107</v>
      </c>
      <c r="HI129" s="21">
        <f>EXP(-LN(2)/2)*HI128+(1-EXP(-LN(2)/2))/(LN(2)/2)*HC129*HF129*VLOOKUP('Données projet'!$B$18,Paramètres!$A$1:$I$89,3,0)*0.475*44/12</f>
        <v>1.6004217754659603E-7</v>
      </c>
      <c r="HJ129" s="22">
        <f t="shared" si="84"/>
        <v>22.622816370261937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349.71285006949597</v>
      </c>
      <c r="T130" s="59">
        <f t="shared" si="88"/>
        <v>258.51550516456842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60.42403309920212</v>
      </c>
      <c r="AA130" s="21">
        <f>EXP(-LN(2)/25)*AA129+(1-EXP(-LN(2)/25))/(LN(2)/25)*Calculateur!V130*Calculateur!X130*VLOOKUP('Données projet'!$B$9,Paramètres!$A$1:$I$89,3,0)*0.475*44/12</f>
        <v>14.058103459430178</v>
      </c>
      <c r="AB130" s="21">
        <f>EXP(-LN(2)/2)*AB129+(1-EXP(-LN(2)/2))/(LN(2)/2)*V130*Y130*VLOOKUP('Données projet'!$B$9,Paramètres!$A$1:$I$89,3,0)*0.475*44/12</f>
        <v>5.9609672626830967E-6</v>
      </c>
      <c r="AC130" s="22">
        <f t="shared" si="57"/>
        <v>74.482142519599563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151.47999999999999</v>
      </c>
      <c r="AG130" s="12">
        <f>VLOOKUP(A130,'Données projet'!$A$61:$I$81,9,0)</f>
        <v>3.3249999999999886</v>
      </c>
      <c r="AH130" s="12">
        <f t="array" ref="AH130">INDEX(AG:AG,MIN(IF(ISNUMBER(AG130:AG326),ROW(AG130:AG326),"")))</f>
        <v>3.3249999999999886</v>
      </c>
      <c r="AI130" s="13">
        <f>IF('Données projet'!$A$62&gt;35,AI129+AH130-AQ129,IF(A130&lt;'Données projet'!$A$62,$AF$205^A130,IF(A130='Données projet'!$A$62,'Données projet'!$B$62,AI129+AH130-AQ129)))</f>
        <v>151.48000000000025</v>
      </c>
      <c r="AJ130" s="13">
        <f>AI130*VLOOKUP('Données projet'!$B$10,Paramètres!$A$1:$I$89,3,0)*VLOOKUP('Données projet'!$B$10,Paramètres!$A$1:$I$89,5,0)</f>
        <v>144.14836800000023</v>
      </c>
      <c r="AK130" s="13">
        <f t="shared" si="89"/>
        <v>37.245717260811411</v>
      </c>
      <c r="AL130" s="20">
        <f t="shared" si="58"/>
        <v>315.92803182924689</v>
      </c>
      <c r="AM130" s="59">
        <f t="shared" si="59"/>
        <v>609.2613651625802</v>
      </c>
      <c r="AN130" s="59">
        <f ca="1">AVERAGE(OFFSET($AM$3,0,0,'Données projet'!$E$10+1,1))-AVERAGE(OFFSET($H$3,0,0,'Données projet'!$E$10+1,1))</f>
        <v>449.28947235329758</v>
      </c>
      <c r="AO130" s="59">
        <f t="shared" si="90"/>
        <v>289.36994109443964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46.039999999999992</v>
      </c>
      <c r="AR130" s="16">
        <f>IF(ISNA(VLOOKUP(A130,'Données projet'!$A$61:$I$81,5,0)),0%,VLOOKUP(A130,'Données projet'!$A$61:$I$81,5,0)*VLOOKUP('Données projet'!$B$10,Paramètres!$A$1:$I$89,7,0))</f>
        <v>0.19350000000000001</v>
      </c>
      <c r="AS130" s="16">
        <f>IF(ISNA(VLOOKUP(A130,'Données projet'!$A$61:$I$81,6,0)),0%,VLOOKUP(A130,'Données projet'!$A$61:$I$81,6,0)*VLOOKUP('Données projet'!$B$10,Paramètres!$A$1:$I$89,7,0))</f>
        <v>2.1500000000000002E-2</v>
      </c>
      <c r="AT130" s="16">
        <f>IF(ISNA(VLOOKUP(A130,'Données projet'!$A$61:$I$81,7,0)),0%,VLOOKUP(A130,'Données projet'!$A$61:$I$81,7,0))</f>
        <v>0.05</v>
      </c>
      <c r="AU130" s="21">
        <f>EXP(-LN(2)/35)*AU129+(1-EXP(-LN(2)/35))/(LN(2)/35)*AQ130*AR130*VLOOKUP('Données projet'!$B$10,Paramètres!$A$1:$I$89,3,0)*0.475*44/12</f>
        <v>101.72665075790898</v>
      </c>
      <c r="AV130" s="21">
        <f>EXP(-LN(2)/25)*AV129+(1-EXP(-LN(2)/25))/(LN(2)/25)*Calculateur!AQ130*Calculateur!AS130*VLOOKUP('Données projet'!$B$10,Paramètres!$A$1:$I$89,3,0)*0.475*44/12</f>
        <v>24.145743276292311</v>
      </c>
      <c r="AW130" s="21">
        <f>EXP(-LN(2)/2)*AW129+(1-EXP(-LN(2)/2))/(LN(2)/2)*AQ130*AT130*VLOOKUP('Données projet'!$B$10,Paramètres!$A$1:$I$89,3,0)*0.475*44/12</f>
        <v>5.9390097363253265</v>
      </c>
      <c r="AX130" s="21">
        <f t="shared" si="60"/>
        <v>131.81140377052662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381.02847120000064</v>
      </c>
      <c r="BF130" s="13">
        <f t="shared" si="91"/>
        <v>87.919669823283783</v>
      </c>
      <c r="BG130" s="20">
        <f t="shared" si="61"/>
        <v>816.75134561555353</v>
      </c>
      <c r="BH130" s="59">
        <f t="shared" si="62"/>
        <v>1110.0846789488869</v>
      </c>
      <c r="BI130" s="59">
        <f ca="1">AVERAGE(OFFSET($BH$3,0,0,'Données projet'!$E$11+1,1))-AVERAGE(OFFSET($H$3,0,0,'Données projet'!$E$11+1,1))</f>
        <v>635.71275911100679</v>
      </c>
      <c r="BJ130" s="59">
        <f t="shared" si="92"/>
        <v>281.7776857269169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36.385686072043235</v>
      </c>
      <c r="BQ130" s="21">
        <f>EXP(-LN(2)/25)*BQ129+(1-EXP(-LN(2)/25))/(LN(2)/25)*Calculateur!BL130*Calculateur!BN130*VLOOKUP('Données projet'!$B$11,Paramètres!$A$1:$I$89,3,0)*0.475*44/12</f>
        <v>22.536750430785936</v>
      </c>
      <c r="BR130" s="21">
        <f>EXP(-LN(2)/2)*BR129+(1-EXP(-LN(2)/2))/(LN(2)/2)*BL130*BO130*VLOOKUP('Données projet'!$B$11,Paramètres!$A$1:$I$89,3,0)*0.475*44/12</f>
        <v>1.8052366606344215</v>
      </c>
      <c r="BS130" s="22">
        <f t="shared" si="63"/>
        <v>60.727673163463592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7.1129999999999995</v>
      </c>
      <c r="BY130" s="12">
        <f>IF('Données projet'!$A$114&gt;35,BY129+BX130-CG129,IF(A130&lt;'Données projet'!$A$114,$BV$205^A130,IF(A130='Données projet'!$A$114,'Données projet'!$B$114,BY129+BX130-CG129)))</f>
        <v>305.00500000000005</v>
      </c>
      <c r="BZ130" s="13">
        <f>BY130*VLOOKUP('Données projet'!$B$12,Paramètres!$A$1:$I$89,3,0)*VLOOKUP('Données projet'!$B$12,Paramètres!$A$1:$I$89,5,0)</f>
        <v>347.33969400000007</v>
      </c>
      <c r="CA130" s="13">
        <f t="shared" si="93"/>
        <v>81.014483591844552</v>
      </c>
      <c r="CB130" s="20">
        <f t="shared" si="64"/>
        <v>746.05019263912936</v>
      </c>
      <c r="CC130" s="59">
        <f t="shared" si="65"/>
        <v>1039.3835259724626</v>
      </c>
      <c r="CD130" s="59">
        <f ca="1">AVERAGE(OFFSET($CC$3,0,0,'Données projet'!$E$12+1,1))-AVERAGE(OFFSET($H$3,0,0,'Données projet'!$E$12+1,1))</f>
        <v>593.28343396240075</v>
      </c>
      <c r="CE130" s="59">
        <f t="shared" si="94"/>
        <v>289.66477662068695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25.977676062700333</v>
      </c>
      <c r="CL130" s="21">
        <f>EXP(-LN(2)/25)*CL129+(1-EXP(-LN(2)/25))/(LN(2)/25)*Calculateur!CG130*Calculateur!CI130*VLOOKUP('Données projet'!$B$12,Paramètres!$A$1:$I$89,3,0)*0.475*44/12</f>
        <v>24.980250659819372</v>
      </c>
      <c r="CM130" s="21">
        <f>EXP(-LN(2)/2)*CM129+(1-EXP(-LN(2)/2))/(LN(2)/2)*CG130*CJ130*VLOOKUP('Données projet'!$B$12,Paramètres!$A$1:$I$89,3,0)*0.475*44/12</f>
        <v>0.90700400226067357</v>
      </c>
      <c r="CN130" s="22">
        <f t="shared" si="66"/>
        <v>51.864930724780372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2.2737367544323206E-13</v>
      </c>
      <c r="CU130" s="17">
        <f>CT130*VLOOKUP('Données projet'!$B$13,Paramètres!$A$1:$I$89,3,0)*VLOOKUP('Données projet'!$B$13,Paramètres!$A$1:$I$89,5,0)</f>
        <v>2.3765096557326618E-13</v>
      </c>
      <c r="CV130" s="13">
        <f t="shared" si="95"/>
        <v>3.2279907425805489E-12</v>
      </c>
      <c r="CW130" s="20">
        <f t="shared" si="67"/>
        <v>6.0359926417012276E-12</v>
      </c>
      <c r="CX130" s="59">
        <f t="shared" si="68"/>
        <v>293.33333333333934</v>
      </c>
      <c r="CY130" s="59">
        <f ca="1">AVERAGE(OFFSET($CX$3,0,0,'Données projet'!$E$13+1,1))-AVERAGE(OFFSET($H$3,0,0,'Données projet'!$E$13+1,1))</f>
        <v>260.65406541614402</v>
      </c>
      <c r="CZ130" s="59">
        <f t="shared" si="96"/>
        <v>277.63456890196886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8.6575240938620546</v>
      </c>
      <c r="DG130" s="21">
        <f>EXP(-LN(2)/25)*DG129+(1-EXP(-LN(2)/25))/(LN(2)/25)*Calculateur!DB130*Calculateur!DD130*VLOOKUP('Données projet'!$B$13,Paramètres!$A$1:$I$89,3,0)*0.475*44/12</f>
        <v>17.759415491637338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26.416939585499392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2.2737367544323206E-13</v>
      </c>
      <c r="DP130" s="17">
        <f>DO130*VLOOKUP('Données projet'!$B$14,Paramètres!$A$1:$I$89,3,0)*VLOOKUP('Données projet'!$B$14,Paramètres!$A$1:$I$89,5,0)</f>
        <v>1.4897523215040565E-13</v>
      </c>
      <c r="DQ130" s="13">
        <f t="shared" si="97"/>
        <v>2.136562777003313E-12</v>
      </c>
      <c r="DR130" s="20">
        <f t="shared" si="70"/>
        <v>3.9806453659427267E-12</v>
      </c>
      <c r="DS130" s="59">
        <f t="shared" si="71"/>
        <v>293.33333333333729</v>
      </c>
      <c r="DT130" s="59">
        <f ca="1">AVERAGE(OFFSET($DS$3,0,0,'Données projet'!$E$14+1,1))-AVERAGE(OFFSET($H$3,0,0,'Données projet'!$E$14+1,1))</f>
        <v>181.4272795535777</v>
      </c>
      <c r="DU130" s="59">
        <f t="shared" si="98"/>
        <v>187.67131775419904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8.1244970296380661</v>
      </c>
      <c r="EB130" s="21">
        <f>EXP(-LN(2)/25)*EB129+(1-EXP(-LN(2)/25))/(LN(2)/25)*Calculateur!DW130*Calculateur!DY130*VLOOKUP('Données projet'!$B$14,Paramètres!$A$1:$I$89,3,0)*0.475*44/12</f>
        <v>6.4680668362610874</v>
      </c>
      <c r="EC130" s="21">
        <f>EXP(-LN(2)/2)*EC129+(1-EXP(-LN(2)/2))/(LN(2)/2)*DW130*DZ130*VLOOKUP('Données projet'!$B$14,Paramètres!$A$1:$I$89,3,0)*0.475*44/12</f>
        <v>6.7682928491114933E-5</v>
      </c>
      <c r="ED130" s="22">
        <f t="shared" si="72"/>
        <v>14.592631548827644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1.1368683772161603E-13</v>
      </c>
      <c r="EK130" s="17">
        <f>EJ130*VLOOKUP('Données projet'!$B$15,Paramètres!$A$1:$I$89,3,0)*VLOOKUP('Données projet'!$B$15,Paramètres!$A$1:$I$89,5,0)</f>
        <v>9.2222762759774927E-14</v>
      </c>
      <c r="EL130" s="13">
        <f t="shared" si="99"/>
        <v>1.3985662224947967E-12</v>
      </c>
      <c r="EM130" s="20">
        <f t="shared" si="73"/>
        <v>2.5964574826517121E-12</v>
      </c>
      <c r="EN130" s="59">
        <f t="shared" si="74"/>
        <v>293.33333333333593</v>
      </c>
      <c r="EO130" s="59">
        <f ca="1">AVERAGE(OFFSET($EN$3,0,0,'Données projet'!$E$15+1,1))-AVERAGE(OFFSET($H$3,0,0,'Données projet'!$E$15+1,1))</f>
        <v>159.68591355116837</v>
      </c>
      <c r="EP130" s="59">
        <f t="shared" si="100"/>
        <v>284.32631786390112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2.6037324794740786</v>
      </c>
      <c r="EW130" s="21">
        <f>EXP(-LN(2)/25)*EW129+(1-EXP(-LN(2)/25))/(LN(2)/25)*Calculateur!ER130*Calculateur!ET130*VLOOKUP('Données projet'!$B$15,Paramètres!$A$1:$I$89,3,0)*0.475*44/12</f>
        <v>1.7315033254931158</v>
      </c>
      <c r="EX130" s="21">
        <f>EXP(-LN(2)/2)*EX129+(1-EXP(-LN(2)/2))/(LN(2)/2)*ER130*EU130*VLOOKUP('Données projet'!$B$15,Paramètres!$A$1:$I$89,3,0)*0.475*44/12</f>
        <v>2.3459132282750773E-12</v>
      </c>
      <c r="EY130" s="22">
        <f t="shared" si="75"/>
        <v>4.3352358049695399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-1.3567387213697657E-13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299.10536994156814</v>
      </c>
      <c r="FK130" s="59">
        <f t="shared" si="102"/>
        <v>292.57799203101769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16.015280405408799</v>
      </c>
      <c r="FR130" s="21">
        <f>EXP(-LN(2)/25)*FR129+(1-EXP(-LN(2)/25))/(LN(2)/25)*Calculateur!FM130*Calculateur!FO130*VLOOKUP('Données projet'!$B$16,Paramètres!$A$1:$I$89,3,0)*0.475*44/12</f>
        <v>11.509085503018376</v>
      </c>
      <c r="FS130" s="21">
        <f>EXP(-LN(2)/2)*FS129+(1-EXP(-LN(2)/2))/(LN(2)/2)*FM130*FP130*VLOOKUP('Données projet'!$B$16,Paramètres!$A$1:$I$89,3,0)*0.475*44/12</f>
        <v>4.3815810426056745E-6</v>
      </c>
      <c r="FT130" s="22">
        <f t="shared" si="78"/>
        <v>27.524370290008218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5.6843418860808015E-14</v>
      </c>
      <c r="GA130" s="17">
        <f>FZ130*VLOOKUP('Données projet'!$B$17,Paramètres!$A$1:$I$89,3,0)*VLOOKUP('Données projet'!$B$17,Paramètres!$A$1:$I$89,5,0)</f>
        <v>5.1431925385259088E-14</v>
      </c>
      <c r="GB130" s="13">
        <f t="shared" si="103"/>
        <v>8.3482866290946129E-13</v>
      </c>
      <c r="GC130" s="20">
        <f t="shared" si="79"/>
        <v>1.5435705246133045E-12</v>
      </c>
      <c r="GD130" s="59">
        <f t="shared" si="80"/>
        <v>293.33333333333485</v>
      </c>
      <c r="GE130" s="59">
        <f ca="1">AVERAGE(OFFSET($GD$3,0,0,'Données projet'!$E$17+1,1))-AVERAGE(OFFSET($H$3,0,0,'Données projet'!$E$17+1,1))</f>
        <v>204.78565758021779</v>
      </c>
      <c r="GF130" s="59">
        <f t="shared" si="104"/>
        <v>287.25131613242439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3.0768913113853578</v>
      </c>
      <c r="GM130" s="21">
        <f>EXP(-LN(2)/25)*GM129+(1-EXP(-LN(2)/25))/(LN(2)/25)*Calculateur!GH130*Calculateur!GJ130*VLOOKUP('Données projet'!$B$17,Paramètres!$A$1:$I$89,3,0)*0.475*44/12</f>
        <v>1.3606755889085744</v>
      </c>
      <c r="GN130" s="21">
        <f>EXP(-LN(2)/2)*GN129+(1-EXP(-LN(2)/2))/(LN(2)/2)*GH130*GK130*VLOOKUP('Données projet'!$B$17,Paramètres!$A$1:$I$89,3,0)*0.475*44/12</f>
        <v>6.2712339894789488E-12</v>
      </c>
      <c r="GO130" s="21">
        <f t="shared" si="81"/>
        <v>4.4375669003002036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5.6843418860808015E-14</v>
      </c>
      <c r="GV130" s="17">
        <f>GU130*VLOOKUP('Données projet'!$B$18,Paramètres!$A$1:$I$89,3,0)*VLOOKUP('Données projet'!$B$18,Paramètres!$A$1:$I$89,5,0)</f>
        <v>4.4337866711430253E-14</v>
      </c>
      <c r="GW130" s="13">
        <f t="shared" si="105"/>
        <v>7.3222115536967035E-13</v>
      </c>
      <c r="GX130" s="20">
        <f t="shared" si="82"/>
        <v>1.3525069634579169E-12</v>
      </c>
      <c r="GY130" s="59">
        <f t="shared" si="83"/>
        <v>293.33333333333468</v>
      </c>
      <c r="GZ130" s="59">
        <f ca="1">AVERAGE(OFFSET($GY$3,0,0,'Données projet'!$E$18+1,1))-AVERAGE(OFFSET($H$3,0,0,'Données projet'!$E$18+1,1))</f>
        <v>288.82868507674738</v>
      </c>
      <c r="HA130" s="59">
        <f t="shared" si="106"/>
        <v>283.48738729114024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13.633407237635026</v>
      </c>
      <c r="HH130" s="21">
        <f>EXP(-LN(2)/25)*HH129+(1-EXP(-LN(2)/25))/(LN(2)/25)*Calculateur!HC130*Calculateur!HE130*VLOOKUP('Données projet'!$B$18,Paramètres!$A$1:$I$89,3,0)*0.475*44/12</f>
        <v>8.4783597496091279</v>
      </c>
      <c r="HI130" s="21">
        <f>EXP(-LN(2)/2)*HI129+(1-EXP(-LN(2)/2))/(LN(2)/2)*HC130*HF130*VLOOKUP('Données projet'!$B$18,Paramètres!$A$1:$I$89,3,0)*0.475*44/12</f>
        <v>1.1316690901905947E-7</v>
      </c>
      <c r="HJ130" s="22">
        <f t="shared" si="84"/>
        <v>22.111767100411061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349.71285006949597</v>
      </c>
      <c r="T131" s="59">
        <f t="shared" si="88"/>
        <v>258.51550516456842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59.239154665147829</v>
      </c>
      <c r="AA131" s="21">
        <f>EXP(-LN(2)/25)*AA130+(1-EXP(-LN(2)/25))/(LN(2)/25)*Calculateur!V131*Calculateur!X131*VLOOKUP('Données projet'!$B$9,Paramètres!$A$1:$I$89,3,0)*0.475*44/12</f>
        <v>13.673683881048529</v>
      </c>
      <c r="AB131" s="21">
        <f>EXP(-LN(2)/2)*AB130+(1-EXP(-LN(2)/2))/(LN(2)/2)*V131*Y131*VLOOKUP('Données projet'!$B$9,Paramètres!$A$1:$I$89,3,0)*0.475*44/12</f>
        <v>4.2150403738742296E-6</v>
      </c>
      <c r="AC131" s="22">
        <f t="shared" si="57"/>
        <v>72.912842761236732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2.4366666666666674</v>
      </c>
      <c r="AI131" s="13">
        <f>IF('Données projet'!$A$62&gt;35,AI130+AH131-AQ130,IF(A131&lt;'Données projet'!$A$62,$AF$205^A131,IF(A131='Données projet'!$A$62,'Données projet'!$B$62,AI130+AH131-AQ130)))</f>
        <v>107.87666666666692</v>
      </c>
      <c r="AJ131" s="13">
        <f>AI131*VLOOKUP('Données projet'!$B$10,Paramètres!$A$1:$I$89,3,0)*VLOOKUP('Données projet'!$B$10,Paramètres!$A$1:$I$89,5,0)</f>
        <v>102.65543600000025</v>
      </c>
      <c r="AK131" s="13">
        <f t="shared" si="89"/>
        <v>27.593650392739352</v>
      </c>
      <c r="AL131" s="20">
        <f t="shared" si="58"/>
        <v>226.85049213402147</v>
      </c>
      <c r="AM131" s="59">
        <f t="shared" si="59"/>
        <v>520.18382546735484</v>
      </c>
      <c r="AN131" s="59">
        <f ca="1">AVERAGE(OFFSET($AM$3,0,0,'Données projet'!$E$10+1,1))-AVERAGE(OFFSET($H$3,0,0,'Données projet'!$E$10+1,1))</f>
        <v>449.28947235329758</v>
      </c>
      <c r="AO131" s="59">
        <f t="shared" si="90"/>
        <v>289.36994109443964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99.731853183676705</v>
      </c>
      <c r="AV131" s="21">
        <f>EXP(-LN(2)/25)*AV130+(1-EXP(-LN(2)/25))/(LN(2)/25)*Calculateur!AQ131*Calculateur!AS131*VLOOKUP('Données projet'!$B$10,Paramètres!$A$1:$I$89,3,0)*0.475*44/12</f>
        <v>23.485476656632645</v>
      </c>
      <c r="AW131" s="21">
        <f>EXP(-LN(2)/2)*AW130+(1-EXP(-LN(2)/2))/(LN(2)/2)*AQ131*AT131*VLOOKUP('Données projet'!$B$10,Paramètres!$A$1:$I$89,3,0)*0.475*44/12</f>
        <v>4.1995140580885684</v>
      </c>
      <c r="AX131" s="21">
        <f t="shared" si="60"/>
        <v>127.41684389839791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389.19248160000063</v>
      </c>
      <c r="BF131" s="13">
        <f t="shared" si="91"/>
        <v>89.582126151232899</v>
      </c>
      <c r="BG131" s="20">
        <f t="shared" si="61"/>
        <v>833.86577516673162</v>
      </c>
      <c r="BH131" s="59">
        <f t="shared" si="62"/>
        <v>1127.199108500065</v>
      </c>
      <c r="BI131" s="59">
        <f ca="1">AVERAGE(OFFSET($BH$3,0,0,'Données projet'!$E$11+1,1))-AVERAGE(OFFSET($H$3,0,0,'Données projet'!$E$11+1,1))</f>
        <v>635.71275911100679</v>
      </c>
      <c r="BJ131" s="59">
        <f t="shared" si="92"/>
        <v>281.7776857269169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35.672184961247588</v>
      </c>
      <c r="BQ131" s="21">
        <f>EXP(-LN(2)/25)*BQ130+(1-EXP(-LN(2)/25))/(LN(2)/25)*Calculateur!BL131*Calculateur!BN131*VLOOKUP('Données projet'!$B$11,Paramètres!$A$1:$I$89,3,0)*0.475*44/12</f>
        <v>21.920481805099897</v>
      </c>
      <c r="BR131" s="21">
        <f>EXP(-LN(2)/2)*BR130+(1-EXP(-LN(2)/2))/(LN(2)/2)*BL131*BO131*VLOOKUP('Données projet'!$B$11,Paramètres!$A$1:$I$89,3,0)*0.475*44/12</f>
        <v>1.2764950843811578</v>
      </c>
      <c r="BS131" s="22">
        <f t="shared" si="63"/>
        <v>58.869161850728645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7.1129999999999995</v>
      </c>
      <c r="BY131" s="12">
        <f>IF('Données projet'!$A$114&gt;35,BY130+BX131-CG130,IF(A131&lt;'Données projet'!$A$114,$BV$205^A131,IF(A131='Données projet'!$A$114,'Données projet'!$B$114,BY130+BX131-CG130)))</f>
        <v>312.11800000000005</v>
      </c>
      <c r="BZ131" s="13">
        <f>BY131*VLOOKUP('Données projet'!$B$12,Paramètres!$A$1:$I$89,3,0)*VLOOKUP('Données projet'!$B$12,Paramètres!$A$1:$I$89,5,0)</f>
        <v>355.43997840000003</v>
      </c>
      <c r="CA131" s="13">
        <f t="shared" si="93"/>
        <v>82.681651825128526</v>
      </c>
      <c r="CB131" s="20">
        <f t="shared" si="64"/>
        <v>763.06183930876557</v>
      </c>
      <c r="CC131" s="59">
        <f t="shared" si="65"/>
        <v>1056.3951726420989</v>
      </c>
      <c r="CD131" s="59">
        <f ca="1">AVERAGE(OFFSET($CC$3,0,0,'Données projet'!$E$12+1,1))-AVERAGE(OFFSET($H$3,0,0,'Données projet'!$E$12+1,1))</f>
        <v>593.28343396240075</v>
      </c>
      <c r="CE131" s="59">
        <f t="shared" si="94"/>
        <v>289.66477662068695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25.468269679928632</v>
      </c>
      <c r="CL131" s="21">
        <f>EXP(-LN(2)/25)*CL130+(1-EXP(-LN(2)/25))/(LN(2)/25)*Calculateur!CG131*Calculateur!CI131*VLOOKUP('Données projet'!$B$12,Paramètres!$A$1:$I$89,3,0)*0.475*44/12</f>
        <v>24.297164391872322</v>
      </c>
      <c r="CM131" s="21">
        <f>EXP(-LN(2)/2)*CM130+(1-EXP(-LN(2)/2))/(LN(2)/2)*CG131*CJ131*VLOOKUP('Données projet'!$B$12,Paramètres!$A$1:$I$89,3,0)*0.475*44/12</f>
        <v>0.64134868056186101</v>
      </c>
      <c r="CN131" s="22">
        <f t="shared" si="66"/>
        <v>50.406782752362815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2.2737367544323206E-13</v>
      </c>
      <c r="CU131" s="17">
        <f>CT131*VLOOKUP('Données projet'!$B$13,Paramètres!$A$1:$I$89,3,0)*VLOOKUP('Données projet'!$B$13,Paramètres!$A$1:$I$89,5,0)</f>
        <v>2.3765096557326618E-13</v>
      </c>
      <c r="CV131" s="13">
        <f t="shared" si="95"/>
        <v>3.2279907425805489E-12</v>
      </c>
      <c r="CW131" s="20">
        <f t="shared" si="67"/>
        <v>6.0359926417012276E-12</v>
      </c>
      <c r="CX131" s="59">
        <f t="shared" si="68"/>
        <v>293.33333333333934</v>
      </c>
      <c r="CY131" s="59">
        <f ca="1">AVERAGE(OFFSET($CX$3,0,0,'Données projet'!$E$13+1,1))-AVERAGE(OFFSET($H$3,0,0,'Données projet'!$E$13+1,1))</f>
        <v>260.65406541614402</v>
      </c>
      <c r="CZ131" s="59">
        <f t="shared" si="96"/>
        <v>277.63456890196886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8.4877553269497046</v>
      </c>
      <c r="DG131" s="21">
        <f>EXP(-LN(2)/25)*DG130+(1-EXP(-LN(2)/25))/(LN(2)/25)*Calculateur!DB131*Calculateur!DD131*VLOOKUP('Données projet'!$B$13,Paramètres!$A$1:$I$89,3,0)*0.475*44/12</f>
        <v>17.273783341091445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25.761538668041148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2.2737367544323206E-13</v>
      </c>
      <c r="DP131" s="17">
        <f>DO131*VLOOKUP('Données projet'!$B$14,Paramètres!$A$1:$I$89,3,0)*VLOOKUP('Données projet'!$B$14,Paramètres!$A$1:$I$89,5,0)</f>
        <v>1.4897523215040565E-13</v>
      </c>
      <c r="DQ131" s="13">
        <f t="shared" si="97"/>
        <v>2.136562777003313E-12</v>
      </c>
      <c r="DR131" s="20">
        <f t="shared" si="70"/>
        <v>3.9806453659427267E-12</v>
      </c>
      <c r="DS131" s="59">
        <f t="shared" si="71"/>
        <v>293.33333333333729</v>
      </c>
      <c r="DT131" s="59">
        <f ca="1">AVERAGE(OFFSET($DS$3,0,0,'Données projet'!$E$14+1,1))-AVERAGE(OFFSET($H$3,0,0,'Données projet'!$E$14+1,1))</f>
        <v>181.4272795535777</v>
      </c>
      <c r="DU131" s="59">
        <f t="shared" si="98"/>
        <v>187.67131775419904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7.9651805983407415</v>
      </c>
      <c r="EB131" s="21">
        <f>EXP(-LN(2)/25)*EB130+(1-EXP(-LN(2)/25))/(LN(2)/25)*Calculateur!DW131*Calculateur!DY131*VLOOKUP('Données projet'!$B$14,Paramètres!$A$1:$I$89,3,0)*0.475*44/12</f>
        <v>6.2911972084826759</v>
      </c>
      <c r="EC131" s="21">
        <f>EXP(-LN(2)/2)*EC130+(1-EXP(-LN(2)/2))/(LN(2)/2)*DW131*DZ131*VLOOKUP('Données projet'!$B$14,Paramètres!$A$1:$I$89,3,0)*0.475*44/12</f>
        <v>4.7859057706631551E-5</v>
      </c>
      <c r="ED131" s="22">
        <f t="shared" si="72"/>
        <v>14.256425665881125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1.1368683772161603E-13</v>
      </c>
      <c r="EK131" s="17">
        <f>EJ131*VLOOKUP('Données projet'!$B$15,Paramètres!$A$1:$I$89,3,0)*VLOOKUP('Données projet'!$B$15,Paramètres!$A$1:$I$89,5,0)</f>
        <v>9.2222762759774927E-14</v>
      </c>
      <c r="EL131" s="13">
        <f t="shared" si="99"/>
        <v>1.3985662224947967E-12</v>
      </c>
      <c r="EM131" s="20">
        <f t="shared" si="73"/>
        <v>2.5964574826517121E-12</v>
      </c>
      <c r="EN131" s="59">
        <f t="shared" si="74"/>
        <v>293.33333333333593</v>
      </c>
      <c r="EO131" s="59">
        <f ca="1">AVERAGE(OFFSET($EN$3,0,0,'Données projet'!$E$15+1,1))-AVERAGE(OFFSET($H$3,0,0,'Données projet'!$E$15+1,1))</f>
        <v>159.68591355116837</v>
      </c>
      <c r="EP131" s="59">
        <f t="shared" si="100"/>
        <v>284.32631786390112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2.5526748736715907</v>
      </c>
      <c r="EW131" s="21">
        <f>EXP(-LN(2)/25)*EW130+(1-EXP(-LN(2)/25))/(LN(2)/25)*Calculateur!ER131*Calculateur!ET131*VLOOKUP('Données projet'!$B$15,Paramètres!$A$1:$I$89,3,0)*0.475*44/12</f>
        <v>1.684155276001704</v>
      </c>
      <c r="EX131" s="21">
        <f>EXP(-LN(2)/2)*EX130+(1-EXP(-LN(2)/2))/(LN(2)/2)*ER131*EU131*VLOOKUP('Données projet'!$B$15,Paramètres!$A$1:$I$89,3,0)*0.475*44/12</f>
        <v>1.6588111517885324E-12</v>
      </c>
      <c r="EY131" s="22">
        <f t="shared" si="75"/>
        <v>4.2368301496749536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-1.3567387213697657E-13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299.10536994156814</v>
      </c>
      <c r="FK131" s="59">
        <f t="shared" si="102"/>
        <v>292.57799203101769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15.701230525015234</v>
      </c>
      <c r="FR131" s="21">
        <f>EXP(-LN(2)/25)*FR130+(1-EXP(-LN(2)/25))/(LN(2)/25)*Calculateur!FM131*Calculateur!FO131*VLOOKUP('Données projet'!$B$16,Paramètres!$A$1:$I$89,3,0)*0.475*44/12</f>
        <v>11.194368954701837</v>
      </c>
      <c r="FS131" s="21">
        <f>EXP(-LN(2)/2)*FS130+(1-EXP(-LN(2)/2))/(LN(2)/2)*FM131*FP131*VLOOKUP('Données projet'!$B$16,Paramètres!$A$1:$I$89,3,0)*0.475*44/12</f>
        <v>3.0982456675448954E-6</v>
      </c>
      <c r="FT131" s="22">
        <f t="shared" si="78"/>
        <v>26.895602577962737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5.6843418860808015E-14</v>
      </c>
      <c r="GA131" s="17">
        <f>FZ131*VLOOKUP('Données projet'!$B$17,Paramètres!$A$1:$I$89,3,0)*VLOOKUP('Données projet'!$B$17,Paramètres!$A$1:$I$89,5,0)</f>
        <v>5.1431925385259088E-14</v>
      </c>
      <c r="GB131" s="13">
        <f t="shared" si="103"/>
        <v>8.3482866290946129E-13</v>
      </c>
      <c r="GC131" s="20">
        <f t="shared" si="79"/>
        <v>1.5435705246133045E-12</v>
      </c>
      <c r="GD131" s="59">
        <f t="shared" si="80"/>
        <v>293.33333333333485</v>
      </c>
      <c r="GE131" s="59">
        <f ca="1">AVERAGE(OFFSET($GD$3,0,0,'Données projet'!$E$17+1,1))-AVERAGE(OFFSET($H$3,0,0,'Données projet'!$E$17+1,1))</f>
        <v>204.78565758021779</v>
      </c>
      <c r="GF131" s="59">
        <f t="shared" si="104"/>
        <v>287.25131613242439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3.0165553494874802</v>
      </c>
      <c r="GM131" s="21">
        <f>EXP(-LN(2)/25)*GM130+(1-EXP(-LN(2)/25))/(LN(2)/25)*Calculateur!GH131*Calculateur!GJ131*VLOOKUP('Données projet'!$B$17,Paramètres!$A$1:$I$89,3,0)*0.475*44/12</f>
        <v>1.3234678433750502</v>
      </c>
      <c r="GN131" s="21">
        <f>EXP(-LN(2)/2)*GN130+(1-EXP(-LN(2)/2))/(LN(2)/2)*GH131*GK131*VLOOKUP('Données projet'!$B$17,Paramètres!$A$1:$I$89,3,0)*0.475*44/12</f>
        <v>4.4344320803681305E-12</v>
      </c>
      <c r="GO131" s="21">
        <f t="shared" si="81"/>
        <v>4.3400231928669646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5.6843418860808015E-14</v>
      </c>
      <c r="GV131" s="17">
        <f>GU131*VLOOKUP('Données projet'!$B$18,Paramètres!$A$1:$I$89,3,0)*VLOOKUP('Données projet'!$B$18,Paramètres!$A$1:$I$89,5,0)</f>
        <v>4.4337866711430253E-14</v>
      </c>
      <c r="GW131" s="13">
        <f t="shared" si="105"/>
        <v>7.3222115536967035E-13</v>
      </c>
      <c r="GX131" s="20">
        <f t="shared" si="82"/>
        <v>1.3525069634579169E-12</v>
      </c>
      <c r="GY131" s="59">
        <f t="shared" si="83"/>
        <v>293.33333333333468</v>
      </c>
      <c r="GZ131" s="59">
        <f ca="1">AVERAGE(OFFSET($GY$3,0,0,'Données projet'!$E$18+1,1))-AVERAGE(OFFSET($H$3,0,0,'Données projet'!$E$18+1,1))</f>
        <v>288.82868507674738</v>
      </c>
      <c r="HA131" s="59">
        <f t="shared" si="106"/>
        <v>283.48738729114024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13.366064437262326</v>
      </c>
      <c r="HH131" s="21">
        <f>EXP(-LN(2)/25)*HH130+(1-EXP(-LN(2)/25))/(LN(2)/25)*Calculateur!HC131*Calculateur!HE131*VLOOKUP('Données projet'!$B$18,Paramètres!$A$1:$I$89,3,0)*0.475*44/12</f>
        <v>8.2465185563985042</v>
      </c>
      <c r="HI131" s="21">
        <f>EXP(-LN(2)/2)*HI130+(1-EXP(-LN(2)/2))/(LN(2)/2)*HC131*HF131*VLOOKUP('Données projet'!$B$18,Paramètres!$A$1:$I$89,3,0)*0.475*44/12</f>
        <v>8.0021088773298015E-8</v>
      </c>
      <c r="HJ131" s="22">
        <f t="shared" si="84"/>
        <v>21.612583073681918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349.71285006949597</v>
      </c>
      <c r="T132" s="59">
        <f t="shared" si="88"/>
        <v>258.51550516456842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58.077510974480859</v>
      </c>
      <c r="AA132" s="21">
        <f>EXP(-LN(2)/25)*AA131+(1-EXP(-LN(2)/25))/(LN(2)/25)*Calculateur!V132*Calculateur!X132*VLOOKUP('Données projet'!$B$9,Paramètres!$A$1:$I$89,3,0)*0.475*44/12</f>
        <v>13.299776276253473</v>
      </c>
      <c r="AB132" s="21">
        <f>EXP(-LN(2)/2)*AB131+(1-EXP(-LN(2)/2))/(LN(2)/2)*V132*Y132*VLOOKUP('Données projet'!$B$9,Paramètres!$A$1:$I$89,3,0)*0.475*44/12</f>
        <v>2.9804836313415484E-6</v>
      </c>
      <c r="AC132" s="22">
        <f t="shared" ref="AC132:AC153" si="111">SUM(Z132:AB132)</f>
        <v>71.377290231217955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2.4366666666666674</v>
      </c>
      <c r="AI132" s="13">
        <f>IF('Données projet'!$A$62&gt;35,AI131+AH132-AQ131,IF(A132&lt;'Données projet'!$A$62,$AF$205^A132,IF(A132='Données projet'!$A$62,'Données projet'!$B$62,AI131+AH132-AQ131)))</f>
        <v>110.31333333333359</v>
      </c>
      <c r="AJ132" s="13">
        <f>AI132*VLOOKUP('Données projet'!$B$10,Paramètres!$A$1:$I$89,3,0)*VLOOKUP('Données projet'!$B$10,Paramètres!$A$1:$I$89,5,0)</f>
        <v>104.97416800000025</v>
      </c>
      <c r="AK132" s="13">
        <f t="shared" si="89"/>
        <v>28.143655751142813</v>
      </c>
      <c r="AL132" s="20">
        <f t="shared" ref="AL132:AL153" si="112">(AJ132+AK132)*0.475*44/12</f>
        <v>231.84687636657415</v>
      </c>
      <c r="AM132" s="59">
        <f t="shared" ref="AM132:AM195" si="113">AL132+(AD132+AE132)*44/12</f>
        <v>525.18020969990744</v>
      </c>
      <c r="AN132" s="59">
        <f ca="1">AVERAGE(OFFSET($AM$3,0,0,'Données projet'!$E$10+1,1))-AVERAGE(OFFSET($H$3,0,0,'Données projet'!$E$10+1,1))</f>
        <v>449.28947235329758</v>
      </c>
      <c r="AO132" s="59">
        <f t="shared" si="90"/>
        <v>289.36994109443964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97.776172373168748</v>
      </c>
      <c r="AV132" s="21">
        <f>EXP(-LN(2)/25)*AV131+(1-EXP(-LN(2)/25))/(LN(2)/25)*Calculateur!AQ132*Calculateur!AS132*VLOOKUP('Données projet'!$B$10,Paramètres!$A$1:$I$89,3,0)*0.475*44/12</f>
        <v>22.843265062409486</v>
      </c>
      <c r="AW132" s="21">
        <f>EXP(-LN(2)/2)*AW131+(1-EXP(-LN(2)/2))/(LN(2)/2)*AQ132*AT132*VLOOKUP('Données projet'!$B$10,Paramètres!$A$1:$I$89,3,0)*0.475*44/12</f>
        <v>2.9695048681626637</v>
      </c>
      <c r="AX132" s="21">
        <f t="shared" ref="AX132:AX153" si="114">SUM(AU132:AW132)</f>
        <v>123.58894230374089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397.35649200000069</v>
      </c>
      <c r="BF132" s="13">
        <f t="shared" si="91"/>
        <v>91.240527898934658</v>
      </c>
      <c r="BG132" s="20">
        <f t="shared" ref="BG132:BG153" si="115">(BE132+BF132)*0.475*44/12</f>
        <v>850.97314299064567</v>
      </c>
      <c r="BH132" s="59">
        <f t="shared" ref="BH132:BH195" si="116">BG132+(AY132+AZ132)*44/12</f>
        <v>1144.306476323979</v>
      </c>
      <c r="BI132" s="59">
        <f ca="1">AVERAGE(OFFSET($BH$3,0,0,'Données projet'!$E$11+1,1))-AVERAGE(OFFSET($H$3,0,0,'Données projet'!$E$11+1,1))</f>
        <v>635.71275911100679</v>
      </c>
      <c r="BJ132" s="59">
        <f t="shared" si="92"/>
        <v>281.7776857269169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34.972675172041939</v>
      </c>
      <c r="BQ132" s="21">
        <f>EXP(-LN(2)/25)*BQ131+(1-EXP(-LN(2)/25))/(LN(2)/25)*Calculateur!BL132*Calculateur!BN132*VLOOKUP('Données projet'!$B$11,Paramètres!$A$1:$I$89,3,0)*0.475*44/12</f>
        <v>21.321065077391403</v>
      </c>
      <c r="BR132" s="21">
        <f>EXP(-LN(2)/2)*BR131+(1-EXP(-LN(2)/2))/(LN(2)/2)*BL132*BO132*VLOOKUP('Données projet'!$B$11,Paramètres!$A$1:$I$89,3,0)*0.475*44/12</f>
        <v>0.90261833031721095</v>
      </c>
      <c r="BS132" s="22">
        <f t="shared" ref="BS132:BS153" si="117">SUM(BP132:BR132)</f>
        <v>57.196358579750552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7.1129999999999995</v>
      </c>
      <c r="BY132" s="12">
        <f>IF('Données projet'!$A$114&gt;35,BY131+BX132-CG131,IF(A132&lt;'Données projet'!$A$114,$BV$205^A132,IF(A132='Données projet'!$A$114,'Données projet'!$B$114,BY131+BX132-CG131)))</f>
        <v>319.23100000000005</v>
      </c>
      <c r="BZ132" s="13">
        <f>BY132*VLOOKUP('Données projet'!$B$12,Paramètres!$A$1:$I$89,3,0)*VLOOKUP('Données projet'!$B$12,Paramètres!$A$1:$I$89,5,0)</f>
        <v>363.54026280000005</v>
      </c>
      <c r="CA132" s="13">
        <f t="shared" si="93"/>
        <v>84.344403029550918</v>
      </c>
      <c r="CB132" s="20">
        <f t="shared" ref="CB132:CB153" si="118">(BZ132+CA132)*0.475*44/12</f>
        <v>780.06579298646784</v>
      </c>
      <c r="CC132" s="59">
        <f t="shared" ref="CC132:CC195" si="119">CB132+(BT132+BU132)*44/12</f>
        <v>1073.3991263198011</v>
      </c>
      <c r="CD132" s="59">
        <f ca="1">AVERAGE(OFFSET($CC$3,0,0,'Données projet'!$E$12+1,1))-AVERAGE(OFFSET($H$3,0,0,'Données projet'!$E$12+1,1))</f>
        <v>593.28343396240075</v>
      </c>
      <c r="CE132" s="59">
        <f t="shared" si="94"/>
        <v>289.66477662068695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24.96885244561587</v>
      </c>
      <c r="CL132" s="21">
        <f>EXP(-LN(2)/25)*CL131+(1-EXP(-LN(2)/25))/(LN(2)/25)*Calculateur!CG132*Calculateur!CI132*VLOOKUP('Données projet'!$B$12,Paramètres!$A$1:$I$89,3,0)*0.475*44/12</f>
        <v>23.632757153844231</v>
      </c>
      <c r="CM132" s="21">
        <f>EXP(-LN(2)/2)*CM131+(1-EXP(-LN(2)/2))/(LN(2)/2)*CG132*CJ132*VLOOKUP('Données projet'!$B$12,Paramètres!$A$1:$I$89,3,0)*0.475*44/12</f>
        <v>0.45350200113033684</v>
      </c>
      <c r="CN132" s="22">
        <f t="shared" ref="CN132:CN153" si="120">SUM(CK132:CM132)</f>
        <v>49.055111600590443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2.2737367544323206E-13</v>
      </c>
      <c r="CU132" s="17">
        <f>CT132*VLOOKUP('Données projet'!$B$13,Paramètres!$A$1:$I$89,3,0)*VLOOKUP('Données projet'!$B$13,Paramètres!$A$1:$I$89,5,0)</f>
        <v>2.3765096557326618E-13</v>
      </c>
      <c r="CV132" s="13">
        <f t="shared" si="95"/>
        <v>3.2279907425805489E-12</v>
      </c>
      <c r="CW132" s="20">
        <f t="shared" ref="CW132:CW153" si="121">(CU132+CV132)*0.475*44/12</f>
        <v>6.0359926417012276E-12</v>
      </c>
      <c r="CX132" s="59">
        <f t="shared" ref="CX132:CX195" si="122">CW132+(CO132+CP132)*44/12</f>
        <v>293.33333333333934</v>
      </c>
      <c r="CY132" s="59">
        <f ca="1">AVERAGE(OFFSET($CX$3,0,0,'Données projet'!$E$13+1,1))-AVERAGE(OFFSET($H$3,0,0,'Données projet'!$E$13+1,1))</f>
        <v>260.65406541614402</v>
      </c>
      <c r="CZ132" s="59">
        <f t="shared" si="96"/>
        <v>277.63456890196886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8.3213156220077824</v>
      </c>
      <c r="DG132" s="21">
        <f>EXP(-LN(2)/25)*DG131+(1-EXP(-LN(2)/25))/(LN(2)/25)*Calculateur!DB132*Calculateur!DD132*VLOOKUP('Données projet'!$B$13,Paramètres!$A$1:$I$89,3,0)*0.475*44/12</f>
        <v>16.801430827240512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25.122746449248297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2.2737367544323206E-13</v>
      </c>
      <c r="DP132" s="17">
        <f>DO132*VLOOKUP('Données projet'!$B$14,Paramètres!$A$1:$I$89,3,0)*VLOOKUP('Données projet'!$B$14,Paramètres!$A$1:$I$89,5,0)</f>
        <v>1.4897523215040565E-13</v>
      </c>
      <c r="DQ132" s="13">
        <f t="shared" si="97"/>
        <v>2.136562777003313E-12</v>
      </c>
      <c r="DR132" s="20">
        <f t="shared" ref="DR132:DR153" si="124">(DP132+DQ132)*0.475*44/12</f>
        <v>3.9806453659427267E-12</v>
      </c>
      <c r="DS132" s="59">
        <f t="shared" ref="DS132:DS195" si="125">DR132+(DJ132+DK132)*44/12</f>
        <v>293.33333333333729</v>
      </c>
      <c r="DT132" s="59">
        <f ca="1">AVERAGE(OFFSET($DS$3,0,0,'Données projet'!$E$14+1,1))-AVERAGE(OFFSET($H$3,0,0,'Données projet'!$E$14+1,1))</f>
        <v>181.4272795535777</v>
      </c>
      <c r="DU132" s="59">
        <f t="shared" si="98"/>
        <v>187.67131775419904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7.8089882650877289</v>
      </c>
      <c r="EB132" s="21">
        <f>EXP(-LN(2)/25)*EB131+(1-EXP(-LN(2)/25))/(LN(2)/25)*Calculateur!DW132*Calculateur!DY132*VLOOKUP('Données projet'!$B$14,Paramètres!$A$1:$I$89,3,0)*0.475*44/12</f>
        <v>6.1191640899770343</v>
      </c>
      <c r="EC132" s="21">
        <f>EXP(-LN(2)/2)*EC131+(1-EXP(-LN(2)/2))/(LN(2)/2)*DW132*DZ132*VLOOKUP('Données projet'!$B$14,Paramètres!$A$1:$I$89,3,0)*0.475*44/12</f>
        <v>3.3841464245557466E-5</v>
      </c>
      <c r="ED132" s="22">
        <f t="shared" ref="ED132:ED153" si="126">SUM(EA132:EC132)</f>
        <v>13.92818619652901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1.1368683772161603E-13</v>
      </c>
      <c r="EK132" s="17">
        <f>EJ132*VLOOKUP('Données projet'!$B$15,Paramètres!$A$1:$I$89,3,0)*VLOOKUP('Données projet'!$B$15,Paramètres!$A$1:$I$89,5,0)</f>
        <v>9.2222762759774927E-14</v>
      </c>
      <c r="EL132" s="13">
        <f t="shared" si="99"/>
        <v>1.3985662224947967E-12</v>
      </c>
      <c r="EM132" s="20">
        <f t="shared" ref="EM132:EM153" si="127">(EK132+EL132)*0.475*44/12</f>
        <v>2.5964574826517121E-12</v>
      </c>
      <c r="EN132" s="59">
        <f t="shared" ref="EN132:EN195" si="128">EM132+(EE132+EF132)*44/12</f>
        <v>293.33333333333593</v>
      </c>
      <c r="EO132" s="59">
        <f ca="1">AVERAGE(OFFSET($EN$3,0,0,'Données projet'!$E$15+1,1))-AVERAGE(OFFSET($H$3,0,0,'Données projet'!$E$15+1,1))</f>
        <v>159.68591355116837</v>
      </c>
      <c r="EP132" s="59">
        <f t="shared" si="100"/>
        <v>284.32631786390112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2.5026184763768251</v>
      </c>
      <c r="EW132" s="21">
        <f>EXP(-LN(2)/25)*EW131+(1-EXP(-LN(2)/25))/(LN(2)/25)*Calculateur!ER132*Calculateur!ET132*VLOOKUP('Données projet'!$B$15,Paramètres!$A$1:$I$89,3,0)*0.475*44/12</f>
        <v>1.6381019614135606</v>
      </c>
      <c r="EX132" s="21">
        <f>EXP(-LN(2)/2)*EX131+(1-EXP(-LN(2)/2))/(LN(2)/2)*ER132*EU132*VLOOKUP('Données projet'!$B$15,Paramètres!$A$1:$I$89,3,0)*0.475*44/12</f>
        <v>1.1729566141375387E-12</v>
      </c>
      <c r="EY132" s="22">
        <f t="shared" ref="EY132:EY153" si="129">SUM(EV132:EX132)</f>
        <v>4.1407204377915585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-1.3567387213697657E-13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299.10536994156814</v>
      </c>
      <c r="FK132" s="59">
        <f t="shared" si="102"/>
        <v>292.57799203101769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15.393338971224674</v>
      </c>
      <c r="FR132" s="21">
        <f>EXP(-LN(2)/25)*FR131+(1-EXP(-LN(2)/25))/(LN(2)/25)*Calculateur!FM132*Calculateur!FO132*VLOOKUP('Données projet'!$B$16,Paramètres!$A$1:$I$89,3,0)*0.475*44/12</f>
        <v>10.888258346949236</v>
      </c>
      <c r="FS132" s="21">
        <f>EXP(-LN(2)/2)*FS131+(1-EXP(-LN(2)/2))/(LN(2)/2)*FM132*FP132*VLOOKUP('Données projet'!$B$16,Paramètres!$A$1:$I$89,3,0)*0.475*44/12</f>
        <v>2.1907905213028372E-6</v>
      </c>
      <c r="FT132" s="22">
        <f t="shared" ref="FT132:FT153" si="132">SUM(FQ132:FS132)</f>
        <v>26.28159950896443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5.6843418860808015E-14</v>
      </c>
      <c r="GA132" s="17">
        <f>FZ132*VLOOKUP('Données projet'!$B$17,Paramètres!$A$1:$I$89,3,0)*VLOOKUP('Données projet'!$B$17,Paramètres!$A$1:$I$89,5,0)</f>
        <v>5.1431925385259088E-14</v>
      </c>
      <c r="GB132" s="13">
        <f t="shared" si="103"/>
        <v>8.3482866290946129E-13</v>
      </c>
      <c r="GC132" s="20">
        <f t="shared" ref="GC132:GC153" si="133">(GA132+GB132)*0.475*44/12</f>
        <v>1.5435705246133045E-12</v>
      </c>
      <c r="GD132" s="59">
        <f t="shared" ref="GD132:GD195" si="134">GC132+(FU132+FV132)*44/12</f>
        <v>293.33333333333485</v>
      </c>
      <c r="GE132" s="59">
        <f ca="1">AVERAGE(OFFSET($GD$3,0,0,'Données projet'!$E$17+1,1))-AVERAGE(OFFSET($H$3,0,0,'Données projet'!$E$17+1,1))</f>
        <v>204.78565758021779</v>
      </c>
      <c r="GF132" s="59">
        <f t="shared" si="104"/>
        <v>287.25131613242439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2.9574025390011172</v>
      </c>
      <c r="GM132" s="21">
        <f>EXP(-LN(2)/25)*GM131+(1-EXP(-LN(2)/25))/(LN(2)/25)*Calculateur!GH132*Calculateur!GJ132*VLOOKUP('Données projet'!$B$17,Paramètres!$A$1:$I$89,3,0)*0.475*44/12</f>
        <v>1.2872775455998104</v>
      </c>
      <c r="GN132" s="21">
        <f>EXP(-LN(2)/2)*GN131+(1-EXP(-LN(2)/2))/(LN(2)/2)*GH132*GK132*VLOOKUP('Données projet'!$B$17,Paramètres!$A$1:$I$89,3,0)*0.475*44/12</f>
        <v>3.1356169947394744E-12</v>
      </c>
      <c r="GO132" s="21">
        <f t="shared" ref="GO132:GO153" si="135">SUM(GL132:GN132)</f>
        <v>4.2446800846040631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5.6843418860808015E-14</v>
      </c>
      <c r="GV132" s="17">
        <f>GU132*VLOOKUP('Données projet'!$B$18,Paramètres!$A$1:$I$89,3,0)*VLOOKUP('Données projet'!$B$18,Paramètres!$A$1:$I$89,5,0)</f>
        <v>4.4337866711430253E-14</v>
      </c>
      <c r="GW132" s="13">
        <f t="shared" si="105"/>
        <v>7.3222115536967035E-13</v>
      </c>
      <c r="GX132" s="20">
        <f t="shared" ref="GX132:GX153" si="136">(GV132+GW132)*0.475*44/12</f>
        <v>1.3525069634579169E-12</v>
      </c>
      <c r="GY132" s="59">
        <f t="shared" ref="GY132:GY195" si="137">GX132+(GP132+GQ132)*44/12</f>
        <v>293.33333333333468</v>
      </c>
      <c r="GZ132" s="59">
        <f ca="1">AVERAGE(OFFSET($GY$3,0,0,'Données projet'!$E$18+1,1))-AVERAGE(OFFSET($H$3,0,0,'Données projet'!$E$18+1,1))</f>
        <v>288.82868507674738</v>
      </c>
      <c r="HA132" s="59">
        <f t="shared" si="106"/>
        <v>283.48738729114024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13.103964066141927</v>
      </c>
      <c r="HH132" s="21">
        <f>EXP(-LN(2)/25)*HH131+(1-EXP(-LN(2)/25))/(LN(2)/25)*Calculateur!HC132*Calculateur!HE132*VLOOKUP('Données projet'!$B$18,Paramètres!$A$1:$I$89,3,0)*0.475*44/12</f>
        <v>8.021017072808224</v>
      </c>
      <c r="HI132" s="21">
        <f>EXP(-LN(2)/2)*HI131+(1-EXP(-LN(2)/2))/(LN(2)/2)*HC132*HF132*VLOOKUP('Données projet'!$B$18,Paramètres!$A$1:$I$89,3,0)*0.475*44/12</f>
        <v>5.6583454509529735E-8</v>
      </c>
      <c r="HJ132" s="22">
        <f t="shared" ref="HJ132:HJ153" si="138">SUM(HG132:HI132)</f>
        <v>21.124981195533607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349.71285006949597</v>
      </c>
      <c r="T133" s="59">
        <f t="shared" ref="T133:T196" si="142">$T$3</f>
        <v>258.51550516456842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56.938646408055178</v>
      </c>
      <c r="AA133" s="21">
        <f>EXP(-LN(2)/25)*AA132+(1-EXP(-LN(2)/25))/(LN(2)/25)*Calculateur!V133*Calculateur!X133*VLOOKUP('Données projet'!$B$9,Paramètres!$A$1:$I$89,3,0)*0.475*44/12</f>
        <v>12.936093194574484</v>
      </c>
      <c r="AB133" s="21">
        <f>EXP(-LN(2)/2)*AB132+(1-EXP(-LN(2)/2))/(LN(2)/2)*V133*Y133*VLOOKUP('Données projet'!$B$9,Paramètres!$A$1:$I$89,3,0)*0.475*44/12</f>
        <v>2.1075201869371148E-6</v>
      </c>
      <c r="AC133" s="22">
        <f t="shared" si="111"/>
        <v>69.874741710149848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112.75</v>
      </c>
      <c r="AG133" s="12">
        <f>VLOOKUP(A133,'Données projet'!$A$61:$I$81,9,0)</f>
        <v>2.4366666666666674</v>
      </c>
      <c r="AH133" s="12">
        <f t="array" ref="AH133">INDEX(AG:AG,MIN(IF(ISNUMBER(AG133:AG329),ROW(AG133:AG329),"")))</f>
        <v>2.4366666666666674</v>
      </c>
      <c r="AI133" s="13">
        <f>IF('Données projet'!$A$62&gt;35,AI132+AH133-AQ132,IF(A133&lt;'Données projet'!$A$62,$AF$205^A133,IF(A133='Données projet'!$A$62,'Données projet'!$B$62,AI132+AH133-AQ132)))</f>
        <v>112.75000000000026</v>
      </c>
      <c r="AJ133" s="13">
        <f>AI133*VLOOKUP('Données projet'!$B$10,Paramètres!$A$1:$I$89,3,0)*VLOOKUP('Données projet'!$B$10,Paramètres!$A$1:$I$89,5,0)</f>
        <v>107.29290000000026</v>
      </c>
      <c r="AK133" s="13">
        <f t="shared" ref="AK133:AK153" si="143">EXP(-1.0587+0.8836*LN(AJ133)+0.284)</f>
        <v>28.692248678828363</v>
      </c>
      <c r="AL133" s="20">
        <f t="shared" si="112"/>
        <v>236.84080061562653</v>
      </c>
      <c r="AM133" s="59">
        <f t="shared" si="113"/>
        <v>530.17413394895982</v>
      </c>
      <c r="AN133" s="59">
        <f ca="1">AVERAGE(OFFSET($AM$3,0,0,'Données projet'!$E$10+1,1))-AVERAGE(OFFSET($H$3,0,0,'Données projet'!$E$10+1,1))</f>
        <v>449.28947235329758</v>
      </c>
      <c r="AO133" s="59">
        <f t="shared" ref="AO133:AO196" si="144">$AO$3</f>
        <v>289.36994109443964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112.75</v>
      </c>
      <c r="AR133" s="16">
        <f>IF(ISNA(VLOOKUP(A133,'Données projet'!$A$61:$I$81,5,0)),0%,VLOOKUP(A133,'Données projet'!$A$61:$I$81,5,0)*VLOOKUP('Données projet'!$B$10,Paramètres!$A$1:$I$89,7,0))</f>
        <v>0.19350000000000001</v>
      </c>
      <c r="AS133" s="16">
        <f>IF(ISNA(VLOOKUP(A133,'Données projet'!$A$61:$I$81,6,0)),0%,VLOOKUP(A133,'Données projet'!$A$61:$I$81,6,0)*VLOOKUP('Données projet'!$B$10,Paramètres!$A$1:$I$89,7,0))</f>
        <v>2.1500000000000002E-2</v>
      </c>
      <c r="AT133" s="16">
        <f>IF(ISNA(VLOOKUP(A133,'Données projet'!$A$61:$I$81,7,0)),0%,VLOOKUP(A133,'Données projet'!$A$61:$I$81,7,0))</f>
        <v>0.05</v>
      </c>
      <c r="AU133" s="21">
        <f>EXP(-LN(2)/35)*AU132+(1-EXP(-LN(2)/35))/(LN(2)/35)*AQ133*AR133*VLOOKUP('Données projet'!$B$10,Paramètres!$A$1:$I$89,3,0)*0.475*44/12</f>
        <v>118.80970654859827</v>
      </c>
      <c r="AV133" s="21">
        <f>EXP(-LN(2)/25)*AV132+(1-EXP(-LN(2)/25))/(LN(2)/25)*Calculateur!AQ133*Calculateur!AS133*VLOOKUP('Données projet'!$B$10,Paramètres!$A$1:$I$89,3,0)*0.475*44/12</f>
        <v>24.758670219839001</v>
      </c>
      <c r="AW133" s="21">
        <f>EXP(-LN(2)/2)*AW132+(1-EXP(-LN(2)/2))/(LN(2)/2)*AQ133*AT133*VLOOKUP('Données projet'!$B$10,Paramètres!$A$1:$I$89,3,0)*0.475*44/12</f>
        <v>7.1614439738475077</v>
      </c>
      <c r="AX133" s="21">
        <f t="shared" si="114"/>
        <v>150.72982074228477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405.52050240000068</v>
      </c>
      <c r="BF133" s="13">
        <f t="shared" ref="BF133:BF153" si="145">EXP(-1.0587+0.8836*LN(BE133)+0.284)</f>
        <v>92.894967969753338</v>
      </c>
      <c r="BG133" s="20">
        <f t="shared" si="115"/>
        <v>868.07361089398819</v>
      </c>
      <c r="BH133" s="59">
        <f t="shared" si="116"/>
        <v>1161.4069442273214</v>
      </c>
      <c r="BI133" s="59">
        <f ca="1">AVERAGE(OFFSET($BH$3,0,0,'Données projet'!$E$11+1,1))-AVERAGE(OFFSET($H$3,0,0,'Données projet'!$E$11+1,1))</f>
        <v>635.71275911100679</v>
      </c>
      <c r="BJ133" s="59">
        <f t="shared" ref="BJ133:BJ196" si="146">$BJ$3</f>
        <v>281.7776857269169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34.286882343143766</v>
      </c>
      <c r="BQ133" s="21">
        <f>EXP(-LN(2)/25)*BQ132+(1-EXP(-LN(2)/25))/(LN(2)/25)*Calculateur!BL133*Calculateur!BN133*VLOOKUP('Données projet'!$B$11,Paramètres!$A$1:$I$89,3,0)*0.475*44/12</f>
        <v>20.738039431624053</v>
      </c>
      <c r="BR133" s="21">
        <f>EXP(-LN(2)/2)*BR132+(1-EXP(-LN(2)/2))/(LN(2)/2)*BL133*BO133*VLOOKUP('Données projet'!$B$11,Paramètres!$A$1:$I$89,3,0)*0.475*44/12</f>
        <v>0.638247542190579</v>
      </c>
      <c r="BS133" s="22">
        <f t="shared" si="117"/>
        <v>55.663169316958395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7.1129999999999995</v>
      </c>
      <c r="BY133" s="12">
        <f>IF('Données projet'!$A$114&gt;35,BY132+BX133-CG132,IF(A133&lt;'Données projet'!$A$114,$BV$205^A133,IF(A133='Données projet'!$A$114,'Données projet'!$B$114,BY132+BX133-CG132)))</f>
        <v>326.34400000000005</v>
      </c>
      <c r="BZ133" s="13">
        <f>BY133*VLOOKUP('Données projet'!$B$12,Paramètres!$A$1:$I$89,3,0)*VLOOKUP('Données projet'!$B$12,Paramètres!$A$1:$I$89,5,0)</f>
        <v>371.64054720000007</v>
      </c>
      <c r="CA133" s="13">
        <f t="shared" ref="CA133:CA153" si="147">EXP(-1.0587+0.8836*LN(BZ133)+0.284)</f>
        <v>86.002846955826783</v>
      </c>
      <c r="CB133" s="20">
        <f t="shared" si="118"/>
        <v>797.06224482139839</v>
      </c>
      <c r="CC133" s="59">
        <f t="shared" si="119"/>
        <v>1090.3955781547318</v>
      </c>
      <c r="CD133" s="59">
        <f ca="1">AVERAGE(OFFSET($CC$3,0,0,'Données projet'!$E$12+1,1))-AVERAGE(OFFSET($H$3,0,0,'Données projet'!$E$12+1,1))</f>
        <v>593.28343396240075</v>
      </c>
      <c r="CE133" s="59">
        <f t="shared" ref="CE133:CE196" si="148">$CE$3</f>
        <v>289.66477662068695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24.479228478653546</v>
      </c>
      <c r="CL133" s="21">
        <f>EXP(-LN(2)/25)*CL132+(1-EXP(-LN(2)/25))/(LN(2)/25)*Calculateur!CG133*Calculateur!CI133*VLOOKUP('Données projet'!$B$12,Paramètres!$A$1:$I$89,3,0)*0.475*44/12</f>
        <v>22.986518166679677</v>
      </c>
      <c r="CM133" s="21">
        <f>EXP(-LN(2)/2)*CM132+(1-EXP(-LN(2)/2))/(LN(2)/2)*CG133*CJ133*VLOOKUP('Données projet'!$B$12,Paramètres!$A$1:$I$89,3,0)*0.475*44/12</f>
        <v>0.32067434028093056</v>
      </c>
      <c r="CN133" s="22">
        <f t="shared" si="120"/>
        <v>47.786420985614157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2.2737367544323206E-13</v>
      </c>
      <c r="CU133" s="17">
        <f>CT133*VLOOKUP('Données projet'!$B$13,Paramètres!$A$1:$I$89,3,0)*VLOOKUP('Données projet'!$B$13,Paramètres!$A$1:$I$89,5,0)</f>
        <v>2.3765096557326618E-13</v>
      </c>
      <c r="CV133" s="13">
        <f t="shared" ref="CV133:CV153" si="149">EXP(-1.0587+0.8836*LN(CU133)+0.284)</f>
        <v>3.2279907425805489E-12</v>
      </c>
      <c r="CW133" s="20">
        <f t="shared" si="121"/>
        <v>6.0359926417012276E-12</v>
      </c>
      <c r="CX133" s="59">
        <f t="shared" si="122"/>
        <v>293.33333333333934</v>
      </c>
      <c r="CY133" s="59">
        <f ca="1">AVERAGE(OFFSET($CX$3,0,0,'Données projet'!$E$13+1,1))-AVERAGE(OFFSET($H$3,0,0,'Données projet'!$E$13+1,1))</f>
        <v>260.65406541614402</v>
      </c>
      <c r="CZ133" s="59">
        <f t="shared" ref="CZ133:CZ196" si="150">$CZ$3</f>
        <v>277.63456890196886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8.158139698161575</v>
      </c>
      <c r="DG133" s="21">
        <f>EXP(-LN(2)/25)*DG132+(1-EXP(-LN(2)/25))/(LN(2)/25)*Calculateur!DB133*Calculateur!DD133*VLOOKUP('Données projet'!$B$13,Paramètres!$A$1:$I$89,3,0)*0.475*44/12</f>
        <v>16.341994817720774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24.500134515882351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2.2737367544323206E-13</v>
      </c>
      <c r="DP133" s="17">
        <f>DO133*VLOOKUP('Données projet'!$B$14,Paramètres!$A$1:$I$89,3,0)*VLOOKUP('Données projet'!$B$14,Paramètres!$A$1:$I$89,5,0)</f>
        <v>1.4897523215040565E-13</v>
      </c>
      <c r="DQ133" s="13">
        <f t="shared" ref="DQ133:DQ153" si="151">EXP(-1.0587+0.8836*LN(DP133)+0.284)</f>
        <v>2.136562777003313E-12</v>
      </c>
      <c r="DR133" s="20">
        <f t="shared" si="124"/>
        <v>3.9806453659427267E-12</v>
      </c>
      <c r="DS133" s="59">
        <f t="shared" si="125"/>
        <v>293.33333333333729</v>
      </c>
      <c r="DT133" s="59">
        <f ca="1">AVERAGE(OFFSET($DS$3,0,0,'Données projet'!$E$14+1,1))-AVERAGE(OFFSET($H$3,0,0,'Données projet'!$E$14+1,1))</f>
        <v>181.4272795535777</v>
      </c>
      <c r="DU133" s="59">
        <f t="shared" ref="DU133:DU196" si="152">$DU$3</f>
        <v>187.67131775419904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7.6558587682218917</v>
      </c>
      <c r="EB133" s="21">
        <f>EXP(-LN(2)/25)*EB132+(1-EXP(-LN(2)/25))/(LN(2)/25)*Calculateur!DW133*Calculateur!DY133*VLOOKUP('Données projet'!$B$14,Paramètres!$A$1:$I$89,3,0)*0.475*44/12</f>
        <v>5.9518352261437579</v>
      </c>
      <c r="EC133" s="21">
        <f>EXP(-LN(2)/2)*EC132+(1-EXP(-LN(2)/2))/(LN(2)/2)*DW133*DZ133*VLOOKUP('Données projet'!$B$14,Paramètres!$A$1:$I$89,3,0)*0.475*44/12</f>
        <v>2.3929528853315775E-5</v>
      </c>
      <c r="ED133" s="22">
        <f t="shared" si="126"/>
        <v>13.607717923894503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1.1368683772161603E-13</v>
      </c>
      <c r="EK133" s="17">
        <f>EJ133*VLOOKUP('Données projet'!$B$15,Paramètres!$A$1:$I$89,3,0)*VLOOKUP('Données projet'!$B$15,Paramètres!$A$1:$I$89,5,0)</f>
        <v>9.2222762759774927E-14</v>
      </c>
      <c r="EL133" s="13">
        <f t="shared" ref="EL133:EL153" si="153">EXP(-1.0587+0.8836*LN(EK133)+0.284)</f>
        <v>1.3985662224947967E-12</v>
      </c>
      <c r="EM133" s="20">
        <f t="shared" si="127"/>
        <v>2.5964574826517121E-12</v>
      </c>
      <c r="EN133" s="59">
        <f t="shared" si="128"/>
        <v>293.33333333333593</v>
      </c>
      <c r="EO133" s="59">
        <f ca="1">AVERAGE(OFFSET($EN$3,0,0,'Données projet'!$E$15+1,1))-AVERAGE(OFFSET($H$3,0,0,'Données projet'!$E$15+1,1))</f>
        <v>159.68591355116837</v>
      </c>
      <c r="EP133" s="59">
        <f t="shared" ref="EP133:EP196" si="154">$EP$3</f>
        <v>284.32631786390112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2.453543654501622</v>
      </c>
      <c r="EW133" s="21">
        <f>EXP(-LN(2)/25)*EW132+(1-EXP(-LN(2)/25))/(LN(2)/25)*Calculateur!ER133*Calculateur!ET133*VLOOKUP('Données projet'!$B$15,Paramètres!$A$1:$I$89,3,0)*0.475*44/12</f>
        <v>1.5933079771346685</v>
      </c>
      <c r="EX133" s="21">
        <f>EXP(-LN(2)/2)*EX132+(1-EXP(-LN(2)/2))/(LN(2)/2)*ER133*EU133*VLOOKUP('Données projet'!$B$15,Paramètres!$A$1:$I$89,3,0)*0.475*44/12</f>
        <v>8.2940557589426622E-13</v>
      </c>
      <c r="EY133" s="22">
        <f t="shared" si="129"/>
        <v>4.0468516316371197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-1.3567387213697657E-13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299.10536994156814</v>
      </c>
      <c r="FK133" s="59">
        <f t="shared" ref="FK133:FK196" si="156">$FK$3</f>
        <v>292.57799203101769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15.091484983008643</v>
      </c>
      <c r="FR133" s="21">
        <f>EXP(-LN(2)/25)*FR132+(1-EXP(-LN(2)/25))/(LN(2)/25)*Calculateur!FM133*Calculateur!FO133*VLOOKUP('Données projet'!$B$16,Paramètres!$A$1:$I$89,3,0)*0.475*44/12</f>
        <v>10.590518349863288</v>
      </c>
      <c r="FS133" s="21">
        <f>EXP(-LN(2)/2)*FS132+(1-EXP(-LN(2)/2))/(LN(2)/2)*FM133*FP133*VLOOKUP('Données projet'!$B$16,Paramètres!$A$1:$I$89,3,0)*0.475*44/12</f>
        <v>1.5491228337724477E-6</v>
      </c>
      <c r="FT133" s="22">
        <f t="shared" si="132"/>
        <v>25.682004881994764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5.6843418860808015E-14</v>
      </c>
      <c r="GA133" s="17">
        <f>FZ133*VLOOKUP('Données projet'!$B$17,Paramètres!$A$1:$I$89,3,0)*VLOOKUP('Données projet'!$B$17,Paramètres!$A$1:$I$89,5,0)</f>
        <v>5.1431925385259088E-14</v>
      </c>
      <c r="GB133" s="13">
        <f t="shared" ref="GB133:GB153" si="157">EXP(-1.0587+0.8836*LN(GA133)+0.284)</f>
        <v>8.3482866290946129E-13</v>
      </c>
      <c r="GC133" s="20">
        <f t="shared" si="133"/>
        <v>1.5435705246133045E-12</v>
      </c>
      <c r="GD133" s="59">
        <f t="shared" si="134"/>
        <v>293.33333333333485</v>
      </c>
      <c r="GE133" s="59">
        <f ca="1">AVERAGE(OFFSET($GD$3,0,0,'Données projet'!$E$17+1,1))-AVERAGE(OFFSET($H$3,0,0,'Données projet'!$E$17+1,1))</f>
        <v>204.78565758021779</v>
      </c>
      <c r="GF133" s="59">
        <f t="shared" ref="GF133:GF196" si="158">$GF$3</f>
        <v>287.25131613242439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2.8994096790487398</v>
      </c>
      <c r="GM133" s="21">
        <f>EXP(-LN(2)/25)*GM132+(1-EXP(-LN(2)/25))/(LN(2)/25)*Calculateur!GH133*Calculateur!GJ133*VLOOKUP('Données projet'!$B$17,Paramètres!$A$1:$I$89,3,0)*0.475*44/12</f>
        <v>1.2520768734203995</v>
      </c>
      <c r="GN133" s="21">
        <f>EXP(-LN(2)/2)*GN132+(1-EXP(-LN(2)/2))/(LN(2)/2)*GH133*GK133*VLOOKUP('Données projet'!$B$17,Paramètres!$A$1:$I$89,3,0)*0.475*44/12</f>
        <v>2.2172160401840652E-12</v>
      </c>
      <c r="GO133" s="21">
        <f t="shared" si="135"/>
        <v>4.151486552471356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5.6843418860808015E-14</v>
      </c>
      <c r="GV133" s="17">
        <f>GU133*VLOOKUP('Données projet'!$B$18,Paramètres!$A$1:$I$89,3,0)*VLOOKUP('Données projet'!$B$18,Paramètres!$A$1:$I$89,5,0)</f>
        <v>4.4337866711430253E-14</v>
      </c>
      <c r="GW133" s="13">
        <f t="shared" ref="GW133:GW153" si="159">EXP(-1.0587+0.8836*LN(GV133)+0.284)</f>
        <v>7.3222115536967035E-13</v>
      </c>
      <c r="GX133" s="20">
        <f t="shared" si="136"/>
        <v>1.3525069634579169E-12</v>
      </c>
      <c r="GY133" s="59">
        <f t="shared" si="137"/>
        <v>293.33333333333468</v>
      </c>
      <c r="GZ133" s="59">
        <f ca="1">AVERAGE(OFFSET($GY$3,0,0,'Données projet'!$E$18+1,1))-AVERAGE(OFFSET($H$3,0,0,'Données projet'!$E$18+1,1))</f>
        <v>288.82868507674738</v>
      </c>
      <c r="HA133" s="59">
        <f t="shared" ref="HA133:HA196" si="160">$HA$3</f>
        <v>283.48738729114024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12.847003323433757</v>
      </c>
      <c r="HH133" s="21">
        <f>EXP(-LN(2)/25)*HH132+(1-EXP(-LN(2)/25))/(LN(2)/25)*Calculateur!HC133*Calculateur!HE133*VLOOKUP('Données projet'!$B$18,Paramètres!$A$1:$I$89,3,0)*0.475*44/12</f>
        <v>7.8016819391453271</v>
      </c>
      <c r="HI133" s="21">
        <f>EXP(-LN(2)/2)*HI132+(1-EXP(-LN(2)/2))/(LN(2)/2)*HC133*HF133*VLOOKUP('Données projet'!$B$18,Paramètres!$A$1:$I$89,3,0)*0.475*44/12</f>
        <v>4.0010544386649008E-8</v>
      </c>
      <c r="HJ133" s="22">
        <f t="shared" si="138"/>
        <v>20.64868530258963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349.71285006949597</v>
      </c>
      <c r="T134" s="59">
        <f t="shared" si="142"/>
        <v>258.51550516456842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55.822114281138305</v>
      </c>
      <c r="AA134" s="21">
        <f>EXP(-LN(2)/25)*AA133+(1-EXP(-LN(2)/25))/(LN(2)/25)*Calculateur!V134*Calculateur!X134*VLOOKUP('Données projet'!$B$9,Paramètres!$A$1:$I$89,3,0)*0.475*44/12</f>
        <v>12.582355045889269</v>
      </c>
      <c r="AB134" s="21">
        <f>EXP(-LN(2)/2)*AB133+(1-EXP(-LN(2)/2))/(LN(2)/2)*V134*Y134*VLOOKUP('Données projet'!$B$9,Paramètres!$A$1:$I$89,3,0)*0.475*44/12</f>
        <v>1.4902418156707742E-6</v>
      </c>
      <c r="AC134" s="22">
        <f t="shared" si="111"/>
        <v>68.404470817269384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2.5579538487363607E-13</v>
      </c>
      <c r="AJ134" s="13">
        <f>AI134*VLOOKUP('Données projet'!$B$10,Paramètres!$A$1:$I$89,3,0)*VLOOKUP('Données projet'!$B$10,Paramètres!$A$1:$I$89,5,0)</f>
        <v>2.4341488824575211E-13</v>
      </c>
      <c r="AK134" s="13">
        <f t="shared" si="143"/>
        <v>3.2970717324875541E-12</v>
      </c>
      <c r="AL134" s="20">
        <f t="shared" si="112"/>
        <v>6.1663475311105072E-12</v>
      </c>
      <c r="AM134" s="59">
        <f t="shared" si="113"/>
        <v>293.33333333333945</v>
      </c>
      <c r="AN134" s="59">
        <f ca="1">AVERAGE(OFFSET($AM$3,0,0,'Données projet'!$E$10+1,1))-AVERAGE(OFFSET($H$3,0,0,'Données projet'!$E$10+1,1))</f>
        <v>449.28947235329758</v>
      </c>
      <c r="AO134" s="59">
        <f t="shared" si="144"/>
        <v>289.36994109443964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116.47992066994576</v>
      </c>
      <c r="AV134" s="21">
        <f>EXP(-LN(2)/25)*AV133+(1-EXP(-LN(2)/25))/(LN(2)/25)*Calculateur!AQ134*Calculateur!AS134*VLOOKUP('Données projet'!$B$10,Paramètres!$A$1:$I$89,3,0)*0.475*44/12</f>
        <v>24.081643080675622</v>
      </c>
      <c r="AW134" s="21">
        <f>EXP(-LN(2)/2)*AW133+(1-EXP(-LN(2)/2))/(LN(2)/2)*AQ134*AT134*VLOOKUP('Données projet'!$B$10,Paramètres!$A$1:$I$89,3,0)*0.475*44/12</f>
        <v>5.0639055969951094</v>
      </c>
      <c r="AX134" s="21">
        <f t="shared" si="114"/>
        <v>145.6254693476165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413.68451280000073</v>
      </c>
      <c r="BF134" s="13">
        <f t="shared" si="145"/>
        <v>94.545535312483779</v>
      </c>
      <c r="BG134" s="20">
        <f t="shared" si="115"/>
        <v>885.16733379591051</v>
      </c>
      <c r="BH134" s="59">
        <f t="shared" si="116"/>
        <v>1178.5006671292438</v>
      </c>
      <c r="BI134" s="59">
        <f ca="1">AVERAGE(OFFSET($BH$3,0,0,'Données projet'!$E$11+1,1))-AVERAGE(OFFSET($H$3,0,0,'Données projet'!$E$11+1,1))</f>
        <v>635.71275911100679</v>
      </c>
      <c r="BJ134" s="59">
        <f t="shared" si="146"/>
        <v>281.7776857269169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33.614537493327965</v>
      </c>
      <c r="BQ134" s="21">
        <f>EXP(-LN(2)/25)*BQ133+(1-EXP(-LN(2)/25))/(LN(2)/25)*Calculateur!BL134*Calculateur!BN134*VLOOKUP('Données projet'!$B$11,Paramètres!$A$1:$I$89,3,0)*0.475*44/12</f>
        <v>20.170956652800196</v>
      </c>
      <c r="BR134" s="21">
        <f>EXP(-LN(2)/2)*BR133+(1-EXP(-LN(2)/2))/(LN(2)/2)*BL134*BO134*VLOOKUP('Données projet'!$B$11,Paramètres!$A$1:$I$89,3,0)*0.475*44/12</f>
        <v>0.45130916515860553</v>
      </c>
      <c r="BS134" s="22">
        <f t="shared" si="117"/>
        <v>54.236803311286764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7.1129999999999995</v>
      </c>
      <c r="BY134" s="12">
        <f>IF('Données projet'!$A$114&gt;35,BY133+BX134-CG133,IF(A134&lt;'Données projet'!$A$114,$BV$205^A134,IF(A134='Données projet'!$A$114,'Données projet'!$B$114,BY133+BX134-CG133)))</f>
        <v>333.45700000000005</v>
      </c>
      <c r="BZ134" s="13">
        <f>BY134*VLOOKUP('Données projet'!$B$12,Paramètres!$A$1:$I$89,3,0)*VLOOKUP('Données projet'!$B$12,Paramètres!$A$1:$I$89,5,0)</f>
        <v>379.74083160000004</v>
      </c>
      <c r="CA134" s="13">
        <f t="shared" si="147"/>
        <v>87.657088297183577</v>
      </c>
      <c r="CB134" s="20">
        <f t="shared" si="118"/>
        <v>814.05137715426144</v>
      </c>
      <c r="CC134" s="59">
        <f t="shared" si="119"/>
        <v>1107.3847104875947</v>
      </c>
      <c r="CD134" s="59">
        <f ca="1">AVERAGE(OFFSET($CC$3,0,0,'Données projet'!$E$12+1,1))-AVERAGE(OFFSET($H$3,0,0,'Données projet'!$E$12+1,1))</f>
        <v>593.28343396240075</v>
      </c>
      <c r="CE134" s="59">
        <f t="shared" si="148"/>
        <v>289.66477662068695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23.999205739042221</v>
      </c>
      <c r="CL134" s="21">
        <f>EXP(-LN(2)/25)*CL133+(1-EXP(-LN(2)/25))/(LN(2)/25)*Calculateur!CG134*Calculateur!CI134*VLOOKUP('Données projet'!$B$12,Paramètres!$A$1:$I$89,3,0)*0.475*44/12</f>
        <v>22.357950618603368</v>
      </c>
      <c r="CM134" s="21">
        <f>EXP(-LN(2)/2)*CM133+(1-EXP(-LN(2)/2))/(LN(2)/2)*CG134*CJ134*VLOOKUP('Données projet'!$B$12,Paramètres!$A$1:$I$89,3,0)*0.475*44/12</f>
        <v>0.22675100056516848</v>
      </c>
      <c r="CN134" s="22">
        <f t="shared" si="120"/>
        <v>46.583907358210759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2.2737367544323206E-13</v>
      </c>
      <c r="CU134" s="17">
        <f>CT134*VLOOKUP('Données projet'!$B$13,Paramètres!$A$1:$I$89,3,0)*VLOOKUP('Données projet'!$B$13,Paramètres!$A$1:$I$89,5,0)</f>
        <v>2.3765096557326618E-13</v>
      </c>
      <c r="CV134" s="13">
        <f t="shared" si="149"/>
        <v>3.2279907425805489E-12</v>
      </c>
      <c r="CW134" s="20">
        <f t="shared" si="121"/>
        <v>6.0359926417012276E-12</v>
      </c>
      <c r="CX134" s="59">
        <f t="shared" si="122"/>
        <v>293.33333333333934</v>
      </c>
      <c r="CY134" s="59">
        <f ca="1">AVERAGE(OFFSET($CX$3,0,0,'Données projet'!$E$13+1,1))-AVERAGE(OFFSET($H$3,0,0,'Données projet'!$E$13+1,1))</f>
        <v>260.65406541614402</v>
      </c>
      <c r="CZ134" s="59">
        <f t="shared" si="150"/>
        <v>277.63456890196886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7.9981635546545062</v>
      </c>
      <c r="DG134" s="21">
        <f>EXP(-LN(2)/25)*DG133+(1-EXP(-LN(2)/25))/(LN(2)/25)*Calculateur!DB134*Calculateur!DD134*VLOOKUP('Données projet'!$B$13,Paramètres!$A$1:$I$89,3,0)*0.475*44/12</f>
        <v>15.895122110042042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23.893285664696549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2.2737367544323206E-13</v>
      </c>
      <c r="DP134" s="17">
        <f>DO134*VLOOKUP('Données projet'!$B$14,Paramètres!$A$1:$I$89,3,0)*VLOOKUP('Données projet'!$B$14,Paramètres!$A$1:$I$89,5,0)</f>
        <v>1.4897523215040565E-13</v>
      </c>
      <c r="DQ134" s="13">
        <f t="shared" si="151"/>
        <v>2.136562777003313E-12</v>
      </c>
      <c r="DR134" s="20">
        <f t="shared" si="124"/>
        <v>3.9806453659427267E-12</v>
      </c>
      <c r="DS134" s="59">
        <f t="shared" si="125"/>
        <v>293.33333333333729</v>
      </c>
      <c r="DT134" s="59">
        <f ca="1">AVERAGE(OFFSET($DS$3,0,0,'Données projet'!$E$14+1,1))-AVERAGE(OFFSET($H$3,0,0,'Données projet'!$E$14+1,1))</f>
        <v>181.4272795535777</v>
      </c>
      <c r="DU134" s="59">
        <f t="shared" si="152"/>
        <v>187.67131775419904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7.5057320473898228</v>
      </c>
      <c r="EB134" s="21">
        <f>EXP(-LN(2)/25)*EB133+(1-EXP(-LN(2)/25))/(LN(2)/25)*Calculateur!DW134*Calculateur!DY134*VLOOKUP('Données projet'!$B$14,Paramètres!$A$1:$I$89,3,0)*0.475*44/12</f>
        <v>5.7890819788914456</v>
      </c>
      <c r="EC134" s="21">
        <f>EXP(-LN(2)/2)*EC133+(1-EXP(-LN(2)/2))/(LN(2)/2)*DW134*DZ134*VLOOKUP('Données projet'!$B$14,Paramètres!$A$1:$I$89,3,0)*0.475*44/12</f>
        <v>1.6920732122778733E-5</v>
      </c>
      <c r="ED134" s="22">
        <f t="shared" si="126"/>
        <v>13.294830947013391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1.1368683772161603E-13</v>
      </c>
      <c r="EK134" s="17">
        <f>EJ134*VLOOKUP('Données projet'!$B$15,Paramètres!$A$1:$I$89,3,0)*VLOOKUP('Données projet'!$B$15,Paramètres!$A$1:$I$89,5,0)</f>
        <v>9.2222762759774927E-14</v>
      </c>
      <c r="EL134" s="13">
        <f t="shared" si="153"/>
        <v>1.3985662224947967E-12</v>
      </c>
      <c r="EM134" s="20">
        <f t="shared" si="127"/>
        <v>2.5964574826517121E-12</v>
      </c>
      <c r="EN134" s="59">
        <f t="shared" si="128"/>
        <v>293.33333333333593</v>
      </c>
      <c r="EO134" s="59">
        <f ca="1">AVERAGE(OFFSET($EN$3,0,0,'Données projet'!$E$15+1,1))-AVERAGE(OFFSET($H$3,0,0,'Données projet'!$E$15+1,1))</f>
        <v>159.68591355116837</v>
      </c>
      <c r="EP134" s="59">
        <f t="shared" si="154"/>
        <v>284.32631786390112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2.4054311599507061</v>
      </c>
      <c r="EW134" s="21">
        <f>EXP(-LN(2)/25)*EW133+(1-EXP(-LN(2)/25))/(LN(2)/25)*Calculateur!ER134*Calculateur!ET134*VLOOKUP('Données projet'!$B$15,Paramètres!$A$1:$I$89,3,0)*0.475*44/12</f>
        <v>1.5497388867114961</v>
      </c>
      <c r="EX134" s="21">
        <f>EXP(-LN(2)/2)*EX133+(1-EXP(-LN(2)/2))/(LN(2)/2)*ER134*EU134*VLOOKUP('Données projet'!$B$15,Paramètres!$A$1:$I$89,3,0)*0.475*44/12</f>
        <v>5.8647830706876933E-13</v>
      </c>
      <c r="EY134" s="22">
        <f t="shared" si="129"/>
        <v>3.9551700466627886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-1.3567387213697657E-13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299.10536994156814</v>
      </c>
      <c r="FK134" s="59">
        <f t="shared" si="156"/>
        <v>292.57799203101769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14.795550167388775</v>
      </c>
      <c r="FR134" s="21">
        <f>EXP(-LN(2)/25)*FR133+(1-EXP(-LN(2)/25))/(LN(2)/25)*Calculateur!FM134*Calculateur!FO134*VLOOKUP('Données projet'!$B$16,Paramètres!$A$1:$I$89,3,0)*0.475*44/12</f>
        <v>10.300920068655122</v>
      </c>
      <c r="FS134" s="21">
        <f>EXP(-LN(2)/2)*FS133+(1-EXP(-LN(2)/2))/(LN(2)/2)*FM134*FP134*VLOOKUP('Données projet'!$B$16,Paramètres!$A$1:$I$89,3,0)*0.475*44/12</f>
        <v>1.0953952606514186E-6</v>
      </c>
      <c r="FT134" s="22">
        <f t="shared" si="132"/>
        <v>25.096471331439158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5.6843418860808015E-14</v>
      </c>
      <c r="GA134" s="17">
        <f>FZ134*VLOOKUP('Données projet'!$B$17,Paramètres!$A$1:$I$89,3,0)*VLOOKUP('Données projet'!$B$17,Paramètres!$A$1:$I$89,5,0)</f>
        <v>5.1431925385259088E-14</v>
      </c>
      <c r="GB134" s="13">
        <f t="shared" si="157"/>
        <v>8.3482866290946129E-13</v>
      </c>
      <c r="GC134" s="20">
        <f t="shared" si="133"/>
        <v>1.5435705246133045E-12</v>
      </c>
      <c r="GD134" s="59">
        <f t="shared" si="134"/>
        <v>293.33333333333485</v>
      </c>
      <c r="GE134" s="59">
        <f ca="1">AVERAGE(OFFSET($GD$3,0,0,'Données projet'!$E$17+1,1))-AVERAGE(OFFSET($H$3,0,0,'Données projet'!$E$17+1,1))</f>
        <v>204.78565758021779</v>
      </c>
      <c r="GF134" s="59">
        <f t="shared" si="158"/>
        <v>287.25131613242439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2.8425540237078768</v>
      </c>
      <c r="GM134" s="21">
        <f>EXP(-LN(2)/25)*GM133+(1-EXP(-LN(2)/25))/(LN(2)/25)*Calculateur!GH134*Calculateur!GJ134*VLOOKUP('Données projet'!$B$17,Paramètres!$A$1:$I$89,3,0)*0.475*44/12</f>
        <v>1.2178387654728575</v>
      </c>
      <c r="GN134" s="21">
        <f>EXP(-LN(2)/2)*GN133+(1-EXP(-LN(2)/2))/(LN(2)/2)*GH134*GK134*VLOOKUP('Données projet'!$B$17,Paramètres!$A$1:$I$89,3,0)*0.475*44/12</f>
        <v>1.5678084973697372E-12</v>
      </c>
      <c r="GO134" s="21">
        <f t="shared" si="135"/>
        <v>4.060392789182302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5.6843418860808015E-14</v>
      </c>
      <c r="GV134" s="17">
        <f>GU134*VLOOKUP('Données projet'!$B$18,Paramètres!$A$1:$I$89,3,0)*VLOOKUP('Données projet'!$B$18,Paramètres!$A$1:$I$89,5,0)</f>
        <v>4.4337866711430253E-14</v>
      </c>
      <c r="GW134" s="13">
        <f t="shared" si="159"/>
        <v>7.3222115536967035E-13</v>
      </c>
      <c r="GX134" s="20">
        <f t="shared" si="136"/>
        <v>1.3525069634579169E-12</v>
      </c>
      <c r="GY134" s="59">
        <f t="shared" si="137"/>
        <v>293.33333333333468</v>
      </c>
      <c r="GZ134" s="59">
        <f ca="1">AVERAGE(OFFSET($GY$3,0,0,'Données projet'!$E$18+1,1))-AVERAGE(OFFSET($H$3,0,0,'Données projet'!$E$18+1,1))</f>
        <v>288.82868507674738</v>
      </c>
      <c r="HA134" s="59">
        <f t="shared" si="160"/>
        <v>283.48738729114024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12.595081424159517</v>
      </c>
      <c r="HH134" s="21">
        <f>EXP(-LN(2)/25)*HH133+(1-EXP(-LN(2)/25))/(LN(2)/25)*Calculateur!HC134*Calculateur!HE134*VLOOKUP('Données projet'!$B$18,Paramètres!$A$1:$I$89,3,0)*0.475*44/12</f>
        <v>7.5883445362467761</v>
      </c>
      <c r="HI134" s="21">
        <f>EXP(-LN(2)/2)*HI133+(1-EXP(-LN(2)/2))/(LN(2)/2)*HC134*HF134*VLOOKUP('Données projet'!$B$18,Paramètres!$A$1:$I$89,3,0)*0.475*44/12</f>
        <v>2.8291727254764867E-8</v>
      </c>
      <c r="HJ134" s="22">
        <f t="shared" si="138"/>
        <v>20.183425988698019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349.71285006949597</v>
      </c>
      <c r="T135" s="59">
        <f t="shared" si="142"/>
        <v>258.51550516456842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54.727476668212923</v>
      </c>
      <c r="AA135" s="21">
        <f>EXP(-LN(2)/25)*AA134+(1-EXP(-LN(2)/25))/(LN(2)/25)*Calculateur!V135*Calculateur!X135*VLOOKUP('Données projet'!$B$9,Paramètres!$A$1:$I$89,3,0)*0.475*44/12</f>
        <v>12.238289885482132</v>
      </c>
      <c r="AB135" s="21">
        <f>EXP(-LN(2)/2)*AB134+(1-EXP(-LN(2)/2))/(LN(2)/2)*V135*Y135*VLOOKUP('Données projet'!$B$9,Paramètres!$A$1:$I$89,3,0)*0.475*44/12</f>
        <v>1.0537600934685574E-6</v>
      </c>
      <c r="AC135" s="22">
        <f t="shared" si="111"/>
        <v>66.965767607455149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2.5579538487363607E-13</v>
      </c>
      <c r="AJ135" s="13">
        <f>AI135*VLOOKUP('Données projet'!$B$10,Paramètres!$A$1:$I$89,3,0)*VLOOKUP('Données projet'!$B$10,Paramètres!$A$1:$I$89,5,0)</f>
        <v>2.4341488824575211E-13</v>
      </c>
      <c r="AK135" s="13">
        <f t="shared" si="143"/>
        <v>3.2970717324875541E-12</v>
      </c>
      <c r="AL135" s="20">
        <f t="shared" si="112"/>
        <v>6.1663475311105072E-12</v>
      </c>
      <c r="AM135" s="59">
        <f t="shared" si="113"/>
        <v>293.33333333333945</v>
      </c>
      <c r="AN135" s="59">
        <f ca="1">AVERAGE(OFFSET($AM$3,0,0,'Données projet'!$E$10+1,1))-AVERAGE(OFFSET($H$3,0,0,'Données projet'!$E$10+1,1))</f>
        <v>449.28947235329758</v>
      </c>
      <c r="AO135" s="59">
        <f t="shared" si="144"/>
        <v>289.36994109443964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114.19582047134455</v>
      </c>
      <c r="AV135" s="21">
        <f>EXP(-LN(2)/25)*AV134+(1-EXP(-LN(2)/25))/(LN(2)/25)*Calculateur!AQ135*Calculateur!AS135*VLOOKUP('Données projet'!$B$10,Paramètres!$A$1:$I$89,3,0)*0.475*44/12</f>
        <v>23.423129284235976</v>
      </c>
      <c r="AW135" s="21">
        <f>EXP(-LN(2)/2)*AW134+(1-EXP(-LN(2)/2))/(LN(2)/2)*AQ135*AT135*VLOOKUP('Données projet'!$B$10,Paramètres!$A$1:$I$89,3,0)*0.475*44/12</f>
        <v>3.5807219869237543</v>
      </c>
      <c r="AX135" s="21">
        <f t="shared" si="114"/>
        <v>141.19967174250428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421.84852320000078</v>
      </c>
      <c r="BF135" s="13">
        <f t="shared" si="145"/>
        <v>96.192315164348642</v>
      </c>
      <c r="BG135" s="20">
        <f t="shared" si="115"/>
        <v>902.2544601512418</v>
      </c>
      <c r="BH135" s="59">
        <f t="shared" si="116"/>
        <v>1195.5877934845751</v>
      </c>
      <c r="BI135" s="59">
        <f ca="1">AVERAGE(OFFSET($BH$3,0,0,'Données projet'!$E$11+1,1))-AVERAGE(OFFSET($H$3,0,0,'Données projet'!$E$11+1,1))</f>
        <v>635.71275911100679</v>
      </c>
      <c r="BJ135" s="59">
        <f t="shared" si="146"/>
        <v>281.7776857269169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32.955376915927189</v>
      </c>
      <c r="BQ135" s="21">
        <f>EXP(-LN(2)/25)*BQ134+(1-EXP(-LN(2)/25))/(LN(2)/25)*Calculateur!BL135*Calculateur!BN135*VLOOKUP('Données projet'!$B$11,Paramètres!$A$1:$I$89,3,0)*0.475*44/12</f>
        <v>19.619380782384866</v>
      </c>
      <c r="BR135" s="21">
        <f>EXP(-LN(2)/2)*BR134+(1-EXP(-LN(2)/2))/(LN(2)/2)*BL135*BO135*VLOOKUP('Données projet'!$B$11,Paramètres!$A$1:$I$89,3,0)*0.475*44/12</f>
        <v>0.31912377109528955</v>
      </c>
      <c r="BS135" s="22">
        <f t="shared" si="117"/>
        <v>52.893881469407347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>
        <f>VLOOKUP(A135,'Données projet'!$A$113:$I$133,2,0)</f>
        <v>340.57</v>
      </c>
      <c r="BW135" s="12">
        <f>VLOOKUP(A135,'Données projet'!$A$113:$I$133,9,0)</f>
        <v>7.1129999999999995</v>
      </c>
      <c r="BX135" s="12">
        <f t="array" ref="BX135">INDEX(BW:BW,MIN(IF(ISNUMBER(BW135:BW331),ROW(BW135:BW331),"")))</f>
        <v>7.1129999999999995</v>
      </c>
      <c r="BY135" s="12">
        <f>IF('Données projet'!$A$114&gt;35,BY134+BX135-CG134,IF(A135&lt;'Données projet'!$A$114,$BV$205^A135,IF(A135='Données projet'!$A$114,'Données projet'!$B$114,BY134+BX135-CG134)))</f>
        <v>340.57000000000005</v>
      </c>
      <c r="BZ135" s="13">
        <f>BY135*VLOOKUP('Données projet'!$B$12,Paramètres!$A$1:$I$89,3,0)*VLOOKUP('Données projet'!$B$12,Paramètres!$A$1:$I$89,5,0)</f>
        <v>387.84111600000006</v>
      </c>
      <c r="CA135" s="13">
        <f t="shared" si="147"/>
        <v>89.307227025248523</v>
      </c>
      <c r="CB135" s="20">
        <f t="shared" si="118"/>
        <v>831.03336410230793</v>
      </c>
      <c r="CC135" s="59">
        <f t="shared" si="119"/>
        <v>1124.3666974356413</v>
      </c>
      <c r="CD135" s="59">
        <f ca="1">AVERAGE(OFFSET($CC$3,0,0,'Données projet'!$E$12+1,1))-AVERAGE(OFFSET($H$3,0,0,'Données projet'!$E$12+1,1))</f>
        <v>593.28343396240075</v>
      </c>
      <c r="CE135" s="59">
        <f t="shared" si="148"/>
        <v>289.66477662068695</v>
      </c>
      <c r="CF135" s="15">
        <f>IF(ISNA(VLOOKUP(A135,'Données projet'!$A$113:$I$133,3,0)),0,VLOOKUP(A135,'Données projet'!$A$113:$I$133,3,0))</f>
        <v>9</v>
      </c>
      <c r="CG135" s="15">
        <f>IF(ISNA(VLOOKUP(A135,'Données projet'!$A$113:$I$133,4,0)),0,VLOOKUP(A135,'Données projet'!$A$113:$I$133,4,0))</f>
        <v>48.699999999999989</v>
      </c>
      <c r="CH135" s="16">
        <f>IF(ISNA(VLOOKUP(A135,'Données projet'!$A$113:$I$133,5,0)),0%,VLOOKUP(A135,'Données projet'!$A$113:$I$133,5,0)*VLOOKUP('Données projet'!$B$12,Paramètres!$A$1:$I$89,7,0))</f>
        <v>0.15049999999999999</v>
      </c>
      <c r="CI135" s="16">
        <f>IF(ISNA(VLOOKUP(A135,'Données projet'!$A$113:$I$133,6,0)),0%,VLOOKUP(A135,'Données projet'!$A$113:$I$133,6,0)*VLOOKUP('Données projet'!$B$12,Paramètres!$A$1:$I$89,7,0))</f>
        <v>8.6000000000000007E-2</v>
      </c>
      <c r="CJ135" s="16">
        <f>IF(ISNA(VLOOKUP(A135,'Données projet'!$A$113:$I$133,7,0)),0%,VLOOKUP(A135,'Données projet'!$A$113:$I$133,7,0))</f>
        <v>0.1</v>
      </c>
      <c r="CK135" s="21">
        <f>EXP(-LN(2)/35)*CK134+(1-EXP(-LN(2)/35))/(LN(2)/35)*CG135*CH135*VLOOKUP('Données projet'!$B$12,Paramètres!$A$1:$I$89,3,0)*0.475*44/12</f>
        <v>32.755585529280239</v>
      </c>
      <c r="CL135" s="21">
        <f>EXP(-LN(2)/25)*CL134+(1-EXP(-LN(2)/25))/(LN(2)/25)*Calculateur!CG135*Calculateur!CI135*VLOOKUP('Données projet'!$B$12,Paramètres!$A$1:$I$89,3,0)*0.475*44/12</f>
        <v>26.998376656320339</v>
      </c>
      <c r="CM135" s="21">
        <f>EXP(-LN(2)/2)*CM134+(1-EXP(-LN(2)/2))/(LN(2)/2)*CG135*CJ135*VLOOKUP('Données projet'!$B$12,Paramètres!$A$1:$I$89,3,0)*0.475*44/12</f>
        <v>5.3930959233577047</v>
      </c>
      <c r="CN135" s="22">
        <f t="shared" si="120"/>
        <v>65.147058108958277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2.2737367544323206E-13</v>
      </c>
      <c r="CU135" s="17">
        <f>CT135*VLOOKUP('Données projet'!$B$13,Paramètres!$A$1:$I$89,3,0)*VLOOKUP('Données projet'!$B$13,Paramètres!$A$1:$I$89,5,0)</f>
        <v>2.3765096557326618E-13</v>
      </c>
      <c r="CV135" s="13">
        <f t="shared" si="149"/>
        <v>3.2279907425805489E-12</v>
      </c>
      <c r="CW135" s="20">
        <f t="shared" si="121"/>
        <v>6.0359926417012276E-12</v>
      </c>
      <c r="CX135" s="59">
        <f t="shared" si="122"/>
        <v>293.33333333333934</v>
      </c>
      <c r="CY135" s="59">
        <f ca="1">AVERAGE(OFFSET($CX$3,0,0,'Données projet'!$E$13+1,1))-AVERAGE(OFFSET($H$3,0,0,'Données projet'!$E$13+1,1))</f>
        <v>260.65406541614402</v>
      </c>
      <c r="CZ135" s="59">
        <f t="shared" si="150"/>
        <v>277.63456890196886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7.8413244457457978</v>
      </c>
      <c r="DG135" s="21">
        <f>EXP(-LN(2)/25)*DG134+(1-EXP(-LN(2)/25))/(LN(2)/25)*Calculateur!DB135*Calculateur!DD135*VLOOKUP('Données projet'!$B$13,Paramètres!$A$1:$I$89,3,0)*0.475*44/12</f>
        <v>15.460469160054799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23.301793605800597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2.2737367544323206E-13</v>
      </c>
      <c r="DP135" s="17">
        <f>DO135*VLOOKUP('Données projet'!$B$14,Paramètres!$A$1:$I$89,3,0)*VLOOKUP('Données projet'!$B$14,Paramètres!$A$1:$I$89,5,0)</f>
        <v>1.4897523215040565E-13</v>
      </c>
      <c r="DQ135" s="13">
        <f t="shared" si="151"/>
        <v>2.136562777003313E-12</v>
      </c>
      <c r="DR135" s="20">
        <f t="shared" si="124"/>
        <v>3.9806453659427267E-12</v>
      </c>
      <c r="DS135" s="59">
        <f t="shared" si="125"/>
        <v>293.33333333333729</v>
      </c>
      <c r="DT135" s="59">
        <f ca="1">AVERAGE(OFFSET($DS$3,0,0,'Données projet'!$E$14+1,1))-AVERAGE(OFFSET($H$3,0,0,'Données projet'!$E$14+1,1))</f>
        <v>181.4272795535777</v>
      </c>
      <c r="DU135" s="59">
        <f t="shared" si="152"/>
        <v>187.67131775419904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7.3585492199850133</v>
      </c>
      <c r="EB135" s="21">
        <f>EXP(-LN(2)/25)*EB134+(1-EXP(-LN(2)/25))/(LN(2)/25)*Calculateur!DW135*Calculateur!DY135*VLOOKUP('Données projet'!$B$14,Paramètres!$A$1:$I$89,3,0)*0.475*44/12</f>
        <v>5.6307792277440685</v>
      </c>
      <c r="EC135" s="21">
        <f>EXP(-LN(2)/2)*EC134+(1-EXP(-LN(2)/2))/(LN(2)/2)*DW135*DZ135*VLOOKUP('Données projet'!$B$14,Paramètres!$A$1:$I$89,3,0)*0.475*44/12</f>
        <v>1.1964764426657888E-5</v>
      </c>
      <c r="ED135" s="22">
        <f t="shared" si="126"/>
        <v>12.98934041249351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1.1368683772161603E-13</v>
      </c>
      <c r="EK135" s="17">
        <f>EJ135*VLOOKUP('Données projet'!$B$15,Paramètres!$A$1:$I$89,3,0)*VLOOKUP('Données projet'!$B$15,Paramètres!$A$1:$I$89,5,0)</f>
        <v>9.2222762759774927E-14</v>
      </c>
      <c r="EL135" s="13">
        <f t="shared" si="153"/>
        <v>1.3985662224947967E-12</v>
      </c>
      <c r="EM135" s="20">
        <f t="shared" si="127"/>
        <v>2.5964574826517121E-12</v>
      </c>
      <c r="EN135" s="59">
        <f t="shared" si="128"/>
        <v>293.33333333333593</v>
      </c>
      <c r="EO135" s="59">
        <f ca="1">AVERAGE(OFFSET($EN$3,0,0,'Données projet'!$E$15+1,1))-AVERAGE(OFFSET($H$3,0,0,'Données projet'!$E$15+1,1))</f>
        <v>159.68591355116837</v>
      </c>
      <c r="EP135" s="59">
        <f t="shared" si="154"/>
        <v>284.32631786390112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2.3582621220722095</v>
      </c>
      <c r="EW135" s="21">
        <f>EXP(-LN(2)/25)*EW134+(1-EXP(-LN(2)/25))/(LN(2)/25)*Calculateur!ER135*Calculateur!ET135*VLOOKUP('Données projet'!$B$15,Paramètres!$A$1:$I$89,3,0)*0.475*44/12</f>
        <v>1.5073611953571442</v>
      </c>
      <c r="EX135" s="21">
        <f>EXP(-LN(2)/2)*EX134+(1-EXP(-LN(2)/2))/(LN(2)/2)*ER135*EU135*VLOOKUP('Données projet'!$B$15,Paramètres!$A$1:$I$89,3,0)*0.475*44/12</f>
        <v>4.1470278794713311E-13</v>
      </c>
      <c r="EY135" s="22">
        <f t="shared" si="129"/>
        <v>3.8656233174297685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-1.3567387213697657E-13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299.10536994156814</v>
      </c>
      <c r="FK135" s="59">
        <f t="shared" si="156"/>
        <v>292.57799203101769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14.505418453000798</v>
      </c>
      <c r="FR135" s="21">
        <f>EXP(-LN(2)/25)*FR134+(1-EXP(-LN(2)/25))/(LN(2)/25)*Calculateur!FM135*Calculateur!FO135*VLOOKUP('Données projet'!$B$16,Paramètres!$A$1:$I$89,3,0)*0.475*44/12</f>
        <v>10.019240867675904</v>
      </c>
      <c r="FS135" s="21">
        <f>EXP(-LN(2)/2)*FS134+(1-EXP(-LN(2)/2))/(LN(2)/2)*FM135*FP135*VLOOKUP('Données projet'!$B$16,Paramètres!$A$1:$I$89,3,0)*0.475*44/12</f>
        <v>7.7456141688622386E-7</v>
      </c>
      <c r="FT135" s="22">
        <f t="shared" si="132"/>
        <v>24.524660095238122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5.6843418860808015E-14</v>
      </c>
      <c r="GA135" s="17">
        <f>FZ135*VLOOKUP('Données projet'!$B$17,Paramètres!$A$1:$I$89,3,0)*VLOOKUP('Données projet'!$B$17,Paramètres!$A$1:$I$89,5,0)</f>
        <v>5.1431925385259088E-14</v>
      </c>
      <c r="GB135" s="13">
        <f t="shared" si="157"/>
        <v>8.3482866290946129E-13</v>
      </c>
      <c r="GC135" s="20">
        <f t="shared" si="133"/>
        <v>1.5435705246133045E-12</v>
      </c>
      <c r="GD135" s="59">
        <f t="shared" si="134"/>
        <v>293.33333333333485</v>
      </c>
      <c r="GE135" s="59">
        <f ca="1">AVERAGE(OFFSET($GD$3,0,0,'Données projet'!$E$17+1,1))-AVERAGE(OFFSET($H$3,0,0,'Données projet'!$E$17+1,1))</f>
        <v>204.78565758021779</v>
      </c>
      <c r="GF135" s="59">
        <f t="shared" si="158"/>
        <v>287.25131613242439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2.7868132730897224</v>
      </c>
      <c r="GM135" s="21">
        <f>EXP(-LN(2)/25)*GM134+(1-EXP(-LN(2)/25))/(LN(2)/25)*Calculateur!GH135*Calculateur!GJ135*VLOOKUP('Données projet'!$B$17,Paramètres!$A$1:$I$89,3,0)*0.475*44/12</f>
        <v>1.1845369003876449</v>
      </c>
      <c r="GN135" s="21">
        <f>EXP(-LN(2)/2)*GN134+(1-EXP(-LN(2)/2))/(LN(2)/2)*GH135*GK135*VLOOKUP('Données projet'!$B$17,Paramètres!$A$1:$I$89,3,0)*0.475*44/12</f>
        <v>1.1086080200920326E-12</v>
      </c>
      <c r="GO135" s="21">
        <f t="shared" si="135"/>
        <v>3.9713501734784757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5.6843418860808015E-14</v>
      </c>
      <c r="GV135" s="17">
        <f>GU135*VLOOKUP('Données projet'!$B$18,Paramètres!$A$1:$I$89,3,0)*VLOOKUP('Données projet'!$B$18,Paramètres!$A$1:$I$89,5,0)</f>
        <v>4.4337866711430253E-14</v>
      </c>
      <c r="GW135" s="13">
        <f t="shared" si="159"/>
        <v>7.3222115536967035E-13</v>
      </c>
      <c r="GX135" s="20">
        <f t="shared" si="136"/>
        <v>1.3525069634579169E-12</v>
      </c>
      <c r="GY135" s="59">
        <f t="shared" si="137"/>
        <v>293.33333333333468</v>
      </c>
      <c r="GZ135" s="59">
        <f ca="1">AVERAGE(OFFSET($GY$3,0,0,'Données projet'!$E$18+1,1))-AVERAGE(OFFSET($H$3,0,0,'Données projet'!$E$18+1,1))</f>
        <v>288.82868507674738</v>
      </c>
      <c r="HA135" s="59">
        <f t="shared" si="160"/>
        <v>283.48738729114024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12.348099559672859</v>
      </c>
      <c r="HH135" s="21">
        <f>EXP(-LN(2)/25)*HH134+(1-EXP(-LN(2)/25))/(LN(2)/25)*Calculateur!HC135*Calculateur!HE135*VLOOKUP('Données projet'!$B$18,Paramètres!$A$1:$I$89,3,0)*0.475*44/12</f>
        <v>7.3808408558494119</v>
      </c>
      <c r="HI135" s="21">
        <f>EXP(-LN(2)/2)*HI134+(1-EXP(-LN(2)/2))/(LN(2)/2)*HC135*HF135*VLOOKUP('Données projet'!$B$18,Paramètres!$A$1:$I$89,3,0)*0.475*44/12</f>
        <v>2.0005272193324504E-8</v>
      </c>
      <c r="HJ135" s="22">
        <f t="shared" si="138"/>
        <v>19.728940435527544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349.71285006949597</v>
      </c>
      <c r="T136" s="59">
        <f t="shared" si="142"/>
        <v>258.51550516456842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53.654304231213985</v>
      </c>
      <c r="AA136" s="21">
        <f>EXP(-LN(2)/25)*AA135+(1-EXP(-LN(2)/25))/(LN(2)/25)*Calculateur!V136*Calculateur!X136*VLOOKUP('Données projet'!$B$9,Paramètres!$A$1:$I$89,3,0)*0.475*44/12</f>
        <v>11.903633204979929</v>
      </c>
      <c r="AB136" s="21">
        <f>EXP(-LN(2)/2)*AB135+(1-EXP(-LN(2)/2))/(LN(2)/2)*V136*Y136*VLOOKUP('Données projet'!$B$9,Paramètres!$A$1:$I$89,3,0)*0.475*44/12</f>
        <v>7.4512090783538709E-7</v>
      </c>
      <c r="AC136" s="22">
        <f t="shared" si="111"/>
        <v>65.557938181314825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2.5579538487363607E-13</v>
      </c>
      <c r="AJ136" s="13">
        <f>AI136*VLOOKUP('Données projet'!$B$10,Paramètres!$A$1:$I$89,3,0)*VLOOKUP('Données projet'!$B$10,Paramètres!$A$1:$I$89,5,0)</f>
        <v>2.4341488824575211E-13</v>
      </c>
      <c r="AK136" s="13">
        <f t="shared" si="143"/>
        <v>3.2970717324875541E-12</v>
      </c>
      <c r="AL136" s="20">
        <f t="shared" si="112"/>
        <v>6.1663475311105072E-12</v>
      </c>
      <c r="AM136" s="59">
        <f t="shared" si="113"/>
        <v>293.33333333333945</v>
      </c>
      <c r="AN136" s="59">
        <f ca="1">AVERAGE(OFFSET($AM$3,0,0,'Données projet'!$E$10+1,1))-AVERAGE(OFFSET($H$3,0,0,'Données projet'!$E$10+1,1))</f>
        <v>449.28947235329758</v>
      </c>
      <c r="AO136" s="59">
        <f t="shared" si="144"/>
        <v>289.36994109443964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111.95651008447435</v>
      </c>
      <c r="AV136" s="21">
        <f>EXP(-LN(2)/25)*AV135+(1-EXP(-LN(2)/25))/(LN(2)/25)*Calculateur!AQ136*Calculateur!AS136*VLOOKUP('Données projet'!$B$10,Paramètres!$A$1:$I$89,3,0)*0.475*44/12</f>
        <v>22.78262258218971</v>
      </c>
      <c r="AW136" s="21">
        <f>EXP(-LN(2)/2)*AW135+(1-EXP(-LN(2)/2))/(LN(2)/2)*AQ136*AT136*VLOOKUP('Données projet'!$B$10,Paramètres!$A$1:$I$89,3,0)*0.475*44/12</f>
        <v>2.5319527984975552</v>
      </c>
      <c r="AX136" s="21">
        <f t="shared" si="114"/>
        <v>137.2710854651616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430.01253360000078</v>
      </c>
      <c r="BF136" s="13">
        <f t="shared" si="145"/>
        <v>97.835389274652726</v>
      </c>
      <c r="BG136" s="20">
        <f t="shared" si="115"/>
        <v>919.33513234002146</v>
      </c>
      <c r="BH136" s="59">
        <f t="shared" si="116"/>
        <v>1212.6684656733548</v>
      </c>
      <c r="BI136" s="59">
        <f ca="1">AVERAGE(OFFSET($BH$3,0,0,'Données projet'!$E$11+1,1))-AVERAGE(OFFSET($H$3,0,0,'Données projet'!$E$11+1,1))</f>
        <v>635.71275911100679</v>
      </c>
      <c r="BJ136" s="59">
        <f t="shared" si="146"/>
        <v>281.7776857269169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32.309142075400985</v>
      </c>
      <c r="BQ136" s="21">
        <f>EXP(-LN(2)/25)*BQ135+(1-EXP(-LN(2)/25))/(LN(2)/25)*Calculateur!BL136*Calculateur!BN136*VLOOKUP('Données projet'!$B$11,Paramètres!$A$1:$I$89,3,0)*0.475*44/12</f>
        <v>19.082887783152156</v>
      </c>
      <c r="BR136" s="21">
        <f>EXP(-LN(2)/2)*BR135+(1-EXP(-LN(2)/2))/(LN(2)/2)*BL136*BO136*VLOOKUP('Données projet'!$B$11,Paramètres!$A$1:$I$89,3,0)*0.475*44/12</f>
        <v>0.22565458257930279</v>
      </c>
      <c r="BS136" s="22">
        <f t="shared" si="117"/>
        <v>51.617684441132447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7.3375000000000012</v>
      </c>
      <c r="BY136" s="12">
        <f>IF('Données projet'!$A$114&gt;35,BY135+BX136-CG135,IF(A136&lt;'Données projet'!$A$114,$BV$205^A136,IF(A136='Données projet'!$A$114,'Données projet'!$B$114,BY135+BX136-CG135)))</f>
        <v>299.20750000000004</v>
      </c>
      <c r="BZ136" s="13">
        <f>BY136*VLOOKUP('Données projet'!$B$12,Paramètres!$A$1:$I$89,3,0)*VLOOKUP('Données projet'!$B$12,Paramètres!$A$1:$I$89,5,0)</f>
        <v>340.73750100000001</v>
      </c>
      <c r="CA136" s="13">
        <f t="shared" si="147"/>
        <v>79.6522995773622</v>
      </c>
      <c r="CB136" s="20">
        <f t="shared" si="118"/>
        <v>732.17890267223913</v>
      </c>
      <c r="CC136" s="59">
        <f t="shared" si="119"/>
        <v>1025.5122360055725</v>
      </c>
      <c r="CD136" s="59">
        <f ca="1">AVERAGE(OFFSET($CC$3,0,0,'Données projet'!$E$12+1,1))-AVERAGE(OFFSET($H$3,0,0,'Données projet'!$E$12+1,1))</f>
        <v>593.28343396240075</v>
      </c>
      <c r="CE136" s="59">
        <f t="shared" si="148"/>
        <v>289.66477662068695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32.113268475985471</v>
      </c>
      <c r="CL136" s="21">
        <f>EXP(-LN(2)/25)*CL135+(1-EXP(-LN(2)/25))/(LN(2)/25)*Calculateur!CG136*Calculateur!CI136*VLOOKUP('Données projet'!$B$12,Paramètres!$A$1:$I$89,3,0)*0.475*44/12</f>
        <v>26.260104626870337</v>
      </c>
      <c r="CM136" s="21">
        <f>EXP(-LN(2)/2)*CM135+(1-EXP(-LN(2)/2))/(LN(2)/2)*CG136*CJ136*VLOOKUP('Données projet'!$B$12,Paramètres!$A$1:$I$89,3,0)*0.475*44/12</f>
        <v>3.8134946989957581</v>
      </c>
      <c r="CN136" s="22">
        <f t="shared" si="120"/>
        <v>62.186867801851569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2.2737367544323206E-13</v>
      </c>
      <c r="CU136" s="17">
        <f>CT136*VLOOKUP('Données projet'!$B$13,Paramètres!$A$1:$I$89,3,0)*VLOOKUP('Données projet'!$B$13,Paramètres!$A$1:$I$89,5,0)</f>
        <v>2.3765096557326618E-13</v>
      </c>
      <c r="CV136" s="13">
        <f t="shared" si="149"/>
        <v>3.2279907425805489E-12</v>
      </c>
      <c r="CW136" s="20">
        <f t="shared" si="121"/>
        <v>6.0359926417012276E-12</v>
      </c>
      <c r="CX136" s="59">
        <f t="shared" si="122"/>
        <v>293.33333333333934</v>
      </c>
      <c r="CY136" s="59">
        <f ca="1">AVERAGE(OFFSET($CX$3,0,0,'Données projet'!$E$13+1,1))-AVERAGE(OFFSET($H$3,0,0,'Données projet'!$E$13+1,1))</f>
        <v>260.65406541614402</v>
      </c>
      <c r="CZ136" s="59">
        <f t="shared" si="150"/>
        <v>277.63456890196886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7.6875608561003785</v>
      </c>
      <c r="DG136" s="21">
        <f>EXP(-LN(2)/25)*DG135+(1-EXP(-LN(2)/25))/(LN(2)/25)*Calculateur!DB136*Calculateur!DD136*VLOOKUP('Données projet'!$B$13,Paramètres!$A$1:$I$89,3,0)*0.475*44/12</f>
        <v>15.037701817842363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22.725262673942741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2.2737367544323206E-13</v>
      </c>
      <c r="DP136" s="17">
        <f>DO136*VLOOKUP('Données projet'!$B$14,Paramètres!$A$1:$I$89,3,0)*VLOOKUP('Données projet'!$B$14,Paramètres!$A$1:$I$89,5,0)</f>
        <v>1.4897523215040565E-13</v>
      </c>
      <c r="DQ136" s="13">
        <f t="shared" si="151"/>
        <v>2.136562777003313E-12</v>
      </c>
      <c r="DR136" s="20">
        <f t="shared" si="124"/>
        <v>3.9806453659427267E-12</v>
      </c>
      <c r="DS136" s="59">
        <f t="shared" si="125"/>
        <v>293.33333333333729</v>
      </c>
      <c r="DT136" s="59">
        <f ca="1">AVERAGE(OFFSET($DS$3,0,0,'Données projet'!$E$14+1,1))-AVERAGE(OFFSET($H$3,0,0,'Données projet'!$E$14+1,1))</f>
        <v>181.4272795535777</v>
      </c>
      <c r="DU136" s="59">
        <f t="shared" si="152"/>
        <v>187.67131775419904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7.2142525580529515</v>
      </c>
      <c r="EB136" s="21">
        <f>EXP(-LN(2)/25)*EB135+(1-EXP(-LN(2)/25))/(LN(2)/25)*Calculateur!DW136*Calculateur!DY136*VLOOKUP('Données projet'!$B$14,Paramètres!$A$1:$I$89,3,0)*0.475*44/12</f>
        <v>5.4768052736515971</v>
      </c>
      <c r="EC136" s="21">
        <f>EXP(-LN(2)/2)*EC135+(1-EXP(-LN(2)/2))/(LN(2)/2)*DW136*DZ136*VLOOKUP('Données projet'!$B$14,Paramètres!$A$1:$I$89,3,0)*0.475*44/12</f>
        <v>8.4603660613893666E-6</v>
      </c>
      <c r="ED136" s="22">
        <f t="shared" si="126"/>
        <v>12.691066292070609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1.1368683772161603E-13</v>
      </c>
      <c r="EK136" s="17">
        <f>EJ136*VLOOKUP('Données projet'!$B$15,Paramètres!$A$1:$I$89,3,0)*VLOOKUP('Données projet'!$B$15,Paramètres!$A$1:$I$89,5,0)</f>
        <v>9.2222762759774927E-14</v>
      </c>
      <c r="EL136" s="13">
        <f t="shared" si="153"/>
        <v>1.3985662224947967E-12</v>
      </c>
      <c r="EM136" s="20">
        <f t="shared" si="127"/>
        <v>2.5964574826517121E-12</v>
      </c>
      <c r="EN136" s="59">
        <f t="shared" si="128"/>
        <v>293.33333333333593</v>
      </c>
      <c r="EO136" s="59">
        <f ca="1">AVERAGE(OFFSET($EN$3,0,0,'Données projet'!$E$15+1,1))-AVERAGE(OFFSET($H$3,0,0,'Données projet'!$E$15+1,1))</f>
        <v>159.68591355116837</v>
      </c>
      <c r="EP136" s="59">
        <f t="shared" si="154"/>
        <v>284.32631786390112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2.312018040256238</v>
      </c>
      <c r="EW136" s="21">
        <f>EXP(-LN(2)/25)*EW135+(1-EXP(-LN(2)/25))/(LN(2)/25)*Calculateur!ER136*Calculateur!ET136*VLOOKUP('Données projet'!$B$15,Paramètres!$A$1:$I$89,3,0)*0.475*44/12</f>
        <v>1.4661423242014229</v>
      </c>
      <c r="EX136" s="21">
        <f>EXP(-LN(2)/2)*EX135+(1-EXP(-LN(2)/2))/(LN(2)/2)*ER136*EU136*VLOOKUP('Données projet'!$B$15,Paramètres!$A$1:$I$89,3,0)*0.475*44/12</f>
        <v>2.9323915353438467E-13</v>
      </c>
      <c r="EY136" s="22">
        <f t="shared" si="129"/>
        <v>3.7781603644579542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-1.3567387213697657E-13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299.10536994156814</v>
      </c>
      <c r="FK136" s="59">
        <f t="shared" si="156"/>
        <v>292.57799203101769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14.220976044569097</v>
      </c>
      <c r="FR136" s="21">
        <f>EXP(-LN(2)/25)*FR135+(1-EXP(-LN(2)/25))/(LN(2)/25)*Calculateur!FM136*Calculateur!FO136*VLOOKUP('Données projet'!$B$16,Paramètres!$A$1:$I$89,3,0)*0.475*44/12</f>
        <v>9.7452641992603297</v>
      </c>
      <c r="FS136" s="21">
        <f>EXP(-LN(2)/2)*FS135+(1-EXP(-LN(2)/2))/(LN(2)/2)*FM136*FP136*VLOOKUP('Données projet'!$B$16,Paramètres!$A$1:$I$89,3,0)*0.475*44/12</f>
        <v>5.4769763032570931E-7</v>
      </c>
      <c r="FT136" s="22">
        <f t="shared" si="132"/>
        <v>23.966240791527056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5.6843418860808015E-14</v>
      </c>
      <c r="GA136" s="17">
        <f>FZ136*VLOOKUP('Données projet'!$B$17,Paramètres!$A$1:$I$89,3,0)*VLOOKUP('Données projet'!$B$17,Paramètres!$A$1:$I$89,5,0)</f>
        <v>5.1431925385259088E-14</v>
      </c>
      <c r="GB136" s="13">
        <f t="shared" si="157"/>
        <v>8.3482866290946129E-13</v>
      </c>
      <c r="GC136" s="20">
        <f t="shared" si="133"/>
        <v>1.5435705246133045E-12</v>
      </c>
      <c r="GD136" s="59">
        <f t="shared" si="134"/>
        <v>293.33333333333485</v>
      </c>
      <c r="GE136" s="59">
        <f ca="1">AVERAGE(OFFSET($GD$3,0,0,'Données projet'!$E$17+1,1))-AVERAGE(OFFSET($H$3,0,0,'Données projet'!$E$17+1,1))</f>
        <v>204.78565758021779</v>
      </c>
      <c r="GF136" s="59">
        <f t="shared" si="158"/>
        <v>287.25131613242439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2.7321655645926892</v>
      </c>
      <c r="GM136" s="21">
        <f>EXP(-LN(2)/25)*GM135+(1-EXP(-LN(2)/25))/(LN(2)/25)*Calculateur!GH136*Calculateur!GJ136*VLOOKUP('Données projet'!$B$17,Paramètres!$A$1:$I$89,3,0)*0.475*44/12</f>
        <v>1.1521456765544564</v>
      </c>
      <c r="GN136" s="21">
        <f>EXP(-LN(2)/2)*GN135+(1-EXP(-LN(2)/2))/(LN(2)/2)*GH136*GK136*VLOOKUP('Données projet'!$B$17,Paramètres!$A$1:$I$89,3,0)*0.475*44/12</f>
        <v>7.8390424868486861E-13</v>
      </c>
      <c r="GO136" s="21">
        <f t="shared" si="135"/>
        <v>3.8843112411479295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5.6843418860808015E-14</v>
      </c>
      <c r="GV136" s="17">
        <f>GU136*VLOOKUP('Données projet'!$B$18,Paramètres!$A$1:$I$89,3,0)*VLOOKUP('Données projet'!$B$18,Paramètres!$A$1:$I$89,5,0)</f>
        <v>4.4337866711430253E-14</v>
      </c>
      <c r="GW136" s="13">
        <f t="shared" si="159"/>
        <v>7.3222115536967035E-13</v>
      </c>
      <c r="GX136" s="20">
        <f t="shared" si="136"/>
        <v>1.3525069634579169E-12</v>
      </c>
      <c r="GY136" s="59">
        <f t="shared" si="137"/>
        <v>293.33333333333468</v>
      </c>
      <c r="GZ136" s="59">
        <f ca="1">AVERAGE(OFFSET($GY$3,0,0,'Données projet'!$E$18+1,1))-AVERAGE(OFFSET($H$3,0,0,'Données projet'!$E$18+1,1))</f>
        <v>288.82868507674738</v>
      </c>
      <c r="HA136" s="59">
        <f t="shared" si="160"/>
        <v>283.48738729114024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12.105960858904721</v>
      </c>
      <c r="HH136" s="21">
        <f>EXP(-LN(2)/25)*HH135+(1-EXP(-LN(2)/25))/(LN(2)/25)*Calculateur!HC136*Calculateur!HE136*VLOOKUP('Données projet'!$B$18,Paramètres!$A$1:$I$89,3,0)*0.475*44/12</f>
        <v>7.1790113745046584</v>
      </c>
      <c r="HI136" s="21">
        <f>EXP(-LN(2)/2)*HI135+(1-EXP(-LN(2)/2))/(LN(2)/2)*HC136*HF136*VLOOKUP('Données projet'!$B$18,Paramètres!$A$1:$I$89,3,0)*0.475*44/12</f>
        <v>1.4145863627382434E-8</v>
      </c>
      <c r="HJ136" s="22">
        <f t="shared" si="138"/>
        <v>19.284972247555245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349.71285006949597</v>
      </c>
      <c r="T137" s="59">
        <f t="shared" si="142"/>
        <v>258.51550516456842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52.602176051134045</v>
      </c>
      <c r="AA137" s="21">
        <f>EXP(-LN(2)/25)*AA136+(1-EXP(-LN(2)/25))/(LN(2)/25)*Calculateur!V137*Calculateur!X137*VLOOKUP('Données projet'!$B$9,Paramètres!$A$1:$I$89,3,0)*0.475*44/12</f>
        <v>11.578127729004889</v>
      </c>
      <c r="AB137" s="21">
        <f>EXP(-LN(2)/2)*AB136+(1-EXP(-LN(2)/2))/(LN(2)/2)*V137*Y137*VLOOKUP('Données projet'!$B$9,Paramètres!$A$1:$I$89,3,0)*0.475*44/12</f>
        <v>5.268800467342787E-7</v>
      </c>
      <c r="AC137" s="22">
        <f t="shared" si="111"/>
        <v>64.180304307018972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2.5579538487363607E-13</v>
      </c>
      <c r="AJ137" s="13">
        <f>AI137*VLOOKUP('Données projet'!$B$10,Paramètres!$A$1:$I$89,3,0)*VLOOKUP('Données projet'!$B$10,Paramètres!$A$1:$I$89,5,0)</f>
        <v>2.4341488824575211E-13</v>
      </c>
      <c r="AK137" s="13">
        <f t="shared" si="143"/>
        <v>3.2970717324875541E-12</v>
      </c>
      <c r="AL137" s="20">
        <f t="shared" si="112"/>
        <v>6.1663475311105072E-12</v>
      </c>
      <c r="AM137" s="59">
        <f t="shared" si="113"/>
        <v>293.33333333333945</v>
      </c>
      <c r="AN137" s="59">
        <f ca="1">AVERAGE(OFFSET($AM$3,0,0,'Données projet'!$E$10+1,1))-AVERAGE(OFFSET($H$3,0,0,'Données projet'!$E$10+1,1))</f>
        <v>449.28947235329758</v>
      </c>
      <c r="AO137" s="59">
        <f t="shared" si="144"/>
        <v>289.36994109443964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109.7611112084462</v>
      </c>
      <c r="AV137" s="21">
        <f>EXP(-LN(2)/25)*AV136+(1-EXP(-LN(2)/25))/(LN(2)/25)*Calculateur!AQ137*Calculateur!AS137*VLOOKUP('Données projet'!$B$10,Paramètres!$A$1:$I$89,3,0)*0.475*44/12</f>
        <v>22.159630569593681</v>
      </c>
      <c r="AW137" s="21">
        <f>EXP(-LN(2)/2)*AW136+(1-EXP(-LN(2)/2))/(LN(2)/2)*AQ137*AT137*VLOOKUP('Données projet'!$B$10,Paramètres!$A$1:$I$89,3,0)*0.475*44/12</f>
        <v>1.7903609934618776</v>
      </c>
      <c r="AX137" s="21">
        <f t="shared" si="114"/>
        <v>133.71110277150177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438.17654400000077</v>
      </c>
      <c r="BF137" s="13">
        <f t="shared" si="145"/>
        <v>99.474836110972063</v>
      </c>
      <c r="BG137" s="20">
        <f t="shared" si="115"/>
        <v>936.40948702661092</v>
      </c>
      <c r="BH137" s="59">
        <f t="shared" si="116"/>
        <v>1229.7428203599443</v>
      </c>
      <c r="BI137" s="59">
        <f ca="1">AVERAGE(OFFSET($BH$3,0,0,'Données projet'!$E$11+1,1))-AVERAGE(OFFSET($H$3,0,0,'Données projet'!$E$11+1,1))</f>
        <v>635.71275911100679</v>
      </c>
      <c r="BJ137" s="59">
        <f t="shared" si="146"/>
        <v>281.7776857269169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44.746279842031008</v>
      </c>
      <c r="BQ137" s="21">
        <f>EXP(-LN(2)/25)*BQ136+(1-EXP(-LN(2)/25))/(LN(2)/25)*Calculateur!BL137*Calculateur!BN137*VLOOKUP('Données projet'!$B$11,Paramètres!$A$1:$I$89,3,0)*0.475*44/12</f>
        <v>23.768759616615345</v>
      </c>
      <c r="BR137" s="21">
        <f>EXP(-LN(2)/2)*BR136+(1-EXP(-LN(2)/2))/(LN(2)/2)*BL137*BO137*VLOOKUP('Données projet'!$B$11,Paramètres!$A$1:$I$89,3,0)*0.475*44/12</f>
        <v>0.15956188554764478</v>
      </c>
      <c r="BS137" s="22">
        <f t="shared" si="117"/>
        <v>68.674601344194002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7.3375000000000012</v>
      </c>
      <c r="BY137" s="12">
        <f>IF('Données projet'!$A$114&gt;35,BY136+BX137-CG136,IF(A137&lt;'Données projet'!$A$114,$BV$205^A137,IF(A137='Données projet'!$A$114,'Données projet'!$B$114,BY136+BX137-CG136)))</f>
        <v>306.54500000000002</v>
      </c>
      <c r="BZ137" s="13">
        <f>BY137*VLOOKUP('Données projet'!$B$12,Paramètres!$A$1:$I$89,3,0)*VLOOKUP('Données projet'!$B$12,Paramètres!$A$1:$I$89,5,0)</f>
        <v>349.09344600000003</v>
      </c>
      <c r="CA137" s="13">
        <f t="shared" si="147"/>
        <v>81.375814187494555</v>
      </c>
      <c r="CB137" s="20">
        <f t="shared" si="118"/>
        <v>749.73396149321979</v>
      </c>
      <c r="CC137" s="59">
        <f t="shared" si="119"/>
        <v>1043.0672948265531</v>
      </c>
      <c r="CD137" s="59">
        <f ca="1">AVERAGE(OFFSET($CC$3,0,0,'Données projet'!$E$12+1,1))-AVERAGE(OFFSET($H$3,0,0,'Données projet'!$E$12+1,1))</f>
        <v>593.28343396240075</v>
      </c>
      <c r="CE137" s="59">
        <f t="shared" si="148"/>
        <v>289.66477662068695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31.483546868331096</v>
      </c>
      <c r="CL137" s="21">
        <f>EXP(-LN(2)/25)*CL136+(1-EXP(-LN(2)/25))/(LN(2)/25)*Calculateur!CG137*Calculateur!CI137*VLOOKUP('Données projet'!$B$12,Paramètres!$A$1:$I$89,3,0)*0.475*44/12</f>
        <v>25.542020684889685</v>
      </c>
      <c r="CM137" s="21">
        <f>EXP(-LN(2)/2)*CM136+(1-EXP(-LN(2)/2))/(LN(2)/2)*CG137*CJ137*VLOOKUP('Données projet'!$B$12,Paramètres!$A$1:$I$89,3,0)*0.475*44/12</f>
        <v>2.6965479616788528</v>
      </c>
      <c r="CN137" s="22">
        <f t="shared" si="120"/>
        <v>59.722115514899635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2.2737367544323206E-13</v>
      </c>
      <c r="CU137" s="17">
        <f>CT137*VLOOKUP('Données projet'!$B$13,Paramètres!$A$1:$I$89,3,0)*VLOOKUP('Données projet'!$B$13,Paramètres!$A$1:$I$89,5,0)</f>
        <v>2.3765096557326618E-13</v>
      </c>
      <c r="CV137" s="13">
        <f t="shared" si="149"/>
        <v>3.2279907425805489E-12</v>
      </c>
      <c r="CW137" s="20">
        <f t="shared" si="121"/>
        <v>6.0359926417012276E-12</v>
      </c>
      <c r="CX137" s="59">
        <f t="shared" si="122"/>
        <v>293.33333333333934</v>
      </c>
      <c r="CY137" s="59">
        <f ca="1">AVERAGE(OFFSET($CX$3,0,0,'Données projet'!$E$13+1,1))-AVERAGE(OFFSET($H$3,0,0,'Données projet'!$E$13+1,1))</f>
        <v>260.65406541614402</v>
      </c>
      <c r="CZ137" s="59">
        <f t="shared" si="150"/>
        <v>277.63456890196886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7.5368124766613773</v>
      </c>
      <c r="DG137" s="21">
        <f>EXP(-LN(2)/25)*DG136+(1-EXP(-LN(2)/25))/(LN(2)/25)*Calculateur!DB137*Calculateur!DD137*VLOOKUP('Données projet'!$B$13,Paramètres!$A$1:$I$89,3,0)*0.475*44/12</f>
        <v>14.626495070835094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22.163307547496473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2.2737367544323206E-13</v>
      </c>
      <c r="DP137" s="17">
        <f>DO137*VLOOKUP('Données projet'!$B$14,Paramètres!$A$1:$I$89,3,0)*VLOOKUP('Données projet'!$B$14,Paramètres!$A$1:$I$89,5,0)</f>
        <v>1.4897523215040565E-13</v>
      </c>
      <c r="DQ137" s="13">
        <f t="shared" si="151"/>
        <v>2.136562777003313E-12</v>
      </c>
      <c r="DR137" s="20">
        <f t="shared" si="124"/>
        <v>3.9806453659427267E-12</v>
      </c>
      <c r="DS137" s="59">
        <f t="shared" si="125"/>
        <v>293.33333333333729</v>
      </c>
      <c r="DT137" s="59">
        <f ca="1">AVERAGE(OFFSET($DS$3,0,0,'Données projet'!$E$14+1,1))-AVERAGE(OFFSET($H$3,0,0,'Données projet'!$E$14+1,1))</f>
        <v>181.4272795535777</v>
      </c>
      <c r="DU137" s="59">
        <f t="shared" si="152"/>
        <v>187.67131775419904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7.0727854656491038</v>
      </c>
      <c r="EB137" s="21">
        <f>EXP(-LN(2)/25)*EB136+(1-EXP(-LN(2)/25))/(LN(2)/25)*Calculateur!DW137*Calculateur!DY137*VLOOKUP('Données projet'!$B$14,Paramètres!$A$1:$I$89,3,0)*0.475*44/12</f>
        <v>5.3270417454309218</v>
      </c>
      <c r="EC137" s="21">
        <f>EXP(-LN(2)/2)*EC136+(1-EXP(-LN(2)/2))/(LN(2)/2)*DW137*DZ137*VLOOKUP('Données projet'!$B$14,Paramètres!$A$1:$I$89,3,0)*0.475*44/12</f>
        <v>5.9823822133289438E-6</v>
      </c>
      <c r="ED137" s="22">
        <f t="shared" si="126"/>
        <v>12.399833193462239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1.1368683772161603E-13</v>
      </c>
      <c r="EK137" s="17">
        <f>EJ137*VLOOKUP('Données projet'!$B$15,Paramètres!$A$1:$I$89,3,0)*VLOOKUP('Données projet'!$B$15,Paramètres!$A$1:$I$89,5,0)</f>
        <v>9.2222762759774927E-14</v>
      </c>
      <c r="EL137" s="13">
        <f t="shared" si="153"/>
        <v>1.3985662224947967E-12</v>
      </c>
      <c r="EM137" s="20">
        <f t="shared" si="127"/>
        <v>2.5964574826517121E-12</v>
      </c>
      <c r="EN137" s="59">
        <f t="shared" si="128"/>
        <v>293.33333333333593</v>
      </c>
      <c r="EO137" s="59">
        <f ca="1">AVERAGE(OFFSET($EN$3,0,0,'Données projet'!$E$15+1,1))-AVERAGE(OFFSET($H$3,0,0,'Données projet'!$E$15+1,1))</f>
        <v>159.68591355116837</v>
      </c>
      <c r="EP137" s="59">
        <f t="shared" si="154"/>
        <v>284.32631786390112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2.266680776678573</v>
      </c>
      <c r="EW137" s="21">
        <f>EXP(-LN(2)/25)*EW136+(1-EXP(-LN(2)/25))/(LN(2)/25)*Calculateur!ER137*Calculateur!ET137*VLOOKUP('Données projet'!$B$15,Paramètres!$A$1:$I$89,3,0)*0.475*44/12</f>
        <v>1.4260505852450611</v>
      </c>
      <c r="EX137" s="21">
        <f>EXP(-LN(2)/2)*EX136+(1-EXP(-LN(2)/2))/(LN(2)/2)*ER137*EU137*VLOOKUP('Données projet'!$B$15,Paramètres!$A$1:$I$89,3,0)*0.475*44/12</f>
        <v>2.0735139397356655E-13</v>
      </c>
      <c r="EY137" s="22">
        <f t="shared" si="129"/>
        <v>3.6927313619238418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-1.3567387213697657E-13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299.10536994156814</v>
      </c>
      <c r="FK137" s="59">
        <f t="shared" si="156"/>
        <v>292.57799203101769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13.942111378274005</v>
      </c>
      <c r="FR137" s="21">
        <f>EXP(-LN(2)/25)*FR136+(1-EXP(-LN(2)/25))/(LN(2)/25)*Calculateur!FM137*Calculateur!FO137*VLOOKUP('Données projet'!$B$16,Paramètres!$A$1:$I$89,3,0)*0.475*44/12</f>
        <v>9.4787794372503846</v>
      </c>
      <c r="FS137" s="21">
        <f>EXP(-LN(2)/2)*FS136+(1-EXP(-LN(2)/2))/(LN(2)/2)*FM137*FP137*VLOOKUP('Données projet'!$B$16,Paramètres!$A$1:$I$89,3,0)*0.475*44/12</f>
        <v>3.8728070844311193E-7</v>
      </c>
      <c r="FT137" s="22">
        <f t="shared" si="132"/>
        <v>23.420891202805095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5.6843418860808015E-14</v>
      </c>
      <c r="GA137" s="17">
        <f>FZ137*VLOOKUP('Données projet'!$B$17,Paramètres!$A$1:$I$89,3,0)*VLOOKUP('Données projet'!$B$17,Paramètres!$A$1:$I$89,5,0)</f>
        <v>5.1431925385259088E-14</v>
      </c>
      <c r="GB137" s="13">
        <f t="shared" si="157"/>
        <v>8.3482866290946129E-13</v>
      </c>
      <c r="GC137" s="20">
        <f t="shared" si="133"/>
        <v>1.5435705246133045E-12</v>
      </c>
      <c r="GD137" s="59">
        <f t="shared" si="134"/>
        <v>293.33333333333485</v>
      </c>
      <c r="GE137" s="59">
        <f ca="1">AVERAGE(OFFSET($GD$3,0,0,'Données projet'!$E$17+1,1))-AVERAGE(OFFSET($H$3,0,0,'Données projet'!$E$17+1,1))</f>
        <v>204.78565758021779</v>
      </c>
      <c r="GF137" s="59">
        <f t="shared" si="158"/>
        <v>287.25131613242439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2.6785894643274721</v>
      </c>
      <c r="GM137" s="21">
        <f>EXP(-LN(2)/25)*GM136+(1-EXP(-LN(2)/25))/(LN(2)/25)*Calculateur!GH137*Calculateur!GJ137*VLOOKUP('Données projet'!$B$17,Paramètres!$A$1:$I$89,3,0)*0.475*44/12</f>
        <v>1.1206401924403671</v>
      </c>
      <c r="GN137" s="21">
        <f>EXP(-LN(2)/2)*GN136+(1-EXP(-LN(2)/2))/(LN(2)/2)*GH137*GK137*VLOOKUP('Données projet'!$B$17,Paramètres!$A$1:$I$89,3,0)*0.475*44/12</f>
        <v>5.5430401004601631E-13</v>
      </c>
      <c r="GO137" s="21">
        <f t="shared" si="135"/>
        <v>3.7992296567683934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5.6843418860808015E-14</v>
      </c>
      <c r="GV137" s="17">
        <f>GU137*VLOOKUP('Données projet'!$B$18,Paramètres!$A$1:$I$89,3,0)*VLOOKUP('Données projet'!$B$18,Paramètres!$A$1:$I$89,5,0)</f>
        <v>4.4337866711430253E-14</v>
      </c>
      <c r="GW137" s="13">
        <f t="shared" si="159"/>
        <v>7.3222115536967035E-13</v>
      </c>
      <c r="GX137" s="20">
        <f t="shared" si="136"/>
        <v>1.3525069634579169E-12</v>
      </c>
      <c r="GY137" s="59">
        <f t="shared" si="137"/>
        <v>293.33333333333468</v>
      </c>
      <c r="GZ137" s="59">
        <f ca="1">AVERAGE(OFFSET($GY$3,0,0,'Données projet'!$E$18+1,1))-AVERAGE(OFFSET($H$3,0,0,'Données projet'!$E$18+1,1))</f>
        <v>288.82868507674738</v>
      </c>
      <c r="HA137" s="59">
        <f t="shared" si="160"/>
        <v>283.48738729114024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11.868570350368623</v>
      </c>
      <c r="HH137" s="21">
        <f>EXP(-LN(2)/25)*HH136+(1-EXP(-LN(2)/25))/(LN(2)/25)*Calculateur!HC137*Calculateur!HE137*VLOOKUP('Données projet'!$B$18,Paramètres!$A$1:$I$89,3,0)*0.475*44/12</f>
        <v>6.9827009309410286</v>
      </c>
      <c r="HI137" s="21">
        <f>EXP(-LN(2)/2)*HI136+(1-EXP(-LN(2)/2))/(LN(2)/2)*HC137*HF137*VLOOKUP('Données projet'!$B$18,Paramètres!$A$1:$I$89,3,0)*0.475*44/12</f>
        <v>1.0002636096662252E-8</v>
      </c>
      <c r="HJ137" s="22">
        <f t="shared" si="138"/>
        <v>18.851271291312287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349.71285006949597</v>
      </c>
      <c r="T138" s="59">
        <f t="shared" si="142"/>
        <v>258.51550516456842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51.570679462930649</v>
      </c>
      <c r="AA138" s="21">
        <f>EXP(-LN(2)/25)*AA137+(1-EXP(-LN(2)/25))/(LN(2)/25)*Calculateur!V138*Calculateur!X138*VLOOKUP('Données projet'!$B$9,Paramètres!$A$1:$I$89,3,0)*0.475*44/12</f>
        <v>11.261523217387975</v>
      </c>
      <c r="AB138" s="21">
        <f>EXP(-LN(2)/2)*AB137+(1-EXP(-LN(2)/2))/(LN(2)/2)*V138*Y138*VLOOKUP('Données projet'!$B$9,Paramètres!$A$1:$I$89,3,0)*0.475*44/12</f>
        <v>3.7256045391769355E-7</v>
      </c>
      <c r="AC138" s="22">
        <f t="shared" si="111"/>
        <v>62.83220305287908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2.5579538487363607E-13</v>
      </c>
      <c r="AJ138" s="13">
        <f>AI138*VLOOKUP('Données projet'!$B$10,Paramètres!$A$1:$I$89,3,0)*VLOOKUP('Données projet'!$B$10,Paramètres!$A$1:$I$89,5,0)</f>
        <v>2.4341488824575211E-13</v>
      </c>
      <c r="AK138" s="13">
        <f t="shared" si="143"/>
        <v>3.2970717324875541E-12</v>
      </c>
      <c r="AL138" s="20">
        <f t="shared" si="112"/>
        <v>6.1663475311105072E-12</v>
      </c>
      <c r="AM138" s="59">
        <f t="shared" si="113"/>
        <v>293.33333333333945</v>
      </c>
      <c r="AN138" s="59">
        <f ca="1">AVERAGE(OFFSET($AM$3,0,0,'Données projet'!$E$10+1,1))-AVERAGE(OFFSET($H$3,0,0,'Données projet'!$E$10+1,1))</f>
        <v>449.28947235329758</v>
      </c>
      <c r="AO138" s="59">
        <f t="shared" si="144"/>
        <v>289.36994109443964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107.60876276531587</v>
      </c>
      <c r="AV138" s="21">
        <f>EXP(-LN(2)/25)*AV137+(1-EXP(-LN(2)/25))/(LN(2)/25)*Calculateur!AQ138*Calculateur!AS138*VLOOKUP('Données projet'!$B$10,Paramètres!$A$1:$I$89,3,0)*0.475*44/12</f>
        <v>21.553674306343815</v>
      </c>
      <c r="AW138" s="21">
        <f>EXP(-LN(2)/2)*AW137+(1-EXP(-LN(2)/2))/(LN(2)/2)*AQ138*AT138*VLOOKUP('Données projet'!$B$10,Paramètres!$A$1:$I$89,3,0)*0.475*44/12</f>
        <v>1.2659763992487778</v>
      </c>
      <c r="AX138" s="21">
        <f t="shared" si="114"/>
        <v>130.42841347090848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391.45629120000086</v>
      </c>
      <c r="BF138" s="13">
        <f t="shared" si="145"/>
        <v>90.042388870129827</v>
      </c>
      <c r="BG138" s="20">
        <f t="shared" si="115"/>
        <v>838.6102011221443</v>
      </c>
      <c r="BH138" s="59">
        <f t="shared" si="116"/>
        <v>1131.9435344554777</v>
      </c>
      <c r="BI138" s="59">
        <f ca="1">AVERAGE(OFFSET($BH$3,0,0,'Données projet'!$E$11+1,1))-AVERAGE(OFFSET($H$3,0,0,'Données projet'!$E$11+1,1))</f>
        <v>635.71275911100679</v>
      </c>
      <c r="BJ138" s="59">
        <f t="shared" si="146"/>
        <v>281.7776857269169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43.868832586864571</v>
      </c>
      <c r="BQ138" s="21">
        <f>EXP(-LN(2)/25)*BQ137+(1-EXP(-LN(2)/25))/(LN(2)/25)*Calculateur!BL138*Calculateur!BN138*VLOOKUP('Données projet'!$B$11,Paramètres!$A$1:$I$89,3,0)*0.475*44/12</f>
        <v>23.118801634954256</v>
      </c>
      <c r="BR138" s="21">
        <f>EXP(-LN(2)/2)*BR137+(1-EXP(-LN(2)/2))/(LN(2)/2)*BL138*BO138*VLOOKUP('Données projet'!$B$11,Paramètres!$A$1:$I$89,3,0)*0.475*44/12</f>
        <v>0.1128272912896514</v>
      </c>
      <c r="BS138" s="22">
        <f t="shared" si="117"/>
        <v>67.100461513108471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7.3375000000000012</v>
      </c>
      <c r="BY138" s="12">
        <f>IF('Données projet'!$A$114&gt;35,BY137+BX138-CG137,IF(A138&lt;'Données projet'!$A$114,$BV$205^A138,IF(A138='Données projet'!$A$114,'Données projet'!$B$114,BY137+BX138-CG137)))</f>
        <v>313.88249999999999</v>
      </c>
      <c r="BZ138" s="13">
        <f>BY138*VLOOKUP('Données projet'!$B$12,Paramètres!$A$1:$I$89,3,0)*VLOOKUP('Données projet'!$B$12,Paramètres!$A$1:$I$89,5,0)</f>
        <v>357.44939099999999</v>
      </c>
      <c r="CA138" s="13">
        <f t="shared" si="147"/>
        <v>83.094533000636375</v>
      </c>
      <c r="CB138" s="20">
        <f t="shared" si="118"/>
        <v>767.28066763444167</v>
      </c>
      <c r="CC138" s="59">
        <f t="shared" si="119"/>
        <v>1060.6140009677749</v>
      </c>
      <c r="CD138" s="59">
        <f ca="1">AVERAGE(OFFSET($CC$3,0,0,'Données projet'!$E$12+1,1))-AVERAGE(OFFSET($H$3,0,0,'Données projet'!$E$12+1,1))</f>
        <v>593.28343396240075</v>
      </c>
      <c r="CE138" s="59">
        <f t="shared" si="148"/>
        <v>289.66477662068695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30.866173717310566</v>
      </c>
      <c r="CL138" s="21">
        <f>EXP(-LN(2)/25)*CL137+(1-EXP(-LN(2)/25))/(LN(2)/25)*Calculateur!CG138*Calculateur!CI138*VLOOKUP('Données projet'!$B$12,Paramètres!$A$1:$I$89,3,0)*0.475*44/12</f>
        <v>24.843572786064886</v>
      </c>
      <c r="CM138" s="21">
        <f>EXP(-LN(2)/2)*CM137+(1-EXP(-LN(2)/2))/(LN(2)/2)*CG138*CJ138*VLOOKUP('Données projet'!$B$12,Paramètres!$A$1:$I$89,3,0)*0.475*44/12</f>
        <v>1.9067473494978795</v>
      </c>
      <c r="CN138" s="22">
        <f t="shared" si="120"/>
        <v>57.616493852873333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2.2737367544323206E-13</v>
      </c>
      <c r="CU138" s="17">
        <f>CT138*VLOOKUP('Données projet'!$B$13,Paramètres!$A$1:$I$89,3,0)*VLOOKUP('Données projet'!$B$13,Paramètres!$A$1:$I$89,5,0)</f>
        <v>2.3765096557326618E-13</v>
      </c>
      <c r="CV138" s="13">
        <f t="shared" si="149"/>
        <v>3.2279907425805489E-12</v>
      </c>
      <c r="CW138" s="20">
        <f t="shared" si="121"/>
        <v>6.0359926417012276E-12</v>
      </c>
      <c r="CX138" s="59">
        <f t="shared" si="122"/>
        <v>293.33333333333934</v>
      </c>
      <c r="CY138" s="59">
        <f ca="1">AVERAGE(OFFSET($CX$3,0,0,'Données projet'!$E$13+1,1))-AVERAGE(OFFSET($H$3,0,0,'Données projet'!$E$13+1,1))</f>
        <v>260.65406541614402</v>
      </c>
      <c r="CZ138" s="59">
        <f t="shared" si="150"/>
        <v>277.63456890196886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7.3890201809957423</v>
      </c>
      <c r="DG138" s="21">
        <f>EXP(-LN(2)/25)*DG137+(1-EXP(-LN(2)/25))/(LN(2)/25)*Calculateur!DB138*Calculateur!DD138*VLOOKUP('Données projet'!$B$13,Paramètres!$A$1:$I$89,3,0)*0.475*44/12</f>
        <v>14.226532793949163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21.615552974944904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2.2737367544323206E-13</v>
      </c>
      <c r="DP138" s="17">
        <f>DO138*VLOOKUP('Données projet'!$B$14,Paramètres!$A$1:$I$89,3,0)*VLOOKUP('Données projet'!$B$14,Paramètres!$A$1:$I$89,5,0)</f>
        <v>1.4897523215040565E-13</v>
      </c>
      <c r="DQ138" s="13">
        <f t="shared" si="151"/>
        <v>2.136562777003313E-12</v>
      </c>
      <c r="DR138" s="20">
        <f t="shared" si="124"/>
        <v>3.9806453659427267E-12</v>
      </c>
      <c r="DS138" s="59">
        <f t="shared" si="125"/>
        <v>293.33333333333729</v>
      </c>
      <c r="DT138" s="59">
        <f ca="1">AVERAGE(OFFSET($DS$3,0,0,'Données projet'!$E$14+1,1))-AVERAGE(OFFSET($H$3,0,0,'Données projet'!$E$14+1,1))</f>
        <v>181.4272795535777</v>
      </c>
      <c r="DU138" s="59">
        <f t="shared" si="152"/>
        <v>187.67131775419904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6.9340924566408892</v>
      </c>
      <c r="EB138" s="21">
        <f>EXP(-LN(2)/25)*EB137+(1-EXP(-LN(2)/25))/(LN(2)/25)*Calculateur!DW138*Calculateur!DY138*VLOOKUP('Données projet'!$B$14,Paramètres!$A$1:$I$89,3,0)*0.475*44/12</f>
        <v>5.1813735087651631</v>
      </c>
      <c r="EC138" s="21">
        <f>EXP(-LN(2)/2)*EC137+(1-EXP(-LN(2)/2))/(LN(2)/2)*DW138*DZ138*VLOOKUP('Données projet'!$B$14,Paramètres!$A$1:$I$89,3,0)*0.475*44/12</f>
        <v>4.2301830306946833E-6</v>
      </c>
      <c r="ED138" s="22">
        <f t="shared" si="126"/>
        <v>12.115470195589083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1.1368683772161603E-13</v>
      </c>
      <c r="EK138" s="17">
        <f>EJ138*VLOOKUP('Données projet'!$B$15,Paramètres!$A$1:$I$89,3,0)*VLOOKUP('Données projet'!$B$15,Paramètres!$A$1:$I$89,5,0)</f>
        <v>9.2222762759774927E-14</v>
      </c>
      <c r="EL138" s="13">
        <f t="shared" si="153"/>
        <v>1.3985662224947967E-12</v>
      </c>
      <c r="EM138" s="20">
        <f t="shared" si="127"/>
        <v>2.5964574826517121E-12</v>
      </c>
      <c r="EN138" s="59">
        <f t="shared" si="128"/>
        <v>293.33333333333593</v>
      </c>
      <c r="EO138" s="59">
        <f ca="1">AVERAGE(OFFSET($EN$3,0,0,'Données projet'!$E$15+1,1))-AVERAGE(OFFSET($H$3,0,0,'Données projet'!$E$15+1,1))</f>
        <v>159.68591355116837</v>
      </c>
      <c r="EP138" s="59">
        <f t="shared" si="154"/>
        <v>284.32631786390112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2.2222325491866655</v>
      </c>
      <c r="EW138" s="21">
        <f>EXP(-LN(2)/25)*EW137+(1-EXP(-LN(2)/25))/(LN(2)/25)*Calculateur!ER138*Calculateur!ET138*VLOOKUP('Données projet'!$B$15,Paramètres!$A$1:$I$89,3,0)*0.475*44/12</f>
        <v>1.3870551569987939</v>
      </c>
      <c r="EX138" s="21">
        <f>EXP(-LN(2)/2)*EX137+(1-EXP(-LN(2)/2))/(LN(2)/2)*ER138*EU138*VLOOKUP('Données projet'!$B$15,Paramètres!$A$1:$I$89,3,0)*0.475*44/12</f>
        <v>1.4661957676719233E-13</v>
      </c>
      <c r="EY138" s="22">
        <f t="shared" si="129"/>
        <v>3.6092877061856061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-1.3567387213697657E-13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299.10536994156814</v>
      </c>
      <c r="FK138" s="59">
        <f t="shared" si="156"/>
        <v>292.57799203101769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13.668715077994307</v>
      </c>
      <c r="FR138" s="21">
        <f>EXP(-LN(2)/25)*FR137+(1-EXP(-LN(2)/25))/(LN(2)/25)*Calculateur!FM138*Calculateur!FO138*VLOOKUP('Données projet'!$B$16,Paramètres!$A$1:$I$89,3,0)*0.475*44/12</f>
        <v>9.2195817150714259</v>
      </c>
      <c r="FS138" s="21">
        <f>EXP(-LN(2)/2)*FS137+(1-EXP(-LN(2)/2))/(LN(2)/2)*FM138*FP138*VLOOKUP('Données projet'!$B$16,Paramètres!$A$1:$I$89,3,0)*0.475*44/12</f>
        <v>2.7384881516285465E-7</v>
      </c>
      <c r="FT138" s="22">
        <f t="shared" si="132"/>
        <v>22.88829706691455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5.6843418860808015E-14</v>
      </c>
      <c r="GA138" s="17">
        <f>FZ138*VLOOKUP('Données projet'!$B$17,Paramètres!$A$1:$I$89,3,0)*VLOOKUP('Données projet'!$B$17,Paramètres!$A$1:$I$89,5,0)</f>
        <v>5.1431925385259088E-14</v>
      </c>
      <c r="GB138" s="13">
        <f t="shared" si="157"/>
        <v>8.3482866290946129E-13</v>
      </c>
      <c r="GC138" s="20">
        <f t="shared" si="133"/>
        <v>1.5435705246133045E-12</v>
      </c>
      <c r="GD138" s="59">
        <f t="shared" si="134"/>
        <v>293.33333333333485</v>
      </c>
      <c r="GE138" s="59">
        <f ca="1">AVERAGE(OFFSET($GD$3,0,0,'Données projet'!$E$17+1,1))-AVERAGE(OFFSET($H$3,0,0,'Données projet'!$E$17+1,1))</f>
        <v>204.78565758021779</v>
      </c>
      <c r="GF138" s="59">
        <f t="shared" si="158"/>
        <v>287.25131613242439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2.6260639587102617</v>
      </c>
      <c r="GM138" s="21">
        <f>EXP(-LN(2)/25)*GM137+(1-EXP(-LN(2)/25))/(LN(2)/25)*Calculateur!GH138*Calculateur!GJ138*VLOOKUP('Données projet'!$B$17,Paramètres!$A$1:$I$89,3,0)*0.475*44/12</f>
        <v>1.0899962274461787</v>
      </c>
      <c r="GN138" s="21">
        <f>EXP(-LN(2)/2)*GN137+(1-EXP(-LN(2)/2))/(LN(2)/2)*GH138*GK138*VLOOKUP('Données projet'!$B$17,Paramètres!$A$1:$I$89,3,0)*0.475*44/12</f>
        <v>3.919521243424343E-13</v>
      </c>
      <c r="GO138" s="21">
        <f t="shared" si="135"/>
        <v>3.7160601861568323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5.6843418860808015E-14</v>
      </c>
      <c r="GV138" s="17">
        <f>GU138*VLOOKUP('Données projet'!$B$18,Paramètres!$A$1:$I$89,3,0)*VLOOKUP('Données projet'!$B$18,Paramètres!$A$1:$I$89,5,0)</f>
        <v>4.4337866711430253E-14</v>
      </c>
      <c r="GW138" s="13">
        <f t="shared" si="159"/>
        <v>7.3222115536967035E-13</v>
      </c>
      <c r="GX138" s="20">
        <f t="shared" si="136"/>
        <v>1.3525069634579169E-12</v>
      </c>
      <c r="GY138" s="59">
        <f t="shared" si="137"/>
        <v>293.33333333333468</v>
      </c>
      <c r="GZ138" s="59">
        <f ca="1">AVERAGE(OFFSET($GY$3,0,0,'Données projet'!$E$18+1,1))-AVERAGE(OFFSET($H$3,0,0,'Données projet'!$E$18+1,1))</f>
        <v>288.82868507674738</v>
      </c>
      <c r="HA138" s="59">
        <f t="shared" si="160"/>
        <v>283.48738729114024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11.635834924911006</v>
      </c>
      <c r="HH138" s="21">
        <f>EXP(-LN(2)/25)*HH137+(1-EXP(-LN(2)/25))/(LN(2)/25)*Calculateur!HC138*Calculateur!HE138*VLOOKUP('Données projet'!$B$18,Paramètres!$A$1:$I$89,3,0)*0.475*44/12</f>
        <v>6.7917586067801636</v>
      </c>
      <c r="HI138" s="21">
        <f>EXP(-LN(2)/2)*HI137+(1-EXP(-LN(2)/2))/(LN(2)/2)*HC138*HF138*VLOOKUP('Données projet'!$B$18,Paramètres!$A$1:$I$89,3,0)*0.475*44/12</f>
        <v>7.0729318136912169E-9</v>
      </c>
      <c r="HJ138" s="22">
        <f t="shared" si="138"/>
        <v>18.4275935387641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349.71285006949597</v>
      </c>
      <c r="T139" s="59">
        <f t="shared" si="142"/>
        <v>258.51550516456842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50.559409893671123</v>
      </c>
      <c r="AA139" s="21">
        <f>EXP(-LN(2)/25)*AA138+(1-EXP(-LN(2)/25))/(LN(2)/25)*Calculateur!V139*Calculateur!X139*VLOOKUP('Données projet'!$B$9,Paramètres!$A$1:$I$89,3,0)*0.475*44/12</f>
        <v>10.953576272790732</v>
      </c>
      <c r="AB139" s="21">
        <f>EXP(-LN(2)/2)*AB138+(1-EXP(-LN(2)/2))/(LN(2)/2)*V139*Y139*VLOOKUP('Données projet'!$B$9,Paramètres!$A$1:$I$89,3,0)*0.475*44/12</f>
        <v>2.6344002336713935E-7</v>
      </c>
      <c r="AC139" s="22">
        <f t="shared" si="111"/>
        <v>61.512986429901879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2.5579538487363607E-13</v>
      </c>
      <c r="AJ139" s="13">
        <f>AI139*VLOOKUP('Données projet'!$B$10,Paramètres!$A$1:$I$89,3,0)*VLOOKUP('Données projet'!$B$10,Paramètres!$A$1:$I$89,5,0)</f>
        <v>2.4341488824575211E-13</v>
      </c>
      <c r="AK139" s="13">
        <f t="shared" si="143"/>
        <v>3.2970717324875541E-12</v>
      </c>
      <c r="AL139" s="20">
        <f t="shared" si="112"/>
        <v>6.1663475311105072E-12</v>
      </c>
      <c r="AM139" s="59">
        <f t="shared" si="113"/>
        <v>293.33333333333945</v>
      </c>
      <c r="AN139" s="59">
        <f ca="1">AVERAGE(OFFSET($AM$3,0,0,'Données projet'!$E$10+1,1))-AVERAGE(OFFSET($H$3,0,0,'Données projet'!$E$10+1,1))</f>
        <v>449.28947235329758</v>
      </c>
      <c r="AO139" s="59">
        <f t="shared" si="144"/>
        <v>289.36994109443964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105.49862056235241</v>
      </c>
      <c r="AV139" s="21">
        <f>EXP(-LN(2)/25)*AV138+(1-EXP(-LN(2)/25))/(LN(2)/25)*Calculateur!AQ139*Calculateur!AS139*VLOOKUP('Données projet'!$B$10,Paramètres!$A$1:$I$89,3,0)*0.475*44/12</f>
        <v>20.964287948978374</v>
      </c>
      <c r="AW139" s="21">
        <f>EXP(-LN(2)/2)*AW138+(1-EXP(-LN(2)/2))/(LN(2)/2)*AQ139*AT139*VLOOKUP('Données projet'!$B$10,Paramètres!$A$1:$I$89,3,0)*0.475*44/12</f>
        <v>0.89518049673093891</v>
      </c>
      <c r="AX139" s="21">
        <f t="shared" si="114"/>
        <v>127.35808900806174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399.72978240000077</v>
      </c>
      <c r="BF139" s="13">
        <f t="shared" si="145"/>
        <v>91.721880595341759</v>
      </c>
      <c r="BG139" s="20">
        <f t="shared" si="115"/>
        <v>855.94497971688827</v>
      </c>
      <c r="BH139" s="59">
        <f t="shared" si="116"/>
        <v>1149.2783130502216</v>
      </c>
      <c r="BI139" s="59">
        <f ca="1">AVERAGE(OFFSET($BH$3,0,0,'Données projet'!$E$11+1,1))-AVERAGE(OFFSET($H$3,0,0,'Données projet'!$E$11+1,1))</f>
        <v>635.71275911100679</v>
      </c>
      <c r="BJ139" s="59">
        <f t="shared" si="146"/>
        <v>281.7776857269169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43.008591537181964</v>
      </c>
      <c r="BQ139" s="21">
        <f>EXP(-LN(2)/25)*BQ138+(1-EXP(-LN(2)/25))/(LN(2)/25)*Calculateur!BL139*Calculateur!BN139*VLOOKUP('Données projet'!$B$11,Paramètres!$A$1:$I$89,3,0)*0.475*44/12</f>
        <v>22.486616788481491</v>
      </c>
      <c r="BR139" s="21">
        <f>EXP(-LN(2)/2)*BR138+(1-EXP(-LN(2)/2))/(LN(2)/2)*BL139*BO139*VLOOKUP('Données projet'!$B$11,Paramètres!$A$1:$I$89,3,0)*0.475*44/12</f>
        <v>7.9780942773822389E-2</v>
      </c>
      <c r="BS139" s="22">
        <f t="shared" si="117"/>
        <v>65.574989268437278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7.3375000000000012</v>
      </c>
      <c r="BY139" s="12">
        <f>IF('Données projet'!$A$114&gt;35,BY138+BX139-CG138,IF(A139&lt;'Données projet'!$A$114,$BV$205^A139,IF(A139='Données projet'!$A$114,'Données projet'!$B$114,BY138+BX139-CG138)))</f>
        <v>321.21999999999997</v>
      </c>
      <c r="BZ139" s="13">
        <f>BY139*VLOOKUP('Données projet'!$B$12,Paramètres!$A$1:$I$89,3,0)*VLOOKUP('Données projet'!$B$12,Paramètres!$A$1:$I$89,5,0)</f>
        <v>365.80533599999995</v>
      </c>
      <c r="CA139" s="13">
        <f t="shared" si="147"/>
        <v>84.808581028546115</v>
      </c>
      <c r="CB139" s="20">
        <f t="shared" si="118"/>
        <v>784.81923882471767</v>
      </c>
      <c r="CC139" s="59">
        <f t="shared" si="119"/>
        <v>1078.152572158051</v>
      </c>
      <c r="CD139" s="59">
        <f ca="1">AVERAGE(OFFSET($CC$3,0,0,'Données projet'!$E$12+1,1))-AVERAGE(OFFSET($H$3,0,0,'Données projet'!$E$12+1,1))</f>
        <v>593.28343396240075</v>
      </c>
      <c r="CE139" s="59">
        <f t="shared" si="148"/>
        <v>289.66477662068695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30.26090687722111</v>
      </c>
      <c r="CL139" s="21">
        <f>EXP(-LN(2)/25)*CL138+(1-EXP(-LN(2)/25))/(LN(2)/25)*Calculateur!CG139*Calculateur!CI139*VLOOKUP('Données projet'!$B$12,Paramètres!$A$1:$I$89,3,0)*0.475*44/12</f>
        <v>24.164223981763229</v>
      </c>
      <c r="CM139" s="21">
        <f>EXP(-LN(2)/2)*CM138+(1-EXP(-LN(2)/2))/(LN(2)/2)*CG139*CJ139*VLOOKUP('Données projet'!$B$12,Paramètres!$A$1:$I$89,3,0)*0.475*44/12</f>
        <v>1.3482739808394266</v>
      </c>
      <c r="CN139" s="22">
        <f t="shared" si="120"/>
        <v>55.773404839823769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2.2737367544323206E-13</v>
      </c>
      <c r="CU139" s="17">
        <f>CT139*VLOOKUP('Données projet'!$B$13,Paramètres!$A$1:$I$89,3,0)*VLOOKUP('Données projet'!$B$13,Paramètres!$A$1:$I$89,5,0)</f>
        <v>2.3765096557326618E-13</v>
      </c>
      <c r="CV139" s="13">
        <f t="shared" si="149"/>
        <v>3.2279907425805489E-12</v>
      </c>
      <c r="CW139" s="20">
        <f t="shared" si="121"/>
        <v>6.0359926417012276E-12</v>
      </c>
      <c r="CX139" s="59">
        <f t="shared" si="122"/>
        <v>293.33333333333934</v>
      </c>
      <c r="CY139" s="59">
        <f ca="1">AVERAGE(OFFSET($CX$3,0,0,'Données projet'!$E$13+1,1))-AVERAGE(OFFSET($H$3,0,0,'Données projet'!$E$13+1,1))</f>
        <v>260.65406541614402</v>
      </c>
      <c r="CZ139" s="59">
        <f t="shared" si="150"/>
        <v>277.63456890196886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7.2441260021037106</v>
      </c>
      <c r="DG139" s="21">
        <f>EXP(-LN(2)/25)*DG138+(1-EXP(-LN(2)/25))/(LN(2)/25)*Calculateur!DB139*Calculateur!DD139*VLOOKUP('Données projet'!$B$13,Paramètres!$A$1:$I$89,3,0)*0.475*44/12</f>
        <v>13.837507506557779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21.08163350866149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2.2737367544323206E-13</v>
      </c>
      <c r="DP139" s="17">
        <f>DO139*VLOOKUP('Données projet'!$B$14,Paramètres!$A$1:$I$89,3,0)*VLOOKUP('Données projet'!$B$14,Paramètres!$A$1:$I$89,5,0)</f>
        <v>1.4897523215040565E-13</v>
      </c>
      <c r="DQ139" s="13">
        <f t="shared" si="151"/>
        <v>2.136562777003313E-12</v>
      </c>
      <c r="DR139" s="20">
        <f t="shared" si="124"/>
        <v>3.9806453659427267E-12</v>
      </c>
      <c r="DS139" s="59">
        <f t="shared" si="125"/>
        <v>293.33333333333729</v>
      </c>
      <c r="DT139" s="59">
        <f ca="1">AVERAGE(OFFSET($DS$3,0,0,'Données projet'!$E$14+1,1))-AVERAGE(OFFSET($H$3,0,0,'Données projet'!$E$14+1,1))</f>
        <v>181.4272795535777</v>
      </c>
      <c r="DU139" s="59">
        <f t="shared" si="152"/>
        <v>187.67131775419904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6.7981191329449437</v>
      </c>
      <c r="EB139" s="21">
        <f>EXP(-LN(2)/25)*EB138+(1-EXP(-LN(2)/25))/(LN(2)/25)*Calculateur!DW139*Calculateur!DY139*VLOOKUP('Données projet'!$B$14,Paramètres!$A$1:$I$89,3,0)*0.475*44/12</f>
        <v>5.0396885776913889</v>
      </c>
      <c r="EC139" s="21">
        <f>EXP(-LN(2)/2)*EC138+(1-EXP(-LN(2)/2))/(LN(2)/2)*DW139*DZ139*VLOOKUP('Données projet'!$B$14,Paramètres!$A$1:$I$89,3,0)*0.475*44/12</f>
        <v>2.9911911066644719E-6</v>
      </c>
      <c r="ED139" s="22">
        <f t="shared" si="126"/>
        <v>11.83781070182744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1.1368683772161603E-13</v>
      </c>
      <c r="EK139" s="17">
        <f>EJ139*VLOOKUP('Données projet'!$B$15,Paramètres!$A$1:$I$89,3,0)*VLOOKUP('Données projet'!$B$15,Paramètres!$A$1:$I$89,5,0)</f>
        <v>9.2222762759774927E-14</v>
      </c>
      <c r="EL139" s="13">
        <f t="shared" si="153"/>
        <v>1.3985662224947967E-12</v>
      </c>
      <c r="EM139" s="20">
        <f t="shared" si="127"/>
        <v>2.5964574826517121E-12</v>
      </c>
      <c r="EN139" s="59">
        <f t="shared" si="128"/>
        <v>293.33333333333593</v>
      </c>
      <c r="EO139" s="59">
        <f ca="1">AVERAGE(OFFSET($EN$3,0,0,'Données projet'!$E$15+1,1))-AVERAGE(OFFSET($H$3,0,0,'Données projet'!$E$15+1,1))</f>
        <v>159.68591355116837</v>
      </c>
      <c r="EP139" s="59">
        <f t="shared" si="154"/>
        <v>284.32631786390112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2.1786559243251324</v>
      </c>
      <c r="EW139" s="21">
        <f>EXP(-LN(2)/25)*EW138+(1-EXP(-LN(2)/25))/(LN(2)/25)*Calculateur!ER139*Calculateur!ET139*VLOOKUP('Données projet'!$B$15,Paramètres!$A$1:$I$89,3,0)*0.475*44/12</f>
        <v>1.3491260607886013</v>
      </c>
      <c r="EX139" s="21">
        <f>EXP(-LN(2)/2)*EX138+(1-EXP(-LN(2)/2))/(LN(2)/2)*ER139*EU139*VLOOKUP('Données projet'!$B$15,Paramètres!$A$1:$I$89,3,0)*0.475*44/12</f>
        <v>1.0367569698678328E-13</v>
      </c>
      <c r="EY139" s="22">
        <f t="shared" si="129"/>
        <v>3.5277819851138372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-1.3567387213697657E-13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299.10536994156814</v>
      </c>
      <c r="FK139" s="59">
        <f t="shared" si="156"/>
        <v>292.57799203101769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13.400679912407817</v>
      </c>
      <c r="FR139" s="21">
        <f>EXP(-LN(2)/25)*FR138+(1-EXP(-LN(2)/25))/(LN(2)/25)*Calculateur!FM139*Calculateur!FO139*VLOOKUP('Données projet'!$B$16,Paramètres!$A$1:$I$89,3,0)*0.475*44/12</f>
        <v>8.9674717682360665</v>
      </c>
      <c r="FS139" s="21">
        <f>EXP(-LN(2)/2)*FS138+(1-EXP(-LN(2)/2))/(LN(2)/2)*FM139*FP139*VLOOKUP('Données projet'!$B$16,Paramètres!$A$1:$I$89,3,0)*0.475*44/12</f>
        <v>1.9364035422155597E-7</v>
      </c>
      <c r="FT139" s="22">
        <f t="shared" si="132"/>
        <v>22.368151874284237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5.6843418860808015E-14</v>
      </c>
      <c r="GA139" s="17">
        <f>FZ139*VLOOKUP('Données projet'!$B$17,Paramètres!$A$1:$I$89,3,0)*VLOOKUP('Données projet'!$B$17,Paramètres!$A$1:$I$89,5,0)</f>
        <v>5.1431925385259088E-14</v>
      </c>
      <c r="GB139" s="13">
        <f t="shared" si="157"/>
        <v>8.3482866290946129E-13</v>
      </c>
      <c r="GC139" s="20">
        <f t="shared" si="133"/>
        <v>1.5435705246133045E-12</v>
      </c>
      <c r="GD139" s="59">
        <f t="shared" si="134"/>
        <v>293.33333333333485</v>
      </c>
      <c r="GE139" s="59">
        <f ca="1">AVERAGE(OFFSET($GD$3,0,0,'Données projet'!$E$17+1,1))-AVERAGE(OFFSET($H$3,0,0,'Données projet'!$E$17+1,1))</f>
        <v>204.78565758021779</v>
      </c>
      <c r="GF139" s="59">
        <f t="shared" si="158"/>
        <v>287.25131613242439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2.5745684462208094</v>
      </c>
      <c r="GM139" s="21">
        <f>EXP(-LN(2)/25)*GM138+(1-EXP(-LN(2)/25))/(LN(2)/25)*Calculateur!GH139*Calculateur!GJ139*VLOOKUP('Données projet'!$B$17,Paramètres!$A$1:$I$89,3,0)*0.475*44/12</f>
        <v>1.0601902232862526</v>
      </c>
      <c r="GN139" s="21">
        <f>EXP(-LN(2)/2)*GN138+(1-EXP(-LN(2)/2))/(LN(2)/2)*GH139*GK139*VLOOKUP('Données projet'!$B$17,Paramètres!$A$1:$I$89,3,0)*0.475*44/12</f>
        <v>2.7715200502300815E-13</v>
      </c>
      <c r="GO139" s="21">
        <f t="shared" si="135"/>
        <v>3.6347586695073391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5.6843418860808015E-14</v>
      </c>
      <c r="GV139" s="17">
        <f>GU139*VLOOKUP('Données projet'!$B$18,Paramètres!$A$1:$I$89,3,0)*VLOOKUP('Données projet'!$B$18,Paramètres!$A$1:$I$89,5,0)</f>
        <v>4.4337866711430253E-14</v>
      </c>
      <c r="GW139" s="13">
        <f t="shared" si="159"/>
        <v>7.3222115536967035E-13</v>
      </c>
      <c r="GX139" s="20">
        <f t="shared" si="136"/>
        <v>1.3525069634579169E-12</v>
      </c>
      <c r="GY139" s="59">
        <f t="shared" si="137"/>
        <v>293.33333333333468</v>
      </c>
      <c r="GZ139" s="59">
        <f ca="1">AVERAGE(OFFSET($GY$3,0,0,'Données projet'!$E$18+1,1))-AVERAGE(OFFSET($H$3,0,0,'Données projet'!$E$18+1,1))</f>
        <v>288.82868507674738</v>
      </c>
      <c r="HA139" s="59">
        <f t="shared" si="160"/>
        <v>283.48738729114024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11.407663299192018</v>
      </c>
      <c r="HH139" s="21">
        <f>EXP(-LN(2)/25)*HH138+(1-EXP(-LN(2)/25))/(LN(2)/25)*Calculateur!HC139*Calculateur!HE139*VLOOKUP('Données projet'!$B$18,Paramètres!$A$1:$I$89,3,0)*0.475*44/12</f>
        <v>6.6060376105146981</v>
      </c>
      <c r="HI139" s="21">
        <f>EXP(-LN(2)/2)*HI138+(1-EXP(-LN(2)/2))/(LN(2)/2)*HC139*HF139*VLOOKUP('Données projet'!$B$18,Paramètres!$A$1:$I$89,3,0)*0.475*44/12</f>
        <v>5.0013180483311259E-9</v>
      </c>
      <c r="HJ139" s="22">
        <f t="shared" si="138"/>
        <v>18.013700914708036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349.71285006949597</v>
      </c>
      <c r="T140" s="59">
        <f t="shared" si="142"/>
        <v>258.51550516456842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49.567970703851252</v>
      </c>
      <c r="AA140" s="21">
        <f>EXP(-LN(2)/25)*AA139+(1-EXP(-LN(2)/25))/(LN(2)/25)*Calculateur!V140*Calculateur!X140*VLOOKUP('Données projet'!$B$9,Paramètres!$A$1:$I$89,3,0)*0.475*44/12</f>
        <v>10.654050153587729</v>
      </c>
      <c r="AB140" s="21">
        <f>EXP(-LN(2)/2)*AB139+(1-EXP(-LN(2)/2))/(LN(2)/2)*V140*Y140*VLOOKUP('Données projet'!$B$9,Paramètres!$A$1:$I$89,3,0)*0.475*44/12</f>
        <v>1.8628022695884677E-7</v>
      </c>
      <c r="AC140" s="22">
        <f t="shared" si="111"/>
        <v>60.222021043719202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2.5579538487363607E-13</v>
      </c>
      <c r="AJ140" s="13">
        <f>AI140*VLOOKUP('Données projet'!$B$10,Paramètres!$A$1:$I$89,3,0)*VLOOKUP('Données projet'!$B$10,Paramètres!$A$1:$I$89,5,0)</f>
        <v>2.4341488824575211E-13</v>
      </c>
      <c r="AK140" s="13">
        <f t="shared" si="143"/>
        <v>3.2970717324875541E-12</v>
      </c>
      <c r="AL140" s="20">
        <f t="shared" si="112"/>
        <v>6.1663475311105072E-12</v>
      </c>
      <c r="AM140" s="59">
        <f t="shared" si="113"/>
        <v>293.33333333333945</v>
      </c>
      <c r="AN140" s="59">
        <f ca="1">AVERAGE(OFFSET($AM$3,0,0,'Données projet'!$E$10+1,1))-AVERAGE(OFFSET($H$3,0,0,'Données projet'!$E$10+1,1))</f>
        <v>449.28947235329758</v>
      </c>
      <c r="AO140" s="59">
        <f t="shared" si="144"/>
        <v>289.36994109443964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103.42985696092941</v>
      </c>
      <c r="AV140" s="21">
        <f>EXP(-LN(2)/25)*AV139+(1-EXP(-LN(2)/25))/(LN(2)/25)*Calculateur!AQ140*Calculateur!AS140*VLOOKUP('Données projet'!$B$10,Paramètres!$A$1:$I$89,3,0)*0.475*44/12</f>
        <v>20.391018392549572</v>
      </c>
      <c r="AW140" s="21">
        <f>EXP(-LN(2)/2)*AW139+(1-EXP(-LN(2)/2))/(LN(2)/2)*AQ140*AT140*VLOOKUP('Données projet'!$B$10,Paramètres!$A$1:$I$89,3,0)*0.475*44/12</f>
        <v>0.63298819962438901</v>
      </c>
      <c r="AX140" s="21">
        <f t="shared" si="114"/>
        <v>124.45386355310337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408.00327360000085</v>
      </c>
      <c r="BF140" s="13">
        <f t="shared" si="145"/>
        <v>93.397330631669121</v>
      </c>
      <c r="BG140" s="20">
        <f t="shared" si="115"/>
        <v>873.27271903682515</v>
      </c>
      <c r="BH140" s="59">
        <f t="shared" si="116"/>
        <v>1166.6060523701585</v>
      </c>
      <c r="BI140" s="59">
        <f ca="1">AVERAGE(OFFSET($BH$3,0,0,'Données projet'!$E$11+1,1))-AVERAGE(OFFSET($H$3,0,0,'Données projet'!$E$11+1,1))</f>
        <v>635.71275911100679</v>
      </c>
      <c r="BJ140" s="59">
        <f t="shared" si="146"/>
        <v>281.7776857269169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42.165219289788404</v>
      </c>
      <c r="BQ140" s="21">
        <f>EXP(-LN(2)/25)*BQ139+(1-EXP(-LN(2)/25))/(LN(2)/25)*Calculateur!BL140*Calculateur!BN140*VLOOKUP('Données projet'!$B$11,Paramètres!$A$1:$I$89,3,0)*0.475*44/12</f>
        <v>21.871719069880683</v>
      </c>
      <c r="BR140" s="21">
        <f>EXP(-LN(2)/2)*BR139+(1-EXP(-LN(2)/2))/(LN(2)/2)*BL140*BO140*VLOOKUP('Données projet'!$B$11,Paramètres!$A$1:$I$89,3,0)*0.475*44/12</f>
        <v>5.6413645644825698E-2</v>
      </c>
      <c r="BS140" s="22">
        <f t="shared" si="117"/>
        <v>64.093352005313903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7.3375000000000012</v>
      </c>
      <c r="BY140" s="12">
        <f>IF('Données projet'!$A$114&gt;35,BY139+BX140-CG139,IF(A140&lt;'Données projet'!$A$114,$BV$205^A140,IF(A140='Données projet'!$A$114,'Données projet'!$B$114,BY139+BX140-CG139)))</f>
        <v>328.55749999999995</v>
      </c>
      <c r="BZ140" s="13">
        <f>BY140*VLOOKUP('Données projet'!$B$12,Paramètres!$A$1:$I$89,3,0)*VLOOKUP('Données projet'!$B$12,Paramètres!$A$1:$I$89,5,0)</f>
        <v>374.16128099999997</v>
      </c>
      <c r="CA140" s="13">
        <f t="shared" si="147"/>
        <v>86.518077245851956</v>
      </c>
      <c r="CB140" s="20">
        <f t="shared" si="118"/>
        <v>802.34988227819213</v>
      </c>
      <c r="CC140" s="59">
        <f t="shared" si="119"/>
        <v>1095.6832156115254</v>
      </c>
      <c r="CD140" s="59">
        <f ca="1">AVERAGE(OFFSET($CC$3,0,0,'Données projet'!$E$12+1,1))-AVERAGE(OFFSET($H$3,0,0,'Données projet'!$E$12+1,1))</f>
        <v>593.28343396240075</v>
      </c>
      <c r="CE140" s="59">
        <f t="shared" si="148"/>
        <v>289.66477662068695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29.667508950689488</v>
      </c>
      <c r="CL140" s="21">
        <f>EXP(-LN(2)/25)*CL139+(1-EXP(-LN(2)/25))/(LN(2)/25)*Calculateur!CG140*Calculateur!CI140*VLOOKUP('Données projet'!$B$12,Paramètres!$A$1:$I$89,3,0)*0.475*44/12</f>
        <v>23.503452006240604</v>
      </c>
      <c r="CM140" s="21">
        <f>EXP(-LN(2)/2)*CM139+(1-EXP(-LN(2)/2))/(LN(2)/2)*CG140*CJ140*VLOOKUP('Données projet'!$B$12,Paramètres!$A$1:$I$89,3,0)*0.475*44/12</f>
        <v>0.95337367474893986</v>
      </c>
      <c r="CN140" s="22">
        <f t="shared" si="120"/>
        <v>54.124334631679027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2.2737367544323206E-13</v>
      </c>
      <c r="CU140" s="17">
        <f>CT140*VLOOKUP('Données projet'!$B$13,Paramètres!$A$1:$I$89,3,0)*VLOOKUP('Données projet'!$B$13,Paramètres!$A$1:$I$89,5,0)</f>
        <v>2.3765096557326618E-13</v>
      </c>
      <c r="CV140" s="13">
        <f t="shared" si="149"/>
        <v>3.2279907425805489E-12</v>
      </c>
      <c r="CW140" s="20">
        <f t="shared" si="121"/>
        <v>6.0359926417012276E-12</v>
      </c>
      <c r="CX140" s="59">
        <f t="shared" si="122"/>
        <v>293.33333333333934</v>
      </c>
      <c r="CY140" s="59">
        <f ca="1">AVERAGE(OFFSET($CX$3,0,0,'Données projet'!$E$13+1,1))-AVERAGE(OFFSET($H$3,0,0,'Données projet'!$E$13+1,1))</f>
        <v>260.65406541614402</v>
      </c>
      <c r="CZ140" s="59">
        <f t="shared" si="150"/>
        <v>277.63456890196886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7.1020731096830296</v>
      </c>
      <c r="DG140" s="21">
        <f>EXP(-LN(2)/25)*DG139+(1-EXP(-LN(2)/25))/(LN(2)/25)*Calculateur!DB140*Calculateur!DD140*VLOOKUP('Données projet'!$B$13,Paramètres!$A$1:$I$89,3,0)*0.475*44/12</f>
        <v>13.459120136108064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20.561193245791095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2.2737367544323206E-13</v>
      </c>
      <c r="DP140" s="17">
        <f>DO140*VLOOKUP('Données projet'!$B$14,Paramètres!$A$1:$I$89,3,0)*VLOOKUP('Données projet'!$B$14,Paramètres!$A$1:$I$89,5,0)</f>
        <v>1.4897523215040565E-13</v>
      </c>
      <c r="DQ140" s="13">
        <f t="shared" si="151"/>
        <v>2.136562777003313E-12</v>
      </c>
      <c r="DR140" s="20">
        <f t="shared" si="124"/>
        <v>3.9806453659427267E-12</v>
      </c>
      <c r="DS140" s="59">
        <f t="shared" si="125"/>
        <v>293.33333333333729</v>
      </c>
      <c r="DT140" s="59">
        <f ca="1">AVERAGE(OFFSET($DS$3,0,0,'Données projet'!$E$14+1,1))-AVERAGE(OFFSET($H$3,0,0,'Données projet'!$E$14+1,1))</f>
        <v>181.4272795535777</v>
      </c>
      <c r="DU140" s="59">
        <f t="shared" si="152"/>
        <v>187.67131775419904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6.6648121631911375</v>
      </c>
      <c r="EB140" s="21">
        <f>EXP(-LN(2)/25)*EB139+(1-EXP(-LN(2)/25))/(LN(2)/25)*Calculateur!DW140*Calculateur!DY140*VLOOKUP('Données projet'!$B$14,Paramètres!$A$1:$I$89,3,0)*0.475*44/12</f>
        <v>4.9018780285087136</v>
      </c>
      <c r="EC140" s="21">
        <f>EXP(-LN(2)/2)*EC139+(1-EXP(-LN(2)/2))/(LN(2)/2)*DW140*DZ140*VLOOKUP('Données projet'!$B$14,Paramètres!$A$1:$I$89,3,0)*0.475*44/12</f>
        <v>2.1150915153473416E-6</v>
      </c>
      <c r="ED140" s="22">
        <f t="shared" si="126"/>
        <v>11.566692306791367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1.1368683772161603E-13</v>
      </c>
      <c r="EK140" s="17">
        <f>EJ140*VLOOKUP('Données projet'!$B$15,Paramètres!$A$1:$I$89,3,0)*VLOOKUP('Données projet'!$B$15,Paramètres!$A$1:$I$89,5,0)</f>
        <v>9.2222762759774927E-14</v>
      </c>
      <c r="EL140" s="13">
        <f t="shared" si="153"/>
        <v>1.3985662224947967E-12</v>
      </c>
      <c r="EM140" s="20">
        <f t="shared" si="127"/>
        <v>2.5964574826517121E-12</v>
      </c>
      <c r="EN140" s="59">
        <f t="shared" si="128"/>
        <v>293.33333333333593</v>
      </c>
      <c r="EO140" s="59">
        <f ca="1">AVERAGE(OFFSET($EN$3,0,0,'Données projet'!$E$15+1,1))-AVERAGE(OFFSET($H$3,0,0,'Données projet'!$E$15+1,1))</f>
        <v>159.68591355116837</v>
      </c>
      <c r="EP140" s="59">
        <f t="shared" si="154"/>
        <v>284.32631786390112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2.1359338104980177</v>
      </c>
      <c r="EW140" s="21">
        <f>EXP(-LN(2)/25)*EW139+(1-EXP(-LN(2)/25))/(LN(2)/25)*Calculateur!ER140*Calculateur!ET140*VLOOKUP('Données projet'!$B$15,Paramètres!$A$1:$I$89,3,0)*0.475*44/12</f>
        <v>1.3122341377088809</v>
      </c>
      <c r="EX140" s="21">
        <f>EXP(-LN(2)/2)*EX139+(1-EXP(-LN(2)/2))/(LN(2)/2)*ER140*EU140*VLOOKUP('Données projet'!$B$15,Paramètres!$A$1:$I$89,3,0)*0.475*44/12</f>
        <v>7.3309788383596167E-14</v>
      </c>
      <c r="EY140" s="22">
        <f t="shared" si="129"/>
        <v>3.4481679482069718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-1.3567387213697657E-13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299.10536994156814</v>
      </c>
      <c r="FK140" s="59">
        <f t="shared" si="156"/>
        <v>292.57799203101769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13.13790075293317</v>
      </c>
      <c r="FR140" s="21">
        <f>EXP(-LN(2)/25)*FR139+(1-EXP(-LN(2)/25))/(LN(2)/25)*Calculateur!FM140*Calculateur!FO140*VLOOKUP('Données projet'!$B$16,Paramètres!$A$1:$I$89,3,0)*0.475*44/12</f>
        <v>8.7222557811548072</v>
      </c>
      <c r="FS140" s="21">
        <f>EXP(-LN(2)/2)*FS139+(1-EXP(-LN(2)/2))/(LN(2)/2)*FM140*FP140*VLOOKUP('Données projet'!$B$16,Paramètres!$A$1:$I$89,3,0)*0.475*44/12</f>
        <v>1.3692440758142733E-7</v>
      </c>
      <c r="FT140" s="22">
        <f t="shared" si="132"/>
        <v>21.860156671012383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5.6843418860808015E-14</v>
      </c>
      <c r="GA140" s="17">
        <f>FZ140*VLOOKUP('Données projet'!$B$17,Paramètres!$A$1:$I$89,3,0)*VLOOKUP('Données projet'!$B$17,Paramètres!$A$1:$I$89,5,0)</f>
        <v>5.1431925385259088E-14</v>
      </c>
      <c r="GB140" s="13">
        <f t="shared" si="157"/>
        <v>8.3482866290946129E-13</v>
      </c>
      <c r="GC140" s="20">
        <f t="shared" si="133"/>
        <v>1.5435705246133045E-12</v>
      </c>
      <c r="GD140" s="59">
        <f t="shared" si="134"/>
        <v>293.33333333333485</v>
      </c>
      <c r="GE140" s="59">
        <f ca="1">AVERAGE(OFFSET($GD$3,0,0,'Données projet'!$E$17+1,1))-AVERAGE(OFFSET($H$3,0,0,'Données projet'!$E$17+1,1))</f>
        <v>204.78565758021779</v>
      </c>
      <c r="GF140" s="59">
        <f t="shared" si="158"/>
        <v>287.25131613242439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2.5240827293221142</v>
      </c>
      <c r="GM140" s="21">
        <f>EXP(-LN(2)/25)*GM139+(1-EXP(-LN(2)/25))/(LN(2)/25)*Calculateur!GH140*Calculateur!GJ140*VLOOKUP('Données projet'!$B$17,Paramètres!$A$1:$I$89,3,0)*0.475*44/12</f>
        <v>1.0311992658775093</v>
      </c>
      <c r="GN140" s="21">
        <f>EXP(-LN(2)/2)*GN139+(1-EXP(-LN(2)/2))/(LN(2)/2)*GH140*GK140*VLOOKUP('Données projet'!$B$17,Paramètres!$A$1:$I$89,3,0)*0.475*44/12</f>
        <v>1.9597606217121715E-13</v>
      </c>
      <c r="GO140" s="21">
        <f t="shared" si="135"/>
        <v>3.5552819951998194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5.6843418860808015E-14</v>
      </c>
      <c r="GV140" s="17">
        <f>GU140*VLOOKUP('Données projet'!$B$18,Paramètres!$A$1:$I$89,3,0)*VLOOKUP('Données projet'!$B$18,Paramètres!$A$1:$I$89,5,0)</f>
        <v>4.4337866711430253E-14</v>
      </c>
      <c r="GW140" s="13">
        <f t="shared" si="159"/>
        <v>7.3222115536967035E-13</v>
      </c>
      <c r="GX140" s="20">
        <f t="shared" si="136"/>
        <v>1.3525069634579169E-12</v>
      </c>
      <c r="GY140" s="59">
        <f t="shared" si="137"/>
        <v>293.33333333333468</v>
      </c>
      <c r="GZ140" s="59">
        <f ca="1">AVERAGE(OFFSET($GY$3,0,0,'Données projet'!$E$18+1,1))-AVERAGE(OFFSET($H$3,0,0,'Données projet'!$E$18+1,1))</f>
        <v>288.82868507674738</v>
      </c>
      <c r="HA140" s="59">
        <f t="shared" si="160"/>
        <v>283.48738729114024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11.183965979882432</v>
      </c>
      <c r="HH140" s="21">
        <f>EXP(-LN(2)/25)*HH139+(1-EXP(-LN(2)/25))/(LN(2)/25)*Calculateur!HC140*Calculateur!HE140*VLOOKUP('Données projet'!$B$18,Paramètres!$A$1:$I$89,3,0)*0.475*44/12</f>
        <v>6.4253951646587542</v>
      </c>
      <c r="HI140" s="21">
        <f>EXP(-LN(2)/2)*HI139+(1-EXP(-LN(2)/2))/(LN(2)/2)*HC140*HF140*VLOOKUP('Données projet'!$B$18,Paramètres!$A$1:$I$89,3,0)*0.475*44/12</f>
        <v>3.5364659068456084E-9</v>
      </c>
      <c r="HJ140" s="22">
        <f t="shared" si="138"/>
        <v>17.609361148077653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349.71285006949597</v>
      </c>
      <c r="T141" s="59">
        <f t="shared" si="142"/>
        <v>258.51550516456842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48.595973031825551</v>
      </c>
      <c r="AA141" s="21">
        <f>EXP(-LN(2)/25)*AA140+(1-EXP(-LN(2)/25))/(LN(2)/25)*Calculateur!V141*Calculateur!X141*VLOOKUP('Données projet'!$B$9,Paramètres!$A$1:$I$89,3,0)*0.475*44/12</f>
        <v>10.362714591865725</v>
      </c>
      <c r="AB141" s="21">
        <f>EXP(-LN(2)/2)*AB140+(1-EXP(-LN(2)/2))/(LN(2)/2)*V141*Y141*VLOOKUP('Données projet'!$B$9,Paramètres!$A$1:$I$89,3,0)*0.475*44/12</f>
        <v>1.3172001168356967E-7</v>
      </c>
      <c r="AC141" s="22">
        <f t="shared" si="111"/>
        <v>58.95868775541129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2.5579538487363607E-13</v>
      </c>
      <c r="AJ141" s="13">
        <f>AI141*VLOOKUP('Données projet'!$B$10,Paramètres!$A$1:$I$89,3,0)*VLOOKUP('Données projet'!$B$10,Paramètres!$A$1:$I$89,5,0)</f>
        <v>2.4341488824575211E-13</v>
      </c>
      <c r="AK141" s="13">
        <f t="shared" si="143"/>
        <v>3.2970717324875541E-12</v>
      </c>
      <c r="AL141" s="20">
        <f t="shared" si="112"/>
        <v>6.1663475311105072E-12</v>
      </c>
      <c r="AM141" s="59">
        <f t="shared" si="113"/>
        <v>293.33333333333945</v>
      </c>
      <c r="AN141" s="59">
        <f ca="1">AVERAGE(OFFSET($AM$3,0,0,'Données projet'!$E$10+1,1))-AVERAGE(OFFSET($H$3,0,0,'Données projet'!$E$10+1,1))</f>
        <v>449.28947235329758</v>
      </c>
      <c r="AO141" s="59">
        <f t="shared" si="144"/>
        <v>289.36994109443964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101.40166055190912</v>
      </c>
      <c r="AV141" s="21">
        <f>EXP(-LN(2)/25)*AV140+(1-EXP(-LN(2)/25))/(LN(2)/25)*Calculateur!AQ141*Calculateur!AS141*VLOOKUP('Données projet'!$B$10,Paramètres!$A$1:$I$89,3,0)*0.475*44/12</f>
        <v>19.833424922288252</v>
      </c>
      <c r="AW141" s="21">
        <f>EXP(-LN(2)/2)*AW140+(1-EXP(-LN(2)/2))/(LN(2)/2)*AQ141*AT141*VLOOKUP('Données projet'!$B$10,Paramètres!$A$1:$I$89,3,0)*0.475*44/12</f>
        <v>0.44759024836546951</v>
      </c>
      <c r="AX141" s="21">
        <f t="shared" si="114"/>
        <v>121.68267572256285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416.27676480000082</v>
      </c>
      <c r="BF141" s="13">
        <f t="shared" si="145"/>
        <v>95.068830381071379</v>
      </c>
      <c r="BG141" s="20">
        <f t="shared" si="115"/>
        <v>890.5935782737007</v>
      </c>
      <c r="BH141" s="59">
        <f t="shared" si="116"/>
        <v>1183.9269116070341</v>
      </c>
      <c r="BI141" s="59">
        <f ca="1">AVERAGE(OFFSET($BH$3,0,0,'Données projet'!$E$11+1,1))-AVERAGE(OFFSET($H$3,0,0,'Données projet'!$E$11+1,1))</f>
        <v>635.71275911100679</v>
      </c>
      <c r="BJ141" s="59">
        <f t="shared" si="146"/>
        <v>281.7776857269169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41.338385057759957</v>
      </c>
      <c r="BQ141" s="21">
        <f>EXP(-LN(2)/25)*BQ140+(1-EXP(-LN(2)/25))/(LN(2)/25)*Calculateur!BL141*Calculateur!BN141*VLOOKUP('Données projet'!$B$11,Paramètres!$A$1:$I$89,3,0)*0.475*44/12</f>
        <v>21.273635761731079</v>
      </c>
      <c r="BR141" s="21">
        <f>EXP(-LN(2)/2)*BR140+(1-EXP(-LN(2)/2))/(LN(2)/2)*BL141*BO141*VLOOKUP('Données projet'!$B$11,Paramètres!$A$1:$I$89,3,0)*0.475*44/12</f>
        <v>3.9890471386911194E-2</v>
      </c>
      <c r="BS141" s="22">
        <f t="shared" si="117"/>
        <v>62.651911290877948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7.3375000000000012</v>
      </c>
      <c r="BY141" s="12">
        <f>IF('Données projet'!$A$114&gt;35,BY140+BX141-CG140,IF(A141&lt;'Données projet'!$A$114,$BV$205^A141,IF(A141='Données projet'!$A$114,'Données projet'!$B$114,BY140+BX141-CG140)))</f>
        <v>335.89499999999992</v>
      </c>
      <c r="BZ141" s="13">
        <f>BY141*VLOOKUP('Données projet'!$B$12,Paramètres!$A$1:$I$89,3,0)*VLOOKUP('Données projet'!$B$12,Paramètres!$A$1:$I$89,5,0)</f>
        <v>382.51722599999994</v>
      </c>
      <c r="CA141" s="13">
        <f t="shared" si="147"/>
        <v>88.223135009812083</v>
      </c>
      <c r="CB141" s="20">
        <f t="shared" si="118"/>
        <v>819.87279542542262</v>
      </c>
      <c r="CC141" s="59">
        <f t="shared" si="119"/>
        <v>1113.206128758756</v>
      </c>
      <c r="CD141" s="59">
        <f ca="1">AVERAGE(OFFSET($CC$3,0,0,'Données projet'!$E$12+1,1))-AVERAGE(OFFSET($H$3,0,0,'Données projet'!$E$12+1,1))</f>
        <v>593.28343396240075</v>
      </c>
      <c r="CE141" s="59">
        <f t="shared" si="148"/>
        <v>289.66477662068695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29.085747195560156</v>
      </c>
      <c r="CL141" s="21">
        <f>EXP(-LN(2)/25)*CL140+(1-EXP(-LN(2)/25))/(LN(2)/25)*Calculateur!CG141*Calculateur!CI141*VLOOKUP('Données projet'!$B$12,Paramètres!$A$1:$I$89,3,0)*0.475*44/12</f>
        <v>22.86074887513713</v>
      </c>
      <c r="CM141" s="21">
        <f>EXP(-LN(2)/2)*CM140+(1-EXP(-LN(2)/2))/(LN(2)/2)*CG141*CJ141*VLOOKUP('Données projet'!$B$12,Paramètres!$A$1:$I$89,3,0)*0.475*44/12</f>
        <v>0.67413699041971342</v>
      </c>
      <c r="CN141" s="22">
        <f t="shared" si="120"/>
        <v>52.620633061116997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2.2737367544323206E-13</v>
      </c>
      <c r="CU141" s="17">
        <f>CT141*VLOOKUP('Données projet'!$B$13,Paramètres!$A$1:$I$89,3,0)*VLOOKUP('Données projet'!$B$13,Paramètres!$A$1:$I$89,5,0)</f>
        <v>2.3765096557326618E-13</v>
      </c>
      <c r="CV141" s="13">
        <f t="shared" si="149"/>
        <v>3.2279907425805489E-12</v>
      </c>
      <c r="CW141" s="20">
        <f t="shared" si="121"/>
        <v>6.0359926417012276E-12</v>
      </c>
      <c r="CX141" s="59">
        <f t="shared" si="122"/>
        <v>293.33333333333934</v>
      </c>
      <c r="CY141" s="59">
        <f ca="1">AVERAGE(OFFSET($CX$3,0,0,'Données projet'!$E$13+1,1))-AVERAGE(OFFSET($H$3,0,0,'Données projet'!$E$13+1,1))</f>
        <v>260.65406541614402</v>
      </c>
      <c r="CZ141" s="59">
        <f t="shared" si="150"/>
        <v>277.63456890196886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6.9628057878390086</v>
      </c>
      <c r="DG141" s="21">
        <f>EXP(-LN(2)/25)*DG140+(1-EXP(-LN(2)/25))/(LN(2)/25)*Calculateur!DB141*Calculateur!DD141*VLOOKUP('Données projet'!$B$13,Paramètres!$A$1:$I$89,3,0)*0.475*44/12</f>
        <v>13.091079788201823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20.05388557604083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2.2737367544323206E-13</v>
      </c>
      <c r="DP141" s="17">
        <f>DO141*VLOOKUP('Données projet'!$B$14,Paramètres!$A$1:$I$89,3,0)*VLOOKUP('Données projet'!$B$14,Paramètres!$A$1:$I$89,5,0)</f>
        <v>1.4897523215040565E-13</v>
      </c>
      <c r="DQ141" s="13">
        <f t="shared" si="151"/>
        <v>2.136562777003313E-12</v>
      </c>
      <c r="DR141" s="20">
        <f t="shared" si="124"/>
        <v>3.9806453659427267E-12</v>
      </c>
      <c r="DS141" s="59">
        <f t="shared" si="125"/>
        <v>293.33333333333729</v>
      </c>
      <c r="DT141" s="59">
        <f ca="1">AVERAGE(OFFSET($DS$3,0,0,'Données projet'!$E$14+1,1))-AVERAGE(OFFSET($H$3,0,0,'Données projet'!$E$14+1,1))</f>
        <v>181.4272795535777</v>
      </c>
      <c r="DU141" s="59">
        <f t="shared" si="152"/>
        <v>187.67131775419904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6.5341192618049799</v>
      </c>
      <c r="EB141" s="21">
        <f>EXP(-LN(2)/25)*EB140+(1-EXP(-LN(2)/25))/(LN(2)/25)*Calculateur!DW141*Calculateur!DY141*VLOOKUP('Données projet'!$B$14,Paramètres!$A$1:$I$89,3,0)*0.475*44/12</f>
        <v>4.767835916040581</v>
      </c>
      <c r="EC141" s="21">
        <f>EXP(-LN(2)/2)*EC140+(1-EXP(-LN(2)/2))/(LN(2)/2)*DW141*DZ141*VLOOKUP('Données projet'!$B$14,Paramètres!$A$1:$I$89,3,0)*0.475*44/12</f>
        <v>1.495595553332236E-6</v>
      </c>
      <c r="ED141" s="22">
        <f t="shared" si="126"/>
        <v>11.301956673441113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1.1368683772161603E-13</v>
      </c>
      <c r="EK141" s="17">
        <f>EJ141*VLOOKUP('Données projet'!$B$15,Paramètres!$A$1:$I$89,3,0)*VLOOKUP('Données projet'!$B$15,Paramètres!$A$1:$I$89,5,0)</f>
        <v>9.2222762759774927E-14</v>
      </c>
      <c r="EL141" s="13">
        <f t="shared" si="153"/>
        <v>1.3985662224947967E-12</v>
      </c>
      <c r="EM141" s="20">
        <f t="shared" si="127"/>
        <v>2.5964574826517121E-12</v>
      </c>
      <c r="EN141" s="59">
        <f t="shared" si="128"/>
        <v>293.33333333333593</v>
      </c>
      <c r="EO141" s="59">
        <f ca="1">AVERAGE(OFFSET($EN$3,0,0,'Données projet'!$E$15+1,1))-AVERAGE(OFFSET($H$3,0,0,'Données projet'!$E$15+1,1))</f>
        <v>159.68591355116837</v>
      </c>
      <c r="EP141" s="59">
        <f t="shared" si="154"/>
        <v>284.32631786390112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2.094049451265136</v>
      </c>
      <c r="EW141" s="21">
        <f>EXP(-LN(2)/25)*EW140+(1-EXP(-LN(2)/25))/(LN(2)/25)*Calculateur!ER141*Calculateur!ET141*VLOOKUP('Données projet'!$B$15,Paramètres!$A$1:$I$89,3,0)*0.475*44/12</f>
        <v>1.2763510262058373</v>
      </c>
      <c r="EX141" s="21">
        <f>EXP(-LN(2)/2)*EX140+(1-EXP(-LN(2)/2))/(LN(2)/2)*ER141*EU141*VLOOKUP('Données projet'!$B$15,Paramètres!$A$1:$I$89,3,0)*0.475*44/12</f>
        <v>5.1837848493391639E-14</v>
      </c>
      <c r="EY141" s="22">
        <f t="shared" si="129"/>
        <v>3.370400477471025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-1.3567387213697657E-13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299.10536994156814</v>
      </c>
      <c r="FK141" s="59">
        <f t="shared" si="156"/>
        <v>292.57799203101769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12.88027453249636</v>
      </c>
      <c r="FR141" s="21">
        <f>EXP(-LN(2)/25)*FR140+(1-EXP(-LN(2)/25))/(LN(2)/25)*Calculateur!FM141*Calculateur!FO141*VLOOKUP('Données projet'!$B$16,Paramètres!$A$1:$I$89,3,0)*0.475*44/12</f>
        <v>8.4837452381356329</v>
      </c>
      <c r="FS141" s="21">
        <f>EXP(-LN(2)/2)*FS140+(1-EXP(-LN(2)/2))/(LN(2)/2)*FM141*FP141*VLOOKUP('Données projet'!$B$16,Paramètres!$A$1:$I$89,3,0)*0.475*44/12</f>
        <v>9.6820177110777983E-8</v>
      </c>
      <c r="FT141" s="22">
        <f t="shared" si="132"/>
        <v>21.364019867452168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5.6843418860808015E-14</v>
      </c>
      <c r="GA141" s="17">
        <f>FZ141*VLOOKUP('Données projet'!$B$17,Paramètres!$A$1:$I$89,3,0)*VLOOKUP('Données projet'!$B$17,Paramètres!$A$1:$I$89,5,0)</f>
        <v>5.1431925385259088E-14</v>
      </c>
      <c r="GB141" s="13">
        <f t="shared" si="157"/>
        <v>8.3482866290946129E-13</v>
      </c>
      <c r="GC141" s="20">
        <f t="shared" si="133"/>
        <v>1.5435705246133045E-12</v>
      </c>
      <c r="GD141" s="59">
        <f t="shared" si="134"/>
        <v>293.33333333333485</v>
      </c>
      <c r="GE141" s="59">
        <f ca="1">AVERAGE(OFFSET($GD$3,0,0,'Données projet'!$E$17+1,1))-AVERAGE(OFFSET($H$3,0,0,'Données projet'!$E$17+1,1))</f>
        <v>204.78565758021779</v>
      </c>
      <c r="GF141" s="59">
        <f t="shared" si="158"/>
        <v>287.25131613242439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2.4745870065385556</v>
      </c>
      <c r="GM141" s="21">
        <f>EXP(-LN(2)/25)*GM140+(1-EXP(-LN(2)/25))/(LN(2)/25)*Calculateur!GH141*Calculateur!GJ141*VLOOKUP('Données projet'!$B$17,Paramètres!$A$1:$I$89,3,0)*0.475*44/12</f>
        <v>1.0030010677236763</v>
      </c>
      <c r="GN141" s="21">
        <f>EXP(-LN(2)/2)*GN140+(1-EXP(-LN(2)/2))/(LN(2)/2)*GH141*GK141*VLOOKUP('Données projet'!$B$17,Paramètres!$A$1:$I$89,3,0)*0.475*44/12</f>
        <v>1.3857600251150408E-13</v>
      </c>
      <c r="GO141" s="21">
        <f t="shared" si="135"/>
        <v>3.4775880742623704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5.6843418860808015E-14</v>
      </c>
      <c r="GV141" s="17">
        <f>GU141*VLOOKUP('Données projet'!$B$18,Paramètres!$A$1:$I$89,3,0)*VLOOKUP('Données projet'!$B$18,Paramètres!$A$1:$I$89,5,0)</f>
        <v>4.4337866711430253E-14</v>
      </c>
      <c r="GW141" s="13">
        <f t="shared" si="159"/>
        <v>7.3222115536967035E-13</v>
      </c>
      <c r="GX141" s="20">
        <f t="shared" si="136"/>
        <v>1.3525069634579169E-12</v>
      </c>
      <c r="GY141" s="59">
        <f t="shared" si="137"/>
        <v>293.33333333333468</v>
      </c>
      <c r="GZ141" s="59">
        <f ca="1">AVERAGE(OFFSET($GY$3,0,0,'Données projet'!$E$18+1,1))-AVERAGE(OFFSET($H$3,0,0,'Données projet'!$E$18+1,1))</f>
        <v>288.82868507674738</v>
      </c>
      <c r="HA141" s="59">
        <f t="shared" si="160"/>
        <v>283.48738729114024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10.964655228562613</v>
      </c>
      <c r="HH141" s="21">
        <f>EXP(-LN(2)/25)*HH140+(1-EXP(-LN(2)/25))/(LN(2)/25)*Calculateur!HC141*Calculateur!HE141*VLOOKUP('Données projet'!$B$18,Paramètres!$A$1:$I$89,3,0)*0.475*44/12</f>
        <v>6.2496923959843143</v>
      </c>
      <c r="HI141" s="21">
        <f>EXP(-LN(2)/2)*HI140+(1-EXP(-LN(2)/2))/(LN(2)/2)*HC141*HF141*VLOOKUP('Données projet'!$B$18,Paramètres!$A$1:$I$89,3,0)*0.475*44/12</f>
        <v>2.500659024165563E-9</v>
      </c>
      <c r="HJ141" s="22">
        <f t="shared" si="138"/>
        <v>17.214347627047587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349.71285006949597</v>
      </c>
      <c r="T142" s="59">
        <f t="shared" si="142"/>
        <v>258.51550516456842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47.643035641288236</v>
      </c>
      <c r="AA142" s="21">
        <f>EXP(-LN(2)/25)*AA141+(1-EXP(-LN(2)/25))/(LN(2)/25)*Calculateur!V142*Calculateur!X142*VLOOKUP('Données projet'!$B$9,Paramètres!$A$1:$I$89,3,0)*0.475*44/12</f>
        <v>10.07934561639968</v>
      </c>
      <c r="AB142" s="21">
        <f>EXP(-LN(2)/2)*AB141+(1-EXP(-LN(2)/2))/(LN(2)/2)*V142*Y142*VLOOKUP('Données projet'!$B$9,Paramètres!$A$1:$I$89,3,0)*0.475*44/12</f>
        <v>9.3140113479423386E-8</v>
      </c>
      <c r="AC142" s="22">
        <f t="shared" si="111"/>
        <v>57.72238135082803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2.5579538487363607E-13</v>
      </c>
      <c r="AJ142" s="13">
        <f>AI142*VLOOKUP('Données projet'!$B$10,Paramètres!$A$1:$I$89,3,0)*VLOOKUP('Données projet'!$B$10,Paramètres!$A$1:$I$89,5,0)</f>
        <v>2.4341488824575211E-13</v>
      </c>
      <c r="AK142" s="13">
        <f t="shared" si="143"/>
        <v>3.2970717324875541E-12</v>
      </c>
      <c r="AL142" s="20">
        <f t="shared" si="112"/>
        <v>6.1663475311105072E-12</v>
      </c>
      <c r="AM142" s="59">
        <f t="shared" si="113"/>
        <v>293.33333333333945</v>
      </c>
      <c r="AN142" s="59">
        <f ca="1">AVERAGE(OFFSET($AM$3,0,0,'Données projet'!$E$10+1,1))-AVERAGE(OFFSET($H$3,0,0,'Données projet'!$E$10+1,1))</f>
        <v>449.28947235329758</v>
      </c>
      <c r="AO142" s="59">
        <f t="shared" si="144"/>
        <v>289.36994109443964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99.413235837392037</v>
      </c>
      <c r="AV142" s="21">
        <f>EXP(-LN(2)/25)*AV141+(1-EXP(-LN(2)/25))/(LN(2)/25)*Calculateur!AQ142*Calculateur!AS142*VLOOKUP('Données projet'!$B$10,Paramètres!$A$1:$I$89,3,0)*0.475*44/12</f>
        <v>19.291078874793794</v>
      </c>
      <c r="AW142" s="21">
        <f>EXP(-LN(2)/2)*AW141+(1-EXP(-LN(2)/2))/(LN(2)/2)*AQ142*AT142*VLOOKUP('Données projet'!$B$10,Paramètres!$A$1:$I$89,3,0)*0.475*44/12</f>
        <v>0.31649409981219451</v>
      </c>
      <c r="AX142" s="21">
        <f t="shared" si="114"/>
        <v>119.02080881199802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424.55025600000084</v>
      </c>
      <c r="BF142" s="13">
        <f t="shared" si="145"/>
        <v>96.736467404516418</v>
      </c>
      <c r="BG142" s="20">
        <f t="shared" si="115"/>
        <v>907.90770992953412</v>
      </c>
      <c r="BH142" s="59">
        <f t="shared" si="116"/>
        <v>1201.2410432628674</v>
      </c>
      <c r="BI142" s="59">
        <f ca="1">AVERAGE(OFFSET($BH$3,0,0,'Données projet'!$E$11+1,1))-AVERAGE(OFFSET($H$3,0,0,'Données projet'!$E$11+1,1))</f>
        <v>635.71275911100679</v>
      </c>
      <c r="BJ142" s="59">
        <f t="shared" si="146"/>
        <v>281.7776857269169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40.527764540702499</v>
      </c>
      <c r="BQ142" s="21">
        <f>EXP(-LN(2)/25)*BQ141+(1-EXP(-LN(2)/25))/(LN(2)/25)*Calculateur!BL142*Calculateur!BN142*VLOOKUP('Données projet'!$B$11,Paramètres!$A$1:$I$89,3,0)*0.475*44/12</f>
        <v>20.691907073094658</v>
      </c>
      <c r="BR142" s="21">
        <f>EXP(-LN(2)/2)*BR141+(1-EXP(-LN(2)/2))/(LN(2)/2)*BL142*BO142*VLOOKUP('Données projet'!$B$11,Paramètres!$A$1:$I$89,3,0)*0.475*44/12</f>
        <v>2.8206822822412849E-2</v>
      </c>
      <c r="BS142" s="22">
        <f t="shared" si="117"/>
        <v>61.247878436619573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7.3375000000000012</v>
      </c>
      <c r="BY142" s="12">
        <f>IF('Données projet'!$A$114&gt;35,BY141+BX142-CG141,IF(A142&lt;'Données projet'!$A$114,$BV$205^A142,IF(A142='Données projet'!$A$114,'Données projet'!$B$114,BY141+BX142-CG141)))</f>
        <v>343.2324999999999</v>
      </c>
      <c r="BZ142" s="13">
        <f>BY142*VLOOKUP('Données projet'!$B$12,Paramètres!$A$1:$I$89,3,0)*VLOOKUP('Données projet'!$B$12,Paramètres!$A$1:$I$89,5,0)</f>
        <v>390.8731709999999</v>
      </c>
      <c r="CA142" s="13">
        <f t="shared" si="147"/>
        <v>89.923862442362179</v>
      </c>
      <c r="CB142" s="20">
        <f t="shared" si="118"/>
        <v>837.38816657878067</v>
      </c>
      <c r="CC142" s="59">
        <f t="shared" si="119"/>
        <v>1130.721499912114</v>
      </c>
      <c r="CD142" s="59">
        <f ca="1">AVERAGE(OFFSET($CC$3,0,0,'Données projet'!$E$12+1,1))-AVERAGE(OFFSET($H$3,0,0,'Données projet'!$E$12+1,1))</f>
        <v>593.28343396240075</v>
      </c>
      <c r="CE142" s="59">
        <f t="shared" si="148"/>
        <v>289.66477662068695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28.515393433609276</v>
      </c>
      <c r="CL142" s="21">
        <f>EXP(-LN(2)/25)*CL141+(1-EXP(-LN(2)/25))/(LN(2)/25)*Calculateur!CG142*Calculateur!CI142*VLOOKUP('Données projet'!$B$12,Paramètres!$A$1:$I$89,3,0)*0.475*44/12</f>
        <v>22.23562049495197</v>
      </c>
      <c r="CM142" s="21">
        <f>EXP(-LN(2)/2)*CM141+(1-EXP(-LN(2)/2))/(LN(2)/2)*CG142*CJ142*VLOOKUP('Données projet'!$B$12,Paramètres!$A$1:$I$89,3,0)*0.475*44/12</f>
        <v>0.47668683737447004</v>
      </c>
      <c r="CN142" s="22">
        <f t="shared" si="120"/>
        <v>51.227700765935722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2.2737367544323206E-13</v>
      </c>
      <c r="CU142" s="17">
        <f>CT142*VLOOKUP('Données projet'!$B$13,Paramètres!$A$1:$I$89,3,0)*VLOOKUP('Données projet'!$B$13,Paramètres!$A$1:$I$89,5,0)</f>
        <v>2.3765096557326618E-13</v>
      </c>
      <c r="CV142" s="13">
        <f t="shared" si="149"/>
        <v>3.2279907425805489E-12</v>
      </c>
      <c r="CW142" s="20">
        <f t="shared" si="121"/>
        <v>6.0359926417012276E-12</v>
      </c>
      <c r="CX142" s="59">
        <f t="shared" si="122"/>
        <v>293.33333333333934</v>
      </c>
      <c r="CY142" s="59">
        <f ca="1">AVERAGE(OFFSET($CX$3,0,0,'Données projet'!$E$13+1,1))-AVERAGE(OFFSET($H$3,0,0,'Données projet'!$E$13+1,1))</f>
        <v>260.65406541614402</v>
      </c>
      <c r="CZ142" s="59">
        <f t="shared" si="150"/>
        <v>277.63456890196886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6.8262694132316701</v>
      </c>
      <c r="DG142" s="21">
        <f>EXP(-LN(2)/25)*DG141+(1-EXP(-LN(2)/25))/(LN(2)/25)*Calculateur!DB142*Calculateur!DD142*VLOOKUP('Données projet'!$B$13,Paramètres!$A$1:$I$89,3,0)*0.475*44/12</f>
        <v>12.733103522963479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19.55937293619515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2.2737367544323206E-13</v>
      </c>
      <c r="DP142" s="17">
        <f>DO142*VLOOKUP('Données projet'!$B$14,Paramètres!$A$1:$I$89,3,0)*VLOOKUP('Données projet'!$B$14,Paramètres!$A$1:$I$89,5,0)</f>
        <v>1.4897523215040565E-13</v>
      </c>
      <c r="DQ142" s="13">
        <f t="shared" si="151"/>
        <v>2.136562777003313E-12</v>
      </c>
      <c r="DR142" s="20">
        <f t="shared" si="124"/>
        <v>3.9806453659427267E-12</v>
      </c>
      <c r="DS142" s="59">
        <f t="shared" si="125"/>
        <v>293.33333333333729</v>
      </c>
      <c r="DT142" s="59">
        <f ca="1">AVERAGE(OFFSET($DS$3,0,0,'Données projet'!$E$14+1,1))-AVERAGE(OFFSET($H$3,0,0,'Données projet'!$E$14+1,1))</f>
        <v>181.4272795535777</v>
      </c>
      <c r="DU142" s="59">
        <f t="shared" si="152"/>
        <v>187.67131775419904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6.4059891685002066</v>
      </c>
      <c r="EB142" s="21">
        <f>EXP(-LN(2)/25)*EB141+(1-EXP(-LN(2)/25))/(LN(2)/25)*Calculateur!DW142*Calculateur!DY142*VLOOKUP('Données projet'!$B$14,Paramètres!$A$1:$I$89,3,0)*0.475*44/12</f>
        <v>4.6374591921868573</v>
      </c>
      <c r="EC142" s="21">
        <f>EXP(-LN(2)/2)*EC141+(1-EXP(-LN(2)/2))/(LN(2)/2)*DW142*DZ142*VLOOKUP('Données projet'!$B$14,Paramètres!$A$1:$I$89,3,0)*0.475*44/12</f>
        <v>1.0575457576736708E-6</v>
      </c>
      <c r="ED142" s="22">
        <f t="shared" si="126"/>
        <v>11.043449418232822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1.1368683772161603E-13</v>
      </c>
      <c r="EK142" s="17">
        <f>EJ142*VLOOKUP('Données projet'!$B$15,Paramètres!$A$1:$I$89,3,0)*VLOOKUP('Données projet'!$B$15,Paramètres!$A$1:$I$89,5,0)</f>
        <v>9.2222762759774927E-14</v>
      </c>
      <c r="EL142" s="13">
        <f t="shared" si="153"/>
        <v>1.3985662224947967E-12</v>
      </c>
      <c r="EM142" s="20">
        <f t="shared" si="127"/>
        <v>2.5964574826517121E-12</v>
      </c>
      <c r="EN142" s="59">
        <f t="shared" si="128"/>
        <v>293.33333333333593</v>
      </c>
      <c r="EO142" s="59">
        <f ca="1">AVERAGE(OFFSET($EN$3,0,0,'Données projet'!$E$15+1,1))-AVERAGE(OFFSET($H$3,0,0,'Données projet'!$E$15+1,1))</f>
        <v>159.68591355116837</v>
      </c>
      <c r="EP142" s="59">
        <f t="shared" si="154"/>
        <v>284.32631786390112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2.0529864187698745</v>
      </c>
      <c r="EW142" s="21">
        <f>EXP(-LN(2)/25)*EW141+(1-EXP(-LN(2)/25))/(LN(2)/25)*Calculateur!ER142*Calculateur!ET142*VLOOKUP('Données projet'!$B$15,Paramètres!$A$1:$I$89,3,0)*0.475*44/12</f>
        <v>1.2414491402738554</v>
      </c>
      <c r="EX142" s="21">
        <f>EXP(-LN(2)/2)*EX141+(1-EXP(-LN(2)/2))/(LN(2)/2)*ER142*EU142*VLOOKUP('Données projet'!$B$15,Paramètres!$A$1:$I$89,3,0)*0.475*44/12</f>
        <v>3.6654894191798083E-14</v>
      </c>
      <c r="EY142" s="22">
        <f t="shared" si="129"/>
        <v>3.2944355590437668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-1.3567387213697657E-13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299.10536994156814</v>
      </c>
      <c r="FK142" s="59">
        <f t="shared" si="156"/>
        <v>292.57799203101769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12.627700205105837</v>
      </c>
      <c r="FR142" s="21">
        <f>EXP(-LN(2)/25)*FR141+(1-EXP(-LN(2)/25))/(LN(2)/25)*Calculateur!FM142*Calculateur!FO142*VLOOKUP('Données projet'!$B$16,Paramètres!$A$1:$I$89,3,0)*0.475*44/12</f>
        <v>8.2517567784580415</v>
      </c>
      <c r="FS142" s="21">
        <f>EXP(-LN(2)/2)*FS141+(1-EXP(-LN(2)/2))/(LN(2)/2)*FM142*FP142*VLOOKUP('Données projet'!$B$16,Paramètres!$A$1:$I$89,3,0)*0.475*44/12</f>
        <v>6.8462203790713663E-8</v>
      </c>
      <c r="FT142" s="22">
        <f t="shared" si="132"/>
        <v>20.87945705202608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5.6843418860808015E-14</v>
      </c>
      <c r="GA142" s="17">
        <f>FZ142*VLOOKUP('Données projet'!$B$17,Paramètres!$A$1:$I$89,3,0)*VLOOKUP('Données projet'!$B$17,Paramètres!$A$1:$I$89,5,0)</f>
        <v>5.1431925385259088E-14</v>
      </c>
      <c r="GB142" s="13">
        <f t="shared" si="157"/>
        <v>8.3482866290946129E-13</v>
      </c>
      <c r="GC142" s="20">
        <f t="shared" si="133"/>
        <v>1.5435705246133045E-12</v>
      </c>
      <c r="GD142" s="59">
        <f t="shared" si="134"/>
        <v>293.33333333333485</v>
      </c>
      <c r="GE142" s="59">
        <f ca="1">AVERAGE(OFFSET($GD$3,0,0,'Données projet'!$E$17+1,1))-AVERAGE(OFFSET($H$3,0,0,'Données projet'!$E$17+1,1))</f>
        <v>204.78565758021779</v>
      </c>
      <c r="GF142" s="59">
        <f t="shared" si="158"/>
        <v>287.25131613242439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2.4260618646893728</v>
      </c>
      <c r="GM142" s="21">
        <f>EXP(-LN(2)/25)*GM141+(1-EXP(-LN(2)/25))/(LN(2)/25)*Calculateur!GH142*Calculateur!GJ142*VLOOKUP('Données projet'!$B$17,Paramètres!$A$1:$I$89,3,0)*0.475*44/12</f>
        <v>0.97557395078123854</v>
      </c>
      <c r="GN142" s="21">
        <f>EXP(-LN(2)/2)*GN141+(1-EXP(-LN(2)/2))/(LN(2)/2)*GH142*GK142*VLOOKUP('Données projet'!$B$17,Paramètres!$A$1:$I$89,3,0)*0.475*44/12</f>
        <v>9.7988031085608576E-14</v>
      </c>
      <c r="GO142" s="21">
        <f t="shared" si="135"/>
        <v>3.4016358154707094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5.6843418860808015E-14</v>
      </c>
      <c r="GV142" s="17">
        <f>GU142*VLOOKUP('Données projet'!$B$18,Paramètres!$A$1:$I$89,3,0)*VLOOKUP('Données projet'!$B$18,Paramètres!$A$1:$I$89,5,0)</f>
        <v>4.4337866711430253E-14</v>
      </c>
      <c r="GW142" s="13">
        <f t="shared" si="159"/>
        <v>7.3222115536967035E-13</v>
      </c>
      <c r="GX142" s="20">
        <f t="shared" si="136"/>
        <v>1.3525069634579169E-12</v>
      </c>
      <c r="GY142" s="59">
        <f t="shared" si="137"/>
        <v>293.33333333333468</v>
      </c>
      <c r="GZ142" s="59">
        <f ca="1">AVERAGE(OFFSET($GY$3,0,0,'Données projet'!$E$18+1,1))-AVERAGE(OFFSET($H$3,0,0,'Données projet'!$E$18+1,1))</f>
        <v>288.82868507674738</v>
      </c>
      <c r="HA142" s="59">
        <f t="shared" si="160"/>
        <v>283.48738729114024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10.749645027309827</v>
      </c>
      <c r="HH142" s="21">
        <f>EXP(-LN(2)/25)*HH141+(1-EXP(-LN(2)/25))/(LN(2)/25)*Calculateur!HC142*Calculateur!HE142*VLOOKUP('Données projet'!$B$18,Paramètres!$A$1:$I$89,3,0)*0.475*44/12</f>
        <v>6.0787942287590839</v>
      </c>
      <c r="HI142" s="21">
        <f>EXP(-LN(2)/2)*HI141+(1-EXP(-LN(2)/2))/(LN(2)/2)*HC142*HF142*VLOOKUP('Données projet'!$B$18,Paramètres!$A$1:$I$89,3,0)*0.475*44/12</f>
        <v>1.7682329534228042E-9</v>
      </c>
      <c r="HJ142" s="22">
        <f t="shared" si="138"/>
        <v>16.828439257837143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349.71285006949597</v>
      </c>
      <c r="T143" s="59">
        <f t="shared" si="142"/>
        <v>258.51550516456842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46.708784771744938</v>
      </c>
      <c r="AA143" s="21">
        <f>EXP(-LN(2)/25)*AA142+(1-EXP(-LN(2)/25))/(LN(2)/25)*Calculateur!V143*Calculateur!X143*VLOOKUP('Données projet'!$B$9,Paramètres!$A$1:$I$89,3,0)*0.475*44/12</f>
        <v>9.8037253804694817</v>
      </c>
      <c r="AB143" s="21">
        <f>EXP(-LN(2)/2)*AB142+(1-EXP(-LN(2)/2))/(LN(2)/2)*V143*Y143*VLOOKUP('Données projet'!$B$9,Paramètres!$A$1:$I$89,3,0)*0.475*44/12</f>
        <v>6.5860005841784837E-8</v>
      </c>
      <c r="AC143" s="22">
        <f t="shared" si="111"/>
        <v>56.512510218074425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2.5579538487363607E-13</v>
      </c>
      <c r="AJ143" s="13">
        <f>AI143*VLOOKUP('Données projet'!$B$10,Paramètres!$A$1:$I$89,3,0)*VLOOKUP('Données projet'!$B$10,Paramètres!$A$1:$I$89,5,0)</f>
        <v>2.4341488824575211E-13</v>
      </c>
      <c r="AK143" s="13">
        <f t="shared" si="143"/>
        <v>3.2970717324875541E-12</v>
      </c>
      <c r="AL143" s="20">
        <f t="shared" si="112"/>
        <v>6.1663475311105072E-12</v>
      </c>
      <c r="AM143" s="59">
        <f t="shared" si="113"/>
        <v>293.33333333333945</v>
      </c>
      <c r="AN143" s="59">
        <f ca="1">AVERAGE(OFFSET($AM$3,0,0,'Données projet'!$E$10+1,1))-AVERAGE(OFFSET($H$3,0,0,'Données projet'!$E$10+1,1))</f>
        <v>449.28947235329758</v>
      </c>
      <c r="AO143" s="59">
        <f t="shared" si="144"/>
        <v>289.36994109443964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97.46380291870733</v>
      </c>
      <c r="AV143" s="21">
        <f>EXP(-LN(2)/25)*AV142+(1-EXP(-LN(2)/25))/(LN(2)/25)*Calculateur!AQ143*Calculateur!AS143*VLOOKUP('Données projet'!$B$10,Paramètres!$A$1:$I$89,3,0)*0.475*44/12</f>
        <v>18.763563308488809</v>
      </c>
      <c r="AW143" s="21">
        <f>EXP(-LN(2)/2)*AW142+(1-EXP(-LN(2)/2))/(LN(2)/2)*AQ143*AT143*VLOOKUP('Données projet'!$B$10,Paramètres!$A$1:$I$89,3,0)*0.475*44/12</f>
        <v>0.22379512418273476</v>
      </c>
      <c r="AX143" s="21">
        <f t="shared" si="114"/>
        <v>116.45116135137887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432.82374720000081</v>
      </c>
      <c r="BF143" s="13">
        <f t="shared" si="145"/>
        <v>98.400325655042849</v>
      </c>
      <c r="BG143" s="20">
        <f t="shared" si="115"/>
        <v>925.21526022253431</v>
      </c>
      <c r="BH143" s="59">
        <f t="shared" si="116"/>
        <v>1218.5485935558677</v>
      </c>
      <c r="BI143" s="59">
        <f ca="1">AVERAGE(OFFSET($BH$3,0,0,'Données projet'!$E$11+1,1))-AVERAGE(OFFSET($H$3,0,0,'Données projet'!$E$11+1,1))</f>
        <v>635.71275911100679</v>
      </c>
      <c r="BJ143" s="59">
        <f t="shared" si="146"/>
        <v>281.7776857269169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39.733039797554845</v>
      </c>
      <c r="BQ143" s="21">
        <f>EXP(-LN(2)/25)*BQ142+(1-EXP(-LN(2)/25))/(LN(2)/25)*Calculateur!BL143*Calculateur!BN143*VLOOKUP('Données projet'!$B$11,Paramètres!$A$1:$I$89,3,0)*0.475*44/12</f>
        <v>20.126085786040782</v>
      </c>
      <c r="BR143" s="21">
        <f>EXP(-LN(2)/2)*BR142+(1-EXP(-LN(2)/2))/(LN(2)/2)*BL143*BO143*VLOOKUP('Données projet'!$B$11,Paramètres!$A$1:$I$89,3,0)*0.475*44/12</f>
        <v>1.9945235693455597E-2</v>
      </c>
      <c r="BS143" s="22">
        <f t="shared" si="117"/>
        <v>59.879070819289083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7.3375000000000012</v>
      </c>
      <c r="BY143" s="12">
        <f>IF('Données projet'!$A$114&gt;35,BY142+BX143-CG142,IF(A143&lt;'Données projet'!$A$114,$BV$205^A143,IF(A143='Données projet'!$A$114,'Données projet'!$B$114,BY142+BX143-CG142)))</f>
        <v>350.56999999999988</v>
      </c>
      <c r="BZ143" s="13">
        <f>BY143*VLOOKUP('Données projet'!$B$12,Paramètres!$A$1:$I$89,3,0)*VLOOKUP('Données projet'!$B$12,Paramètres!$A$1:$I$89,5,0)</f>
        <v>399.22911599999986</v>
      </c>
      <c r="CA143" s="13">
        <f t="shared" si="147"/>
        <v>91.620362778572016</v>
      </c>
      <c r="CB143" s="20">
        <f t="shared" si="118"/>
        <v>854.89617553934602</v>
      </c>
      <c r="CC143" s="59">
        <f t="shared" si="119"/>
        <v>1148.2295088726794</v>
      </c>
      <c r="CD143" s="59">
        <f ca="1">AVERAGE(OFFSET($CC$3,0,0,'Données projet'!$E$12+1,1))-AVERAGE(OFFSET($H$3,0,0,'Données projet'!$E$12+1,1))</f>
        <v>593.28343396240075</v>
      </c>
      <c r="CE143" s="59">
        <f t="shared" si="148"/>
        <v>289.66477662068695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27.95622396104881</v>
      </c>
      <c r="CL143" s="21">
        <f>EXP(-LN(2)/25)*CL142+(1-EXP(-LN(2)/25))/(LN(2)/25)*Calculateur!CG143*Calculateur!CI143*VLOOKUP('Données projet'!$B$12,Paramètres!$A$1:$I$89,3,0)*0.475*44/12</f>
        <v>21.627586283197047</v>
      </c>
      <c r="CM143" s="21">
        <f>EXP(-LN(2)/2)*CM142+(1-EXP(-LN(2)/2))/(LN(2)/2)*CG143*CJ143*VLOOKUP('Données projet'!$B$12,Paramètres!$A$1:$I$89,3,0)*0.475*44/12</f>
        <v>0.33706849520985677</v>
      </c>
      <c r="CN143" s="22">
        <f t="shared" si="120"/>
        <v>49.920878739455709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2.2737367544323206E-13</v>
      </c>
      <c r="CU143" s="17">
        <f>CT143*VLOOKUP('Données projet'!$B$13,Paramètres!$A$1:$I$89,3,0)*VLOOKUP('Données projet'!$B$13,Paramètres!$A$1:$I$89,5,0)</f>
        <v>2.3765096557326618E-13</v>
      </c>
      <c r="CV143" s="13">
        <f t="shared" si="149"/>
        <v>3.2279907425805489E-12</v>
      </c>
      <c r="CW143" s="20">
        <f t="shared" si="121"/>
        <v>6.0359926417012276E-12</v>
      </c>
      <c r="CX143" s="59">
        <f t="shared" si="122"/>
        <v>293.33333333333934</v>
      </c>
      <c r="CY143" s="59">
        <f ca="1">AVERAGE(OFFSET($CX$3,0,0,'Données projet'!$E$13+1,1))-AVERAGE(OFFSET($H$3,0,0,'Données projet'!$E$13+1,1))</f>
        <v>260.65406541614402</v>
      </c>
      <c r="CZ143" s="59">
        <f t="shared" si="150"/>
        <v>277.63456890196886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6.6924104336514167</v>
      </c>
      <c r="DG143" s="21">
        <f>EXP(-LN(2)/25)*DG142+(1-EXP(-LN(2)/25))/(LN(2)/25)*Calculateur!DB143*Calculateur!DD143*VLOOKUP('Données projet'!$B$13,Paramètres!$A$1:$I$89,3,0)*0.475*44/12</f>
        <v>12.384916137523231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19.077326571174648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2.2737367544323206E-13</v>
      </c>
      <c r="DP143" s="17">
        <f>DO143*VLOOKUP('Données projet'!$B$14,Paramètres!$A$1:$I$89,3,0)*VLOOKUP('Données projet'!$B$14,Paramètres!$A$1:$I$89,5,0)</f>
        <v>1.4897523215040565E-13</v>
      </c>
      <c r="DQ143" s="13">
        <f t="shared" si="151"/>
        <v>2.136562777003313E-12</v>
      </c>
      <c r="DR143" s="20">
        <f t="shared" si="124"/>
        <v>3.9806453659427267E-12</v>
      </c>
      <c r="DS143" s="59">
        <f t="shared" si="125"/>
        <v>293.33333333333729</v>
      </c>
      <c r="DT143" s="59">
        <f ca="1">AVERAGE(OFFSET($DS$3,0,0,'Données projet'!$E$14+1,1))-AVERAGE(OFFSET($H$3,0,0,'Données projet'!$E$14+1,1))</f>
        <v>181.4272795535777</v>
      </c>
      <c r="DU143" s="59">
        <f t="shared" si="152"/>
        <v>187.67131775419904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6.2803716281734996</v>
      </c>
      <c r="EB143" s="21">
        <f>EXP(-LN(2)/25)*EB142+(1-EXP(-LN(2)/25))/(LN(2)/25)*Calculateur!DW143*Calculateur!DY143*VLOOKUP('Données projet'!$B$14,Paramètres!$A$1:$I$89,3,0)*0.475*44/12</f>
        <v>4.5106476267031281</v>
      </c>
      <c r="EC143" s="21">
        <f>EXP(-LN(2)/2)*EC142+(1-EXP(-LN(2)/2))/(LN(2)/2)*DW143*DZ143*VLOOKUP('Données projet'!$B$14,Paramètres!$A$1:$I$89,3,0)*0.475*44/12</f>
        <v>7.4779777666611798E-7</v>
      </c>
      <c r="ED143" s="22">
        <f t="shared" si="126"/>
        <v>10.791020002674404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1.1368683772161603E-13</v>
      </c>
      <c r="EK143" s="17">
        <f>EJ143*VLOOKUP('Données projet'!$B$15,Paramètres!$A$1:$I$89,3,0)*VLOOKUP('Données projet'!$B$15,Paramètres!$A$1:$I$89,5,0)</f>
        <v>9.2222762759774927E-14</v>
      </c>
      <c r="EL143" s="13">
        <f t="shared" si="153"/>
        <v>1.3985662224947967E-12</v>
      </c>
      <c r="EM143" s="20">
        <f t="shared" si="127"/>
        <v>2.5964574826517121E-12</v>
      </c>
      <c r="EN143" s="59">
        <f t="shared" si="128"/>
        <v>293.33333333333593</v>
      </c>
      <c r="EO143" s="59">
        <f ca="1">AVERAGE(OFFSET($EN$3,0,0,'Données projet'!$E$15+1,1))-AVERAGE(OFFSET($H$3,0,0,'Données projet'!$E$15+1,1))</f>
        <v>159.68591355116837</v>
      </c>
      <c r="EP143" s="59">
        <f t="shared" si="154"/>
        <v>284.32631786390112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2.0127286072958683</v>
      </c>
      <c r="EW143" s="21">
        <f>EXP(-LN(2)/25)*EW142+(1-EXP(-LN(2)/25))/(LN(2)/25)*Calculateur!ER143*Calculateur!ET143*VLOOKUP('Données projet'!$B$15,Paramètres!$A$1:$I$89,3,0)*0.475*44/12</f>
        <v>1.207501648248094</v>
      </c>
      <c r="EX143" s="21">
        <f>EXP(-LN(2)/2)*EX142+(1-EXP(-LN(2)/2))/(LN(2)/2)*ER143*EU143*VLOOKUP('Données projet'!$B$15,Paramètres!$A$1:$I$89,3,0)*0.475*44/12</f>
        <v>2.5918924246695819E-14</v>
      </c>
      <c r="EY143" s="22">
        <f t="shared" si="129"/>
        <v>3.2202302555439881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-1.3567387213697657E-13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299.10536994156814</v>
      </c>
      <c r="FK143" s="59">
        <f t="shared" si="156"/>
        <v>292.57799203101769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12.380078706220313</v>
      </c>
      <c r="FR143" s="21">
        <f>EXP(-LN(2)/25)*FR142+(1-EXP(-LN(2)/25))/(LN(2)/25)*Calculateur!FM143*Calculateur!FO143*VLOOKUP('Données projet'!$B$16,Paramètres!$A$1:$I$89,3,0)*0.475*44/12</f>
        <v>8.0261120554100778</v>
      </c>
      <c r="FS143" s="21">
        <f>EXP(-LN(2)/2)*FS142+(1-EXP(-LN(2)/2))/(LN(2)/2)*FM143*FP143*VLOOKUP('Données projet'!$B$16,Paramètres!$A$1:$I$89,3,0)*0.475*44/12</f>
        <v>4.8410088555388991E-8</v>
      </c>
      <c r="FT143" s="22">
        <f t="shared" si="132"/>
        <v>20.406190810040481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5.6843418860808015E-14</v>
      </c>
      <c r="GA143" s="17">
        <f>FZ143*VLOOKUP('Données projet'!$B$17,Paramètres!$A$1:$I$89,3,0)*VLOOKUP('Données projet'!$B$17,Paramètres!$A$1:$I$89,5,0)</f>
        <v>5.1431925385259088E-14</v>
      </c>
      <c r="GB143" s="13">
        <f t="shared" si="157"/>
        <v>8.3482866290946129E-13</v>
      </c>
      <c r="GC143" s="20">
        <f t="shared" si="133"/>
        <v>1.5435705246133045E-12</v>
      </c>
      <c r="GD143" s="59">
        <f t="shared" si="134"/>
        <v>293.33333333333485</v>
      </c>
      <c r="GE143" s="59">
        <f ca="1">AVERAGE(OFFSET($GD$3,0,0,'Données projet'!$E$17+1,1))-AVERAGE(OFFSET($H$3,0,0,'Données projet'!$E$17+1,1))</f>
        <v>204.78565758021779</v>
      </c>
      <c r="GF143" s="59">
        <f t="shared" si="158"/>
        <v>287.25131613242439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2.3784882712744384</v>
      </c>
      <c r="GM143" s="21">
        <f>EXP(-LN(2)/25)*GM142+(1-EXP(-LN(2)/25))/(LN(2)/25)*Calculateur!GH143*Calculateur!GJ143*VLOOKUP('Données projet'!$B$17,Paramètres!$A$1:$I$89,3,0)*0.475*44/12</f>
        <v>0.9488968297939212</v>
      </c>
      <c r="GN143" s="21">
        <f>EXP(-LN(2)/2)*GN142+(1-EXP(-LN(2)/2))/(LN(2)/2)*GH143*GK143*VLOOKUP('Données projet'!$B$17,Paramètres!$A$1:$I$89,3,0)*0.475*44/12</f>
        <v>6.9288001255752038E-14</v>
      </c>
      <c r="GO143" s="21">
        <f t="shared" si="135"/>
        <v>3.3273851010684288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5.6843418860808015E-14</v>
      </c>
      <c r="GV143" s="17">
        <f>GU143*VLOOKUP('Données projet'!$B$18,Paramètres!$A$1:$I$89,3,0)*VLOOKUP('Données projet'!$B$18,Paramètres!$A$1:$I$89,5,0)</f>
        <v>4.4337866711430253E-14</v>
      </c>
      <c r="GW143" s="13">
        <f t="shared" si="159"/>
        <v>7.3222115536967035E-13</v>
      </c>
      <c r="GX143" s="20">
        <f t="shared" si="136"/>
        <v>1.3525069634579169E-12</v>
      </c>
      <c r="GY143" s="59">
        <f t="shared" si="137"/>
        <v>293.33333333333468</v>
      </c>
      <c r="GZ143" s="59">
        <f ca="1">AVERAGE(OFFSET($GY$3,0,0,'Données projet'!$E$18+1,1))-AVERAGE(OFFSET($H$3,0,0,'Données projet'!$E$18+1,1))</f>
        <v>288.82868507674738</v>
      </c>
      <c r="HA143" s="59">
        <f t="shared" si="160"/>
        <v>283.48738729114024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10.538851044960333</v>
      </c>
      <c r="HH143" s="21">
        <f>EXP(-LN(2)/25)*HH142+(1-EXP(-LN(2)/25))/(LN(2)/25)*Calculateur!HC143*Calculateur!HE143*VLOOKUP('Données projet'!$B$18,Paramètres!$A$1:$I$89,3,0)*0.475*44/12</f>
        <v>5.9125692809037718</v>
      </c>
      <c r="HI143" s="21">
        <f>EXP(-LN(2)/2)*HI142+(1-EXP(-LN(2)/2))/(LN(2)/2)*HC143*HF143*VLOOKUP('Données projet'!$B$18,Paramètres!$A$1:$I$89,3,0)*0.475*44/12</f>
        <v>1.2503295120827815E-9</v>
      </c>
      <c r="HJ143" s="22">
        <f t="shared" si="138"/>
        <v>16.451420327114434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349.71285006949597</v>
      </c>
      <c r="T144" s="59">
        <f t="shared" si="142"/>
        <v>258.51550516456842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45.792853991916623</v>
      </c>
      <c r="AA144" s="21">
        <f>EXP(-LN(2)/25)*AA143+(1-EXP(-LN(2)/25))/(LN(2)/25)*Calculateur!V144*Calculateur!X144*VLOOKUP('Données projet'!$B$9,Paramètres!$A$1:$I$89,3,0)*0.475*44/12</f>
        <v>9.535641994385033</v>
      </c>
      <c r="AB144" s="21">
        <f>EXP(-LN(2)/2)*AB143+(1-EXP(-LN(2)/2))/(LN(2)/2)*V144*Y144*VLOOKUP('Données projet'!$B$9,Paramètres!$A$1:$I$89,3,0)*0.475*44/12</f>
        <v>4.6570056739711693E-8</v>
      </c>
      <c r="AC144" s="22">
        <f t="shared" si="111"/>
        <v>55.328496032871712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2.5579538487363607E-13</v>
      </c>
      <c r="AJ144" s="13">
        <f>AI144*VLOOKUP('Données projet'!$B$10,Paramètres!$A$1:$I$89,3,0)*VLOOKUP('Données projet'!$B$10,Paramètres!$A$1:$I$89,5,0)</f>
        <v>2.4341488824575211E-13</v>
      </c>
      <c r="AK144" s="13">
        <f t="shared" si="143"/>
        <v>3.2970717324875541E-12</v>
      </c>
      <c r="AL144" s="20">
        <f t="shared" si="112"/>
        <v>6.1663475311105072E-12</v>
      </c>
      <c r="AM144" s="59">
        <f t="shared" si="113"/>
        <v>293.33333333333945</v>
      </c>
      <c r="AN144" s="59">
        <f ca="1">AVERAGE(OFFSET($AM$3,0,0,'Données projet'!$E$10+1,1))-AVERAGE(OFFSET($H$3,0,0,'Données projet'!$E$10+1,1))</f>
        <v>449.28947235329758</v>
      </c>
      <c r="AO144" s="59">
        <f t="shared" si="144"/>
        <v>289.36994109443964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95.552597190521354</v>
      </c>
      <c r="AV144" s="21">
        <f>EXP(-LN(2)/25)*AV143+(1-EXP(-LN(2)/25))/(LN(2)/25)*Calculateur!AQ144*Calculateur!AS144*VLOOKUP('Données projet'!$B$10,Paramètres!$A$1:$I$89,3,0)*0.475*44/12</f>
        <v>18.250472683085274</v>
      </c>
      <c r="AW144" s="21">
        <f>EXP(-LN(2)/2)*AW143+(1-EXP(-LN(2)/2))/(LN(2)/2)*AQ144*AT144*VLOOKUP('Données projet'!$B$10,Paramètres!$A$1:$I$89,3,0)*0.475*44/12</f>
        <v>0.15824704990609725</v>
      </c>
      <c r="AX144" s="21">
        <f t="shared" si="114"/>
        <v>113.96131692351273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441.09723840000083</v>
      </c>
      <c r="BF144" s="13">
        <f t="shared" si="145"/>
        <v>100.06048569250036</v>
      </c>
      <c r="BG144" s="20">
        <f t="shared" si="115"/>
        <v>942.51636946110614</v>
      </c>
      <c r="BH144" s="59">
        <f t="shared" si="116"/>
        <v>1235.8497027944395</v>
      </c>
      <c r="BI144" s="59">
        <f ca="1">AVERAGE(OFFSET($BH$3,0,0,'Données projet'!$E$11+1,1))-AVERAGE(OFFSET($H$3,0,0,'Données projet'!$E$11+1,1))</f>
        <v>635.71275911100679</v>
      </c>
      <c r="BJ144" s="59">
        <f t="shared" si="146"/>
        <v>281.7776857269169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38.953899121886089</v>
      </c>
      <c r="BQ144" s="21">
        <f>EXP(-LN(2)/25)*BQ143+(1-EXP(-LN(2)/25))/(LN(2)/25)*Calculateur!BL144*Calculateur!BN144*VLOOKUP('Données projet'!$B$11,Paramètres!$A$1:$I$89,3,0)*0.475*44/12</f>
        <v>19.575736911836646</v>
      </c>
      <c r="BR144" s="21">
        <f>EXP(-LN(2)/2)*BR143+(1-EXP(-LN(2)/2))/(LN(2)/2)*BL144*BO144*VLOOKUP('Données projet'!$B$11,Paramètres!$A$1:$I$89,3,0)*0.475*44/12</f>
        <v>1.4103411411206425E-2</v>
      </c>
      <c r="BS144" s="22">
        <f t="shared" si="117"/>
        <v>58.543739445133944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7.3375000000000012</v>
      </c>
      <c r="BY144" s="12">
        <f>IF('Données projet'!$A$114&gt;35,BY143+BX144-CG143,IF(A144&lt;'Données projet'!$A$114,$BV$205^A144,IF(A144='Données projet'!$A$114,'Données projet'!$B$114,BY143+BX144-CG143)))</f>
        <v>357.90749999999986</v>
      </c>
      <c r="BZ144" s="13">
        <f>BY144*VLOOKUP('Données projet'!$B$12,Paramètres!$A$1:$I$89,3,0)*VLOOKUP('Données projet'!$B$12,Paramètres!$A$1:$I$89,5,0)</f>
        <v>407.58506099999983</v>
      </c>
      <c r="CA144" s="13">
        <f t="shared" si="147"/>
        <v>93.312734685105752</v>
      </c>
      <c r="CB144" s="20">
        <f t="shared" si="118"/>
        <v>872.39699415155883</v>
      </c>
      <c r="CC144" s="59">
        <f t="shared" si="119"/>
        <v>1165.7303274848921</v>
      </c>
      <c r="CD144" s="59">
        <f ca="1">AVERAGE(OFFSET($CC$3,0,0,'Données projet'!$E$12+1,1))-AVERAGE(OFFSET($H$3,0,0,'Données projet'!$E$12+1,1))</f>
        <v>593.28343396240075</v>
      </c>
      <c r="CE144" s="59">
        <f t="shared" si="148"/>
        <v>289.66477662068695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27.408019460785553</v>
      </c>
      <c r="CL144" s="21">
        <f>EXP(-LN(2)/25)*CL143+(1-EXP(-LN(2)/25))/(LN(2)/25)*Calculateur!CG144*Calculateur!CI144*VLOOKUP('Données projet'!$B$12,Paramètres!$A$1:$I$89,3,0)*0.475*44/12</f>
        <v>21.036178798937691</v>
      </c>
      <c r="CM144" s="21">
        <f>EXP(-LN(2)/2)*CM143+(1-EXP(-LN(2)/2))/(LN(2)/2)*CG144*CJ144*VLOOKUP('Données projet'!$B$12,Paramètres!$A$1:$I$89,3,0)*0.475*44/12</f>
        <v>0.23834341868723505</v>
      </c>
      <c r="CN144" s="22">
        <f t="shared" si="120"/>
        <v>48.68254167841048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2.2737367544323206E-13</v>
      </c>
      <c r="CU144" s="17">
        <f>CT144*VLOOKUP('Données projet'!$B$13,Paramètres!$A$1:$I$89,3,0)*VLOOKUP('Données projet'!$B$13,Paramètres!$A$1:$I$89,5,0)</f>
        <v>2.3765096557326618E-13</v>
      </c>
      <c r="CV144" s="13">
        <f t="shared" si="149"/>
        <v>3.2279907425805489E-12</v>
      </c>
      <c r="CW144" s="20">
        <f t="shared" si="121"/>
        <v>6.0359926417012276E-12</v>
      </c>
      <c r="CX144" s="59">
        <f t="shared" si="122"/>
        <v>293.33333333333934</v>
      </c>
      <c r="CY144" s="59">
        <f ca="1">AVERAGE(OFFSET($CX$3,0,0,'Données projet'!$E$13+1,1))-AVERAGE(OFFSET($H$3,0,0,'Données projet'!$E$13+1,1))</f>
        <v>260.65406541614402</v>
      </c>
      <c r="CZ144" s="59">
        <f t="shared" si="150"/>
        <v>277.63456890196886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6.5611763470148166</v>
      </c>
      <c r="DG144" s="21">
        <f>EXP(-LN(2)/25)*DG143+(1-EXP(-LN(2)/25))/(LN(2)/25)*Calculateur!DB144*Calculateur!DD144*VLOOKUP('Données projet'!$B$13,Paramètres!$A$1:$I$89,3,0)*0.475*44/12</f>
        <v>12.046249954448225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18.607426301463043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2.2737367544323206E-13</v>
      </c>
      <c r="DP144" s="17">
        <f>DO144*VLOOKUP('Données projet'!$B$14,Paramètres!$A$1:$I$89,3,0)*VLOOKUP('Données projet'!$B$14,Paramètres!$A$1:$I$89,5,0)</f>
        <v>1.4897523215040565E-13</v>
      </c>
      <c r="DQ144" s="13">
        <f t="shared" si="151"/>
        <v>2.136562777003313E-12</v>
      </c>
      <c r="DR144" s="20">
        <f t="shared" si="124"/>
        <v>3.9806453659427267E-12</v>
      </c>
      <c r="DS144" s="59">
        <f t="shared" si="125"/>
        <v>293.33333333333729</v>
      </c>
      <c r="DT144" s="59">
        <f ca="1">AVERAGE(OFFSET($DS$3,0,0,'Données projet'!$E$14+1,1))-AVERAGE(OFFSET($H$3,0,0,'Données projet'!$E$14+1,1))</f>
        <v>181.4272795535777</v>
      </c>
      <c r="DU144" s="59">
        <f t="shared" si="152"/>
        <v>187.67131775419904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6.1572173711934655</v>
      </c>
      <c r="EB144" s="21">
        <f>EXP(-LN(2)/25)*EB143+(1-EXP(-LN(2)/25))/(LN(2)/25)*Calculateur!DW144*Calculateur!DY144*VLOOKUP('Données projet'!$B$14,Paramètres!$A$1:$I$89,3,0)*0.475*44/12</f>
        <v>4.3873037301462814</v>
      </c>
      <c r="EC144" s="21">
        <f>EXP(-LN(2)/2)*EC143+(1-EXP(-LN(2)/2))/(LN(2)/2)*DW144*DZ144*VLOOKUP('Données projet'!$B$14,Paramètres!$A$1:$I$89,3,0)*0.475*44/12</f>
        <v>5.2877287883683541E-7</v>
      </c>
      <c r="ED144" s="22">
        <f t="shared" si="126"/>
        <v>10.544521630112627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1.1368683772161603E-13</v>
      </c>
      <c r="EK144" s="17">
        <f>EJ144*VLOOKUP('Données projet'!$B$15,Paramètres!$A$1:$I$89,3,0)*VLOOKUP('Données projet'!$B$15,Paramètres!$A$1:$I$89,5,0)</f>
        <v>9.2222762759774927E-14</v>
      </c>
      <c r="EL144" s="13">
        <f t="shared" si="153"/>
        <v>1.3985662224947967E-12</v>
      </c>
      <c r="EM144" s="20">
        <f t="shared" si="127"/>
        <v>2.5964574826517121E-12</v>
      </c>
      <c r="EN144" s="59">
        <f t="shared" si="128"/>
        <v>293.33333333333593</v>
      </c>
      <c r="EO144" s="59">
        <f ca="1">AVERAGE(OFFSET($EN$3,0,0,'Données projet'!$E$15+1,1))-AVERAGE(OFFSET($H$3,0,0,'Données projet'!$E$15+1,1))</f>
        <v>159.68591355116837</v>
      </c>
      <c r="EP144" s="59">
        <f t="shared" si="154"/>
        <v>284.32631786390112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1.973260226950027</v>
      </c>
      <c r="EW144" s="21">
        <f>EXP(-LN(2)/25)*EW143+(1-EXP(-LN(2)/25))/(LN(2)/25)*Calculateur!ER144*Calculateur!ET144*VLOOKUP('Données projet'!$B$15,Paramètres!$A$1:$I$89,3,0)*0.475*44/12</f>
        <v>1.1744824521769981</v>
      </c>
      <c r="EX144" s="21">
        <f>EXP(-LN(2)/2)*EX143+(1-EXP(-LN(2)/2))/(LN(2)/2)*ER144*EU144*VLOOKUP('Données projet'!$B$15,Paramètres!$A$1:$I$89,3,0)*0.475*44/12</f>
        <v>1.8327447095899042E-14</v>
      </c>
      <c r="EY144" s="22">
        <f t="shared" si="129"/>
        <v>3.1477426791270431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-1.3567387213697657E-13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299.10536994156814</v>
      </c>
      <c r="FK144" s="59">
        <f t="shared" si="156"/>
        <v>292.57799203101769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12.137312913893734</v>
      </c>
      <c r="FR144" s="21">
        <f>EXP(-LN(2)/25)*FR143+(1-EXP(-LN(2)/25))/(LN(2)/25)*Calculateur!FM144*Calculateur!FO144*VLOOKUP('Données projet'!$B$16,Paramètres!$A$1:$I$89,3,0)*0.475*44/12</f>
        <v>7.8066375991800001</v>
      </c>
      <c r="FS144" s="21">
        <f>EXP(-LN(2)/2)*FS143+(1-EXP(-LN(2)/2))/(LN(2)/2)*FM144*FP144*VLOOKUP('Données projet'!$B$16,Paramètres!$A$1:$I$89,3,0)*0.475*44/12</f>
        <v>3.4231101895356832E-8</v>
      </c>
      <c r="FT144" s="22">
        <f t="shared" si="132"/>
        <v>19.943950547304837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5.6843418860808015E-14</v>
      </c>
      <c r="GA144" s="17">
        <f>FZ144*VLOOKUP('Données projet'!$B$17,Paramètres!$A$1:$I$89,3,0)*VLOOKUP('Données projet'!$B$17,Paramètres!$A$1:$I$89,5,0)</f>
        <v>5.1431925385259088E-14</v>
      </c>
      <c r="GB144" s="13">
        <f t="shared" si="157"/>
        <v>8.3482866290946129E-13</v>
      </c>
      <c r="GC144" s="20">
        <f t="shared" si="133"/>
        <v>1.5435705246133045E-12</v>
      </c>
      <c r="GD144" s="59">
        <f t="shared" si="134"/>
        <v>293.33333333333485</v>
      </c>
      <c r="GE144" s="59">
        <f ca="1">AVERAGE(OFFSET($GD$3,0,0,'Données projet'!$E$17+1,1))-AVERAGE(OFFSET($H$3,0,0,'Données projet'!$E$17+1,1))</f>
        <v>204.78565758021779</v>
      </c>
      <c r="GF144" s="59">
        <f t="shared" si="158"/>
        <v>287.25131613242439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2.3318475670093441</v>
      </c>
      <c r="GM144" s="21">
        <f>EXP(-LN(2)/25)*GM143+(1-EXP(-LN(2)/25))/(LN(2)/25)*Calculateur!GH144*Calculateur!GJ144*VLOOKUP('Données projet'!$B$17,Paramètres!$A$1:$I$89,3,0)*0.475*44/12</f>
        <v>0.92294919608289083</v>
      </c>
      <c r="GN144" s="21">
        <f>EXP(-LN(2)/2)*GN143+(1-EXP(-LN(2)/2))/(LN(2)/2)*GH144*GK144*VLOOKUP('Données projet'!$B$17,Paramètres!$A$1:$I$89,3,0)*0.475*44/12</f>
        <v>4.8994015542804288E-14</v>
      </c>
      <c r="GO144" s="21">
        <f t="shared" si="135"/>
        <v>3.2547967630922838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5.6843418860808015E-14</v>
      </c>
      <c r="GV144" s="17">
        <f>GU144*VLOOKUP('Données projet'!$B$18,Paramètres!$A$1:$I$89,3,0)*VLOOKUP('Données projet'!$B$18,Paramètres!$A$1:$I$89,5,0)</f>
        <v>4.4337866711430253E-14</v>
      </c>
      <c r="GW144" s="13">
        <f t="shared" si="159"/>
        <v>7.3222115536967035E-13</v>
      </c>
      <c r="GX144" s="20">
        <f t="shared" si="136"/>
        <v>1.3525069634579169E-12</v>
      </c>
      <c r="GY144" s="59">
        <f t="shared" si="137"/>
        <v>293.33333333333468</v>
      </c>
      <c r="GZ144" s="59">
        <f ca="1">AVERAGE(OFFSET($GY$3,0,0,'Données projet'!$E$18+1,1))-AVERAGE(OFFSET($H$3,0,0,'Données projet'!$E$18+1,1))</f>
        <v>288.82868507674738</v>
      </c>
      <c r="HA144" s="59">
        <f t="shared" si="160"/>
        <v>283.48738729114024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10.33219060403308</v>
      </c>
      <c r="HH144" s="21">
        <f>EXP(-LN(2)/25)*HH143+(1-EXP(-LN(2)/25))/(LN(2)/25)*Calculateur!HC144*Calculateur!HE144*VLOOKUP('Données projet'!$B$18,Paramètres!$A$1:$I$89,3,0)*0.475*44/12</f>
        <v>5.7508897629889528</v>
      </c>
      <c r="HI144" s="21">
        <f>EXP(-LN(2)/2)*HI143+(1-EXP(-LN(2)/2))/(LN(2)/2)*HC144*HF144*VLOOKUP('Données projet'!$B$18,Paramètres!$A$1:$I$89,3,0)*0.475*44/12</f>
        <v>8.8411647671140211E-10</v>
      </c>
      <c r="HJ144" s="22">
        <f t="shared" si="138"/>
        <v>16.083080367906152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349.71285006949597</v>
      </c>
      <c r="T145" s="59">
        <f t="shared" si="142"/>
        <v>258.51550516456842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44.894884056018128</v>
      </c>
      <c r="AA145" s="21">
        <f>EXP(-LN(2)/25)*AA144+(1-EXP(-LN(2)/25))/(LN(2)/25)*Calculateur!V145*Calculateur!X145*VLOOKUP('Données projet'!$B$9,Paramètres!$A$1:$I$89,3,0)*0.475*44/12</f>
        <v>9.2748893625909563</v>
      </c>
      <c r="AB145" s="21">
        <f>EXP(-LN(2)/2)*AB144+(1-EXP(-LN(2)/2))/(LN(2)/2)*V145*Y145*VLOOKUP('Données projet'!$B$9,Paramètres!$A$1:$I$89,3,0)*0.475*44/12</f>
        <v>3.2930002920892419E-8</v>
      </c>
      <c r="AC145" s="22">
        <f t="shared" si="111"/>
        <v>54.169773451539086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2.5579538487363607E-13</v>
      </c>
      <c r="AJ145" s="13">
        <f>AI145*VLOOKUP('Données projet'!$B$10,Paramètres!$A$1:$I$89,3,0)*VLOOKUP('Données projet'!$B$10,Paramètres!$A$1:$I$89,5,0)</f>
        <v>2.4341488824575211E-13</v>
      </c>
      <c r="AK145" s="13">
        <f t="shared" si="143"/>
        <v>3.2970717324875541E-12</v>
      </c>
      <c r="AL145" s="20">
        <f t="shared" si="112"/>
        <v>6.1663475311105072E-12</v>
      </c>
      <c r="AM145" s="59">
        <f t="shared" si="113"/>
        <v>293.33333333333945</v>
      </c>
      <c r="AN145" s="59">
        <f ca="1">AVERAGE(OFFSET($AM$3,0,0,'Données projet'!$E$10+1,1))-AVERAGE(OFFSET($H$3,0,0,'Données projet'!$E$10+1,1))</f>
        <v>449.28947235329758</v>
      </c>
      <c r="AO145" s="59">
        <f t="shared" si="144"/>
        <v>289.36994109443964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93.678869040944718</v>
      </c>
      <c r="AV145" s="21">
        <f>EXP(-LN(2)/25)*AV144+(1-EXP(-LN(2)/25))/(LN(2)/25)*Calculateur!AQ145*Calculateur!AS145*VLOOKUP('Données projet'!$B$10,Paramètres!$A$1:$I$89,3,0)*0.475*44/12</f>
        <v>17.751412547815661</v>
      </c>
      <c r="AW145" s="21">
        <f>EXP(-LN(2)/2)*AW144+(1-EXP(-LN(2)/2))/(LN(2)/2)*AQ145*AT145*VLOOKUP('Données projet'!$B$10,Paramètres!$A$1:$I$89,3,0)*0.475*44/12</f>
        <v>0.11189756209136738</v>
      </c>
      <c r="AX145" s="21">
        <f t="shared" si="114"/>
        <v>111.54217915085175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449.37072960000086</v>
      </c>
      <c r="BF145" s="13">
        <f t="shared" si="145"/>
        <v>101.71702488172154</v>
      </c>
      <c r="BG145" s="20">
        <f t="shared" si="115"/>
        <v>959.81117238899981</v>
      </c>
      <c r="BH145" s="59">
        <f t="shared" si="116"/>
        <v>1253.1445057223332</v>
      </c>
      <c r="BI145" s="59">
        <f ca="1">AVERAGE(OFFSET($BH$3,0,0,'Données projet'!$E$11+1,1))-AVERAGE(OFFSET($H$3,0,0,'Données projet'!$E$11+1,1))</f>
        <v>635.71275911100679</v>
      </c>
      <c r="BJ145" s="59">
        <f t="shared" si="146"/>
        <v>281.7776857269169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38.19003691963831</v>
      </c>
      <c r="BQ145" s="21">
        <f>EXP(-LN(2)/25)*BQ144+(1-EXP(-LN(2)/25))/(LN(2)/25)*Calculateur!BL145*Calculateur!BN145*VLOOKUP('Données projet'!$B$11,Paramètres!$A$1:$I$89,3,0)*0.475*44/12</f>
        <v>19.040437356539211</v>
      </c>
      <c r="BR145" s="21">
        <f>EXP(-LN(2)/2)*BR144+(1-EXP(-LN(2)/2))/(LN(2)/2)*BL145*BO145*VLOOKUP('Données projet'!$B$11,Paramètres!$A$1:$I$89,3,0)*0.475*44/12</f>
        <v>9.9726178467277986E-3</v>
      </c>
      <c r="BS145" s="22">
        <f t="shared" si="117"/>
        <v>57.240446894024245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7.3375000000000012</v>
      </c>
      <c r="BY145" s="12">
        <f>IF('Données projet'!$A$114&gt;35,BY144+BX145-CG144,IF(A145&lt;'Données projet'!$A$114,$BV$205^A145,IF(A145='Données projet'!$A$114,'Données projet'!$B$114,BY144+BX145-CG144)))</f>
        <v>365.24499999999983</v>
      </c>
      <c r="BZ145" s="13">
        <f>BY145*VLOOKUP('Données projet'!$B$12,Paramètres!$A$1:$I$89,3,0)*VLOOKUP('Données projet'!$B$12,Paramètres!$A$1:$I$89,5,0)</f>
        <v>415.94100599999985</v>
      </c>
      <c r="CA145" s="13">
        <f t="shared" si="147"/>
        <v>95.001072551829481</v>
      </c>
      <c r="CB145" s="20">
        <f t="shared" si="118"/>
        <v>889.89078681110277</v>
      </c>
      <c r="CC145" s="59">
        <f t="shared" si="119"/>
        <v>1183.224120144436</v>
      </c>
      <c r="CD145" s="59">
        <f ca="1">AVERAGE(OFFSET($CC$3,0,0,'Données projet'!$E$12+1,1))-AVERAGE(OFFSET($H$3,0,0,'Données projet'!$E$12+1,1))</f>
        <v>593.28343396240075</v>
      </c>
      <c r="CE145" s="59">
        <f t="shared" si="148"/>
        <v>289.66477662068695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26.870564916400728</v>
      </c>
      <c r="CL145" s="21">
        <f>EXP(-LN(2)/25)*CL144+(1-EXP(-LN(2)/25))/(LN(2)/25)*Calculateur!CG145*Calculateur!CI145*VLOOKUP('Données projet'!$B$12,Paramètres!$A$1:$I$89,3,0)*0.475*44/12</f>
        <v>20.460943383436174</v>
      </c>
      <c r="CM145" s="21">
        <f>EXP(-LN(2)/2)*CM144+(1-EXP(-LN(2)/2))/(LN(2)/2)*CG145*CJ145*VLOOKUP('Données projet'!$B$12,Paramètres!$A$1:$I$89,3,0)*0.475*44/12</f>
        <v>0.16853424760492841</v>
      </c>
      <c r="CN145" s="22">
        <f t="shared" si="120"/>
        <v>47.500042547441829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2.2737367544323206E-13</v>
      </c>
      <c r="CU145" s="17">
        <f>CT145*VLOOKUP('Données projet'!$B$13,Paramètres!$A$1:$I$89,3,0)*VLOOKUP('Données projet'!$B$13,Paramètres!$A$1:$I$89,5,0)</f>
        <v>2.3765096557326618E-13</v>
      </c>
      <c r="CV145" s="13">
        <f t="shared" si="149"/>
        <v>3.2279907425805489E-12</v>
      </c>
      <c r="CW145" s="20">
        <f t="shared" si="121"/>
        <v>6.0359926417012276E-12</v>
      </c>
      <c r="CX145" s="59">
        <f t="shared" si="122"/>
        <v>293.33333333333934</v>
      </c>
      <c r="CY145" s="59">
        <f ca="1">AVERAGE(OFFSET($CX$3,0,0,'Données projet'!$E$13+1,1))-AVERAGE(OFFSET($H$3,0,0,'Données projet'!$E$13+1,1))</f>
        <v>260.65406541614402</v>
      </c>
      <c r="CZ145" s="59">
        <f t="shared" si="150"/>
        <v>277.63456890196886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6.432515680772271</v>
      </c>
      <c r="DG145" s="21">
        <f>EXP(-LN(2)/25)*DG144+(1-EXP(-LN(2)/25))/(LN(2)/25)*Calculateur!DB145*Calculateur!DD145*VLOOKUP('Données projet'!$B$13,Paramètres!$A$1:$I$89,3,0)*0.475*44/12</f>
        <v>11.716844615959085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18.149360296731356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2.2737367544323206E-13</v>
      </c>
      <c r="DP145" s="17">
        <f>DO145*VLOOKUP('Données projet'!$B$14,Paramètres!$A$1:$I$89,3,0)*VLOOKUP('Données projet'!$B$14,Paramètres!$A$1:$I$89,5,0)</f>
        <v>1.4897523215040565E-13</v>
      </c>
      <c r="DQ145" s="13">
        <f t="shared" si="151"/>
        <v>2.136562777003313E-12</v>
      </c>
      <c r="DR145" s="20">
        <f t="shared" si="124"/>
        <v>3.9806453659427267E-12</v>
      </c>
      <c r="DS145" s="59">
        <f t="shared" si="125"/>
        <v>293.33333333333729</v>
      </c>
      <c r="DT145" s="59">
        <f ca="1">AVERAGE(OFFSET($DS$3,0,0,'Données projet'!$E$14+1,1))-AVERAGE(OFFSET($H$3,0,0,'Données projet'!$E$14+1,1))</f>
        <v>181.4272795535777</v>
      </c>
      <c r="DU145" s="59">
        <f t="shared" si="152"/>
        <v>187.67131775419904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6.0364780940761298</v>
      </c>
      <c r="EB145" s="21">
        <f>EXP(-LN(2)/25)*EB144+(1-EXP(-LN(2)/25))/(LN(2)/25)*Calculateur!DW145*Calculateur!DY145*VLOOKUP('Données projet'!$B$14,Paramètres!$A$1:$I$89,3,0)*0.475*44/12</f>
        <v>4.2673326789271551</v>
      </c>
      <c r="EC145" s="21">
        <f>EXP(-LN(2)/2)*EC144+(1-EXP(-LN(2)/2))/(LN(2)/2)*DW145*DZ145*VLOOKUP('Données projet'!$B$14,Paramètres!$A$1:$I$89,3,0)*0.475*44/12</f>
        <v>3.7389888833305899E-7</v>
      </c>
      <c r="ED145" s="22">
        <f t="shared" si="126"/>
        <v>10.303811146902174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1.1368683772161603E-13</v>
      </c>
      <c r="EK145" s="17">
        <f>EJ145*VLOOKUP('Données projet'!$B$15,Paramètres!$A$1:$I$89,3,0)*VLOOKUP('Données projet'!$B$15,Paramètres!$A$1:$I$89,5,0)</f>
        <v>9.2222762759774927E-14</v>
      </c>
      <c r="EL145" s="13">
        <f t="shared" si="153"/>
        <v>1.3985662224947967E-12</v>
      </c>
      <c r="EM145" s="20">
        <f t="shared" si="127"/>
        <v>2.5964574826517121E-12</v>
      </c>
      <c r="EN145" s="59">
        <f t="shared" si="128"/>
        <v>293.33333333333593</v>
      </c>
      <c r="EO145" s="59">
        <f ca="1">AVERAGE(OFFSET($EN$3,0,0,'Données projet'!$E$15+1,1))-AVERAGE(OFFSET($H$3,0,0,'Données projet'!$E$15+1,1))</f>
        <v>159.68591355116837</v>
      </c>
      <c r="EP145" s="59">
        <f t="shared" si="154"/>
        <v>284.32631786390112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1.9345657974694328</v>
      </c>
      <c r="EW145" s="21">
        <f>EXP(-LN(2)/25)*EW144+(1-EXP(-LN(2)/25))/(LN(2)/25)*Calculateur!ER145*Calculateur!ET145*VLOOKUP('Données projet'!$B$15,Paramètres!$A$1:$I$89,3,0)*0.475*44/12</f>
        <v>1.1423661677588703</v>
      </c>
      <c r="EX145" s="21">
        <f>EXP(-LN(2)/2)*EX144+(1-EXP(-LN(2)/2))/(LN(2)/2)*ER145*EU145*VLOOKUP('Données projet'!$B$15,Paramètres!$A$1:$I$89,3,0)*0.475*44/12</f>
        <v>1.295946212334791E-14</v>
      </c>
      <c r="EY145" s="22">
        <f t="shared" si="129"/>
        <v>3.076931965228316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-1.3567387213697657E-13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299.10536994156814</v>
      </c>
      <c r="FK145" s="59">
        <f t="shared" si="156"/>
        <v>292.57799203101769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11.899307610682166</v>
      </c>
      <c r="FR145" s="21">
        <f>EXP(-LN(2)/25)*FR144+(1-EXP(-LN(2)/25))/(LN(2)/25)*Calculateur!FM145*Calculateur!FO145*VLOOKUP('Données projet'!$B$16,Paramètres!$A$1:$I$89,3,0)*0.475*44/12</f>
        <v>7.5931646834971938</v>
      </c>
      <c r="FS145" s="21">
        <f>EXP(-LN(2)/2)*FS144+(1-EXP(-LN(2)/2))/(LN(2)/2)*FM145*FP145*VLOOKUP('Données projet'!$B$16,Paramètres!$A$1:$I$89,3,0)*0.475*44/12</f>
        <v>2.4205044277694496E-8</v>
      </c>
      <c r="FT145" s="22">
        <f t="shared" si="132"/>
        <v>19.492472318384404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5.6843418860808015E-14</v>
      </c>
      <c r="GA145" s="17">
        <f>FZ145*VLOOKUP('Données projet'!$B$17,Paramètres!$A$1:$I$89,3,0)*VLOOKUP('Données projet'!$B$17,Paramètres!$A$1:$I$89,5,0)</f>
        <v>5.1431925385259088E-14</v>
      </c>
      <c r="GB145" s="13">
        <f t="shared" si="157"/>
        <v>8.3482866290946129E-13</v>
      </c>
      <c r="GC145" s="20">
        <f t="shared" si="133"/>
        <v>1.5435705246133045E-12</v>
      </c>
      <c r="GD145" s="59">
        <f t="shared" si="134"/>
        <v>293.33333333333485</v>
      </c>
      <c r="GE145" s="59">
        <f ca="1">AVERAGE(OFFSET($GD$3,0,0,'Données projet'!$E$17+1,1))-AVERAGE(OFFSET($H$3,0,0,'Données projet'!$E$17+1,1))</f>
        <v>204.78565758021779</v>
      </c>
      <c r="GF145" s="59">
        <f t="shared" si="158"/>
        <v>287.25131613242439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2.2861214585068677</v>
      </c>
      <c r="GM145" s="21">
        <f>EXP(-LN(2)/25)*GM144+(1-EXP(-LN(2)/25))/(LN(2)/25)*Calculateur!GH145*Calculateur!GJ145*VLOOKUP('Données projet'!$B$17,Paramètres!$A$1:$I$89,3,0)*0.475*44/12</f>
        <v>0.8977111017802154</v>
      </c>
      <c r="GN145" s="21">
        <f>EXP(-LN(2)/2)*GN144+(1-EXP(-LN(2)/2))/(LN(2)/2)*GH145*GK145*VLOOKUP('Données projet'!$B$17,Paramètres!$A$1:$I$89,3,0)*0.475*44/12</f>
        <v>3.4644000627876019E-14</v>
      </c>
      <c r="GO145" s="21">
        <f t="shared" si="135"/>
        <v>3.1838325602871178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5.6843418860808015E-14</v>
      </c>
      <c r="GV145" s="17">
        <f>GU145*VLOOKUP('Données projet'!$B$18,Paramètres!$A$1:$I$89,3,0)*VLOOKUP('Données projet'!$B$18,Paramètres!$A$1:$I$89,5,0)</f>
        <v>4.4337866711430253E-14</v>
      </c>
      <c r="GW145" s="13">
        <f t="shared" si="159"/>
        <v>7.3222115536967035E-13</v>
      </c>
      <c r="GX145" s="20">
        <f t="shared" si="136"/>
        <v>1.3525069634579169E-12</v>
      </c>
      <c r="GY145" s="59">
        <f t="shared" si="137"/>
        <v>293.33333333333468</v>
      </c>
      <c r="GZ145" s="59">
        <f ca="1">AVERAGE(OFFSET($GY$3,0,0,'Données projet'!$E$18+1,1))-AVERAGE(OFFSET($H$3,0,0,'Données projet'!$E$18+1,1))</f>
        <v>288.82868507674738</v>
      </c>
      <c r="HA145" s="59">
        <f t="shared" si="160"/>
        <v>283.48738729114024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10.129582648301987</v>
      </c>
      <c r="HH145" s="21">
        <f>EXP(-LN(2)/25)*HH144+(1-EXP(-LN(2)/25))/(LN(2)/25)*Calculateur!HC145*Calculateur!HE145*VLOOKUP('Données projet'!$B$18,Paramètres!$A$1:$I$89,3,0)*0.475*44/12</f>
        <v>5.5936313799938713</v>
      </c>
      <c r="HI145" s="21">
        <f>EXP(-LN(2)/2)*HI144+(1-EXP(-LN(2)/2))/(LN(2)/2)*HC145*HF145*VLOOKUP('Données projet'!$B$18,Paramètres!$A$1:$I$89,3,0)*0.475*44/12</f>
        <v>6.2516475604139074E-10</v>
      </c>
      <c r="HJ145" s="22">
        <f t="shared" si="138"/>
        <v>15.723214028921022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349.71285006949597</v>
      </c>
      <c r="T146" s="59">
        <f t="shared" si="142"/>
        <v>258.51550516456842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44.014522762855023</v>
      </c>
      <c r="AA146" s="21">
        <f>EXP(-LN(2)/25)*AA145+(1-EXP(-LN(2)/25))/(LN(2)/25)*Calculateur!V146*Calculateur!X146*VLOOKUP('Données projet'!$B$9,Paramètres!$A$1:$I$89,3,0)*0.475*44/12</f>
        <v>9.0212670252256739</v>
      </c>
      <c r="AB146" s="21">
        <f>EXP(-LN(2)/2)*AB145+(1-EXP(-LN(2)/2))/(LN(2)/2)*V146*Y146*VLOOKUP('Données projet'!$B$9,Paramètres!$A$1:$I$89,3,0)*0.475*44/12</f>
        <v>2.3285028369855847E-8</v>
      </c>
      <c r="AC146" s="22">
        <f t="shared" si="111"/>
        <v>53.035789811365724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2.5579538487363607E-13</v>
      </c>
      <c r="AJ146" s="13">
        <f>AI146*VLOOKUP('Données projet'!$B$10,Paramètres!$A$1:$I$89,3,0)*VLOOKUP('Données projet'!$B$10,Paramètres!$A$1:$I$89,5,0)</f>
        <v>2.4341488824575211E-13</v>
      </c>
      <c r="AK146" s="13">
        <f t="shared" si="143"/>
        <v>3.2970717324875541E-12</v>
      </c>
      <c r="AL146" s="20">
        <f t="shared" si="112"/>
        <v>6.1663475311105072E-12</v>
      </c>
      <c r="AM146" s="59">
        <f t="shared" si="113"/>
        <v>293.33333333333945</v>
      </c>
      <c r="AN146" s="59">
        <f ca="1">AVERAGE(OFFSET($AM$3,0,0,'Données projet'!$E$10+1,1))-AVERAGE(OFFSET($H$3,0,0,'Données projet'!$E$10+1,1))</f>
        <v>449.28947235329758</v>
      </c>
      <c r="AO146" s="59">
        <f t="shared" si="144"/>
        <v>289.36994109443964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91.841883557519949</v>
      </c>
      <c r="AV146" s="21">
        <f>EXP(-LN(2)/25)*AV145+(1-EXP(-LN(2)/25))/(LN(2)/25)*Calculateur!AQ146*Calculateur!AS146*VLOOKUP('Données projet'!$B$10,Paramètres!$A$1:$I$89,3,0)*0.475*44/12</f>
        <v>17.265999238189426</v>
      </c>
      <c r="AW146" s="21">
        <f>EXP(-LN(2)/2)*AW145+(1-EXP(-LN(2)/2))/(LN(2)/2)*AQ146*AT146*VLOOKUP('Données projet'!$B$10,Paramètres!$A$1:$I$89,3,0)*0.475*44/12</f>
        <v>7.9123524953048627E-2</v>
      </c>
      <c r="AX146" s="21">
        <f t="shared" si="114"/>
        <v>109.18700632066242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457.64422080000088</v>
      </c>
      <c r="BF146" s="13">
        <f t="shared" si="145"/>
        <v>103.37001757568726</v>
      </c>
      <c r="BG146" s="20">
        <f t="shared" si="115"/>
        <v>977.0997985043233</v>
      </c>
      <c r="BH146" s="59">
        <f t="shared" si="116"/>
        <v>1270.4331318376567</v>
      </c>
      <c r="BI146" s="59">
        <f ca="1">AVERAGE(OFFSET($BH$3,0,0,'Données projet'!$E$11+1,1))-AVERAGE(OFFSET($H$3,0,0,'Données projet'!$E$11+1,1))</f>
        <v>635.71275911100679</v>
      </c>
      <c r="BJ146" s="59">
        <f t="shared" si="146"/>
        <v>281.7776857269169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37.441153589266669</v>
      </c>
      <c r="BQ146" s="21">
        <f>EXP(-LN(2)/25)*BQ145+(1-EXP(-LN(2)/25))/(LN(2)/25)*Calculateur!BL146*Calculateur!BN146*VLOOKUP('Données projet'!$B$11,Paramètres!$A$1:$I$89,3,0)*0.475*44/12</f>
        <v>18.519775595731563</v>
      </c>
      <c r="BR146" s="21">
        <f>EXP(-LN(2)/2)*BR145+(1-EXP(-LN(2)/2))/(LN(2)/2)*BL146*BO146*VLOOKUP('Données projet'!$B$11,Paramètres!$A$1:$I$89,3,0)*0.475*44/12</f>
        <v>7.0517057056032123E-3</v>
      </c>
      <c r="BS146" s="22">
        <f t="shared" si="117"/>
        <v>55.967980890703842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7.3375000000000012</v>
      </c>
      <c r="BY146" s="12">
        <f>IF('Données projet'!$A$114&gt;35,BY145+BX146-CG145,IF(A146&lt;'Données projet'!$A$114,$BV$205^A146,IF(A146='Données projet'!$A$114,'Données projet'!$B$114,BY145+BX146-CG145)))</f>
        <v>372.58249999999981</v>
      </c>
      <c r="BZ146" s="13">
        <f>BY146*VLOOKUP('Données projet'!$B$12,Paramètres!$A$1:$I$89,3,0)*VLOOKUP('Données projet'!$B$12,Paramètres!$A$1:$I$89,5,0)</f>
        <v>424.29695099999975</v>
      </c>
      <c r="CA146" s="13">
        <f t="shared" si="147"/>
        <v>96.685466759324626</v>
      </c>
      <c r="CB146" s="20">
        <f t="shared" si="118"/>
        <v>907.37771093082313</v>
      </c>
      <c r="CC146" s="59">
        <f t="shared" si="119"/>
        <v>1200.7110442641565</v>
      </c>
      <c r="CD146" s="59">
        <f ca="1">AVERAGE(OFFSET($CC$3,0,0,'Données projet'!$E$12+1,1))-AVERAGE(OFFSET($H$3,0,0,'Données projet'!$E$12+1,1))</f>
        <v>593.28343396240075</v>
      </c>
      <c r="CE146" s="59">
        <f t="shared" si="148"/>
        <v>289.66477662068695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26.343649527816385</v>
      </c>
      <c r="CL146" s="21">
        <f>EXP(-LN(2)/25)*CL145+(1-EXP(-LN(2)/25))/(LN(2)/25)*Calculateur!CG146*Calculateur!CI146*VLOOKUP('Données projet'!$B$12,Paramètres!$A$1:$I$89,3,0)*0.475*44/12</f>
        <v>19.901437810621864</v>
      </c>
      <c r="CM146" s="21">
        <f>EXP(-LN(2)/2)*CM145+(1-EXP(-LN(2)/2))/(LN(2)/2)*CG146*CJ146*VLOOKUP('Données projet'!$B$12,Paramètres!$A$1:$I$89,3,0)*0.475*44/12</f>
        <v>0.11917170934361754</v>
      </c>
      <c r="CN146" s="22">
        <f t="shared" si="120"/>
        <v>46.364259047781871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2.2737367544323206E-13</v>
      </c>
      <c r="CU146" s="17">
        <f>CT146*VLOOKUP('Données projet'!$B$13,Paramètres!$A$1:$I$89,3,0)*VLOOKUP('Données projet'!$B$13,Paramètres!$A$1:$I$89,5,0)</f>
        <v>2.3765096557326618E-13</v>
      </c>
      <c r="CV146" s="13">
        <f t="shared" si="149"/>
        <v>3.2279907425805489E-12</v>
      </c>
      <c r="CW146" s="20">
        <f t="shared" si="121"/>
        <v>6.0359926417012276E-12</v>
      </c>
      <c r="CX146" s="59">
        <f t="shared" si="122"/>
        <v>293.33333333333934</v>
      </c>
      <c r="CY146" s="59">
        <f ca="1">AVERAGE(OFFSET($CX$3,0,0,'Données projet'!$E$13+1,1))-AVERAGE(OFFSET($H$3,0,0,'Données projet'!$E$13+1,1))</f>
        <v>260.65406541614402</v>
      </c>
      <c r="CZ146" s="59">
        <f t="shared" si="150"/>
        <v>277.63456890196886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6.3063779717194839</v>
      </c>
      <c r="DG146" s="21">
        <f>EXP(-LN(2)/25)*DG145+(1-EXP(-LN(2)/25))/(LN(2)/25)*Calculateur!DB146*Calculateur!DD146*VLOOKUP('Données projet'!$B$13,Paramètres!$A$1:$I$89,3,0)*0.475*44/12</f>
        <v>11.396446883773605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17.702824855493088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2.2737367544323206E-13</v>
      </c>
      <c r="DP146" s="17">
        <f>DO146*VLOOKUP('Données projet'!$B$14,Paramètres!$A$1:$I$89,3,0)*VLOOKUP('Données projet'!$B$14,Paramètres!$A$1:$I$89,5,0)</f>
        <v>1.4897523215040565E-13</v>
      </c>
      <c r="DQ146" s="13">
        <f t="shared" si="151"/>
        <v>2.136562777003313E-12</v>
      </c>
      <c r="DR146" s="20">
        <f t="shared" si="124"/>
        <v>3.9806453659427267E-12</v>
      </c>
      <c r="DS146" s="59">
        <f t="shared" si="125"/>
        <v>293.33333333333729</v>
      </c>
      <c r="DT146" s="59">
        <f ca="1">AVERAGE(OFFSET($DS$3,0,0,'Données projet'!$E$14+1,1))-AVERAGE(OFFSET($H$3,0,0,'Données projet'!$E$14+1,1))</f>
        <v>181.4272795535777</v>
      </c>
      <c r="DU146" s="59">
        <f t="shared" si="152"/>
        <v>187.67131775419904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5.9181064405393782</v>
      </c>
      <c r="EB146" s="21">
        <f>EXP(-LN(2)/25)*EB145+(1-EXP(-LN(2)/25))/(LN(2)/25)*Calculateur!DW146*Calculateur!DY146*VLOOKUP('Données projet'!$B$14,Paramètres!$A$1:$I$89,3,0)*0.475*44/12</f>
        <v>4.1506422424126193</v>
      </c>
      <c r="EC146" s="21">
        <f>EXP(-LN(2)/2)*EC145+(1-EXP(-LN(2)/2))/(LN(2)/2)*DW146*DZ146*VLOOKUP('Données projet'!$B$14,Paramètres!$A$1:$I$89,3,0)*0.475*44/12</f>
        <v>2.6438643941841771E-7</v>
      </c>
      <c r="ED146" s="22">
        <f t="shared" si="126"/>
        <v>10.068748947338438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1.1368683772161603E-13</v>
      </c>
      <c r="EK146" s="17">
        <f>EJ146*VLOOKUP('Données projet'!$B$15,Paramètres!$A$1:$I$89,3,0)*VLOOKUP('Données projet'!$B$15,Paramètres!$A$1:$I$89,5,0)</f>
        <v>9.2222762759774927E-14</v>
      </c>
      <c r="EL146" s="13">
        <f t="shared" si="153"/>
        <v>1.3985662224947967E-12</v>
      </c>
      <c r="EM146" s="20">
        <f t="shared" si="127"/>
        <v>2.5964574826517121E-12</v>
      </c>
      <c r="EN146" s="59">
        <f t="shared" si="128"/>
        <v>293.33333333333593</v>
      </c>
      <c r="EO146" s="59">
        <f ca="1">AVERAGE(OFFSET($EN$3,0,0,'Données projet'!$E$15+1,1))-AVERAGE(OFFSET($H$3,0,0,'Données projet'!$E$15+1,1))</f>
        <v>159.68591355116837</v>
      </c>
      <c r="EP146" s="59">
        <f t="shared" si="154"/>
        <v>284.32631786390112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1.8966301421496814</v>
      </c>
      <c r="EW146" s="21">
        <f>EXP(-LN(2)/25)*EW145+(1-EXP(-LN(2)/25))/(LN(2)/25)*Calculateur!ER146*Calculateur!ET146*VLOOKUP('Données projet'!$B$15,Paramètres!$A$1:$I$89,3,0)*0.475*44/12</f>
        <v>1.1111281048270782</v>
      </c>
      <c r="EX146" s="21">
        <f>EXP(-LN(2)/2)*EX145+(1-EXP(-LN(2)/2))/(LN(2)/2)*ER146*EU146*VLOOKUP('Données projet'!$B$15,Paramètres!$A$1:$I$89,3,0)*0.475*44/12</f>
        <v>9.1637235479495208E-15</v>
      </c>
      <c r="EY146" s="22">
        <f t="shared" si="129"/>
        <v>3.0077582469767692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-1.3567387213697657E-13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299.10536994156814</v>
      </c>
      <c r="FK146" s="59">
        <f t="shared" si="156"/>
        <v>292.57799203101769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11.665969446297677</v>
      </c>
      <c r="FR146" s="21">
        <f>EXP(-LN(2)/25)*FR145+(1-EXP(-LN(2)/25))/(LN(2)/25)*Calculateur!FM146*Calculateur!FO146*VLOOKUP('Données projet'!$B$16,Paramètres!$A$1:$I$89,3,0)*0.475*44/12</f>
        <v>7.3855291959197871</v>
      </c>
      <c r="FS146" s="21">
        <f>EXP(-LN(2)/2)*FS145+(1-EXP(-LN(2)/2))/(LN(2)/2)*FM146*FP146*VLOOKUP('Données projet'!$B$16,Paramètres!$A$1:$I$89,3,0)*0.475*44/12</f>
        <v>1.7115550947678416E-8</v>
      </c>
      <c r="FT146" s="22">
        <f t="shared" si="132"/>
        <v>19.051498659333014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5.6843418860808015E-14</v>
      </c>
      <c r="GA146" s="17">
        <f>FZ146*VLOOKUP('Données projet'!$B$17,Paramètres!$A$1:$I$89,3,0)*VLOOKUP('Données projet'!$B$17,Paramètres!$A$1:$I$89,5,0)</f>
        <v>5.1431925385259088E-14</v>
      </c>
      <c r="GB146" s="13">
        <f t="shared" si="157"/>
        <v>8.3482866290946129E-13</v>
      </c>
      <c r="GC146" s="20">
        <f t="shared" si="133"/>
        <v>1.5435705246133045E-12</v>
      </c>
      <c r="GD146" s="59">
        <f t="shared" si="134"/>
        <v>293.33333333333485</v>
      </c>
      <c r="GE146" s="59">
        <f ca="1">AVERAGE(OFFSET($GD$3,0,0,'Données projet'!$E$17+1,1))-AVERAGE(OFFSET($H$3,0,0,'Données projet'!$E$17+1,1))</f>
        <v>204.78565758021779</v>
      </c>
      <c r="GF146" s="59">
        <f t="shared" si="158"/>
        <v>287.25131613242439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2.2412920111019523</v>
      </c>
      <c r="GM146" s="21">
        <f>EXP(-LN(2)/25)*GM145+(1-EXP(-LN(2)/25))/(LN(2)/25)*Calculateur!GH146*Calculateur!GJ146*VLOOKUP('Données projet'!$B$17,Paramètres!$A$1:$I$89,3,0)*0.475*44/12</f>
        <v>0.87316314449346033</v>
      </c>
      <c r="GN146" s="21">
        <f>EXP(-LN(2)/2)*GN145+(1-EXP(-LN(2)/2))/(LN(2)/2)*GH146*GK146*VLOOKUP('Données projet'!$B$17,Paramètres!$A$1:$I$89,3,0)*0.475*44/12</f>
        <v>2.4497007771402144E-14</v>
      </c>
      <c r="GO146" s="21">
        <f t="shared" si="135"/>
        <v>3.114455155595437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5.6843418860808015E-14</v>
      </c>
      <c r="GV146" s="17">
        <f>GU146*VLOOKUP('Données projet'!$B$18,Paramètres!$A$1:$I$89,3,0)*VLOOKUP('Données projet'!$B$18,Paramètres!$A$1:$I$89,5,0)</f>
        <v>4.4337866711430253E-14</v>
      </c>
      <c r="GW146" s="13">
        <f t="shared" si="159"/>
        <v>7.3222115536967035E-13</v>
      </c>
      <c r="GX146" s="20">
        <f t="shared" si="136"/>
        <v>1.3525069634579169E-12</v>
      </c>
      <c r="GY146" s="59">
        <f t="shared" si="137"/>
        <v>293.33333333333468</v>
      </c>
      <c r="GZ146" s="59">
        <f ca="1">AVERAGE(OFFSET($GY$3,0,0,'Données projet'!$E$18+1,1))-AVERAGE(OFFSET($H$3,0,0,'Données projet'!$E$18+1,1))</f>
        <v>288.82868507674738</v>
      </c>
      <c r="HA146" s="59">
        <f t="shared" si="160"/>
        <v>283.48738729114024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9.9309477110041318</v>
      </c>
      <c r="HH146" s="21">
        <f>EXP(-LN(2)/25)*HH145+(1-EXP(-LN(2)/25))/(LN(2)/25)*Calculateur!HC146*Calculateur!HE146*VLOOKUP('Données projet'!$B$18,Paramètres!$A$1:$I$89,3,0)*0.475*44/12</f>
        <v>5.4406732357516487</v>
      </c>
      <c r="HI146" s="21">
        <f>EXP(-LN(2)/2)*HI145+(1-EXP(-LN(2)/2))/(LN(2)/2)*HC146*HF146*VLOOKUP('Données projet'!$B$18,Paramètres!$A$1:$I$89,3,0)*0.475*44/12</f>
        <v>4.4205823835570105E-10</v>
      </c>
      <c r="HJ146" s="22">
        <f t="shared" si="138"/>
        <v>15.371620947197838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349.71285006949597</v>
      </c>
      <c r="T147" s="59">
        <f t="shared" si="142"/>
        <v>258.51550516456842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43.151424817683477</v>
      </c>
      <c r="AA147" s="21">
        <f>EXP(-LN(2)/25)*AA146+(1-EXP(-LN(2)/25))/(LN(2)/25)*Calculateur!V147*Calculateur!X147*VLOOKUP('Données projet'!$B$9,Paramètres!$A$1:$I$89,3,0)*0.475*44/12</f>
        <v>8.7745800040130639</v>
      </c>
      <c r="AB147" s="21">
        <f>EXP(-LN(2)/2)*AB146+(1-EXP(-LN(2)/2))/(LN(2)/2)*V147*Y147*VLOOKUP('Données projet'!$B$9,Paramètres!$A$1:$I$89,3,0)*0.475*44/12</f>
        <v>1.6465001460446209E-8</v>
      </c>
      <c r="AC147" s="22">
        <f t="shared" si="111"/>
        <v>51.926004838161539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2.5579538487363607E-13</v>
      </c>
      <c r="AJ147" s="13">
        <f>AI147*VLOOKUP('Données projet'!$B$10,Paramètres!$A$1:$I$89,3,0)*VLOOKUP('Données projet'!$B$10,Paramètres!$A$1:$I$89,5,0)</f>
        <v>2.4341488824575211E-13</v>
      </c>
      <c r="AK147" s="13">
        <f t="shared" si="143"/>
        <v>3.2970717324875541E-12</v>
      </c>
      <c r="AL147" s="20">
        <f t="shared" si="112"/>
        <v>6.1663475311105072E-12</v>
      </c>
      <c r="AM147" s="59">
        <f t="shared" si="113"/>
        <v>293.33333333333945</v>
      </c>
      <c r="AN147" s="59">
        <f ca="1">AVERAGE(OFFSET($AM$3,0,0,'Données projet'!$E$10+1,1))-AVERAGE(OFFSET($H$3,0,0,'Données projet'!$E$10+1,1))</f>
        <v>449.28947235329758</v>
      </c>
      <c r="AO147" s="59">
        <f t="shared" si="144"/>
        <v>289.36994109443964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90.040920238974635</v>
      </c>
      <c r="AV147" s="21">
        <f>EXP(-LN(2)/25)*AV146+(1-EXP(-LN(2)/25))/(LN(2)/25)*Calculateur!AQ147*Calculateur!AS147*VLOOKUP('Données projet'!$B$10,Paramètres!$A$1:$I$89,3,0)*0.475*44/12</f>
        <v>16.793859581041698</v>
      </c>
      <c r="AW147" s="21">
        <f>EXP(-LN(2)/2)*AW146+(1-EXP(-LN(2)/2))/(LN(2)/2)*AQ147*AT147*VLOOKUP('Données projet'!$B$10,Paramètres!$A$1:$I$89,3,0)*0.475*44/12</f>
        <v>5.5948781045683689E-2</v>
      </c>
      <c r="AX147" s="21">
        <f t="shared" si="114"/>
        <v>106.89072860106202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465.91771200000085</v>
      </c>
      <c r="BF147" s="13">
        <f t="shared" si="145"/>
        <v>105.01953528507198</v>
      </c>
      <c r="BG147" s="20">
        <f t="shared" si="115"/>
        <v>994.38237235483496</v>
      </c>
      <c r="BH147" s="59">
        <f t="shared" si="116"/>
        <v>1287.7157056881683</v>
      </c>
      <c r="BI147" s="59">
        <f ca="1">AVERAGE(OFFSET($BH$3,0,0,'Données projet'!$E$11+1,1))-AVERAGE(OFFSET($H$3,0,0,'Données projet'!$E$11+1,1))</f>
        <v>635.71275911100679</v>
      </c>
      <c r="BJ147" s="59">
        <f t="shared" si="146"/>
        <v>281.7776857269169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49.997006091476479</v>
      </c>
      <c r="BQ147" s="21">
        <f>EXP(-LN(2)/25)*BQ146+(1-EXP(-LN(2)/25))/(LN(2)/25)*Calculateur!BL147*Calculateur!BN147*VLOOKUP('Données projet'!$B$11,Paramètres!$A$1:$I$89,3,0)*0.475*44/12</f>
        <v>23.30844043566745</v>
      </c>
      <c r="BR147" s="21">
        <f>EXP(-LN(2)/2)*BR146+(1-EXP(-LN(2)/2))/(LN(2)/2)*BL147*BO147*VLOOKUP('Données projet'!$B$11,Paramètres!$A$1:$I$89,3,0)*0.475*44/12</f>
        <v>4.9863089233638993E-3</v>
      </c>
      <c r="BS147" s="22">
        <f t="shared" si="117"/>
        <v>73.310432836067292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379.92</v>
      </c>
      <c r="BW147" s="12">
        <f>VLOOKUP(A147,'Données projet'!$A$113:$I$133,9,0)</f>
        <v>7.3375000000000012</v>
      </c>
      <c r="BX147" s="12">
        <f t="array" ref="BX147">INDEX(BW:BW,MIN(IF(ISNUMBER(BW147:BW343),ROW(BW147:BW343),"")))</f>
        <v>7.3375000000000012</v>
      </c>
      <c r="BY147" s="12">
        <f>IF('Données projet'!$A$114&gt;35,BY146+BX147-CG146,IF(A147&lt;'Données projet'!$A$114,$BV$205^A147,IF(A147='Données projet'!$A$114,'Données projet'!$B$114,BY146+BX147-CG146)))</f>
        <v>379.91999999999979</v>
      </c>
      <c r="BZ147" s="13">
        <f>BY147*VLOOKUP('Données projet'!$B$12,Paramètres!$A$1:$I$89,3,0)*VLOOKUP('Données projet'!$B$12,Paramètres!$A$1:$I$89,5,0)</f>
        <v>432.65289599999977</v>
      </c>
      <c r="CA147" s="13">
        <f t="shared" si="147"/>
        <v>98.366003924731828</v>
      </c>
      <c r="CB147" s="20">
        <f t="shared" si="118"/>
        <v>924.85791736890758</v>
      </c>
      <c r="CC147" s="59">
        <f t="shared" si="119"/>
        <v>1218.1912507022409</v>
      </c>
      <c r="CD147" s="59">
        <f ca="1">AVERAGE(OFFSET($CC$3,0,0,'Données projet'!$E$12+1,1))-AVERAGE(OFFSET($H$3,0,0,'Données projet'!$E$12+1,1))</f>
        <v>593.28343396240075</v>
      </c>
      <c r="CE147" s="59">
        <f t="shared" si="148"/>
        <v>289.66477662068695</v>
      </c>
      <c r="CF147" s="15">
        <f>IF(ISNA(VLOOKUP(A147,'Données projet'!$A$113:$I$133,3,0)),0,VLOOKUP(A147,'Données projet'!$A$113:$I$133,3,0))</f>
        <v>10</v>
      </c>
      <c r="CG147" s="15">
        <f>IF(ISNA(VLOOKUP(A147,'Données projet'!$A$113:$I$133,4,0)),0,VLOOKUP(A147,'Données projet'!$A$113:$I$133,4,0))</f>
        <v>60.949999999999989</v>
      </c>
      <c r="CH147" s="16">
        <f>IF(ISNA(VLOOKUP(A147,'Données projet'!$A$113:$I$133,5,0)),0%,VLOOKUP(A147,'Données projet'!$A$113:$I$133,5,0)*VLOOKUP('Données projet'!$B$12,Paramètres!$A$1:$I$89,7,0))</f>
        <v>0.15049999999999999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0.1</v>
      </c>
      <c r="CK147" s="21">
        <f>EXP(-LN(2)/35)*CK146+(1-EXP(-LN(2)/35))/(LN(2)/35)*CG147*CH147*VLOOKUP('Données projet'!$B$12,Paramètres!$A$1:$I$89,3,0)*0.475*44/12</f>
        <v>37.375013542383627</v>
      </c>
      <c r="CL147" s="21">
        <f>EXP(-LN(2)/25)*CL146+(1-EXP(-LN(2)/25))/(LN(2)/25)*Calculateur!CG147*Calculateur!CI147*VLOOKUP('Données projet'!$B$12,Paramètres!$A$1:$I$89,3,0)*0.475*44/12</f>
        <v>25.930076659494059</v>
      </c>
      <c r="CM147" s="21">
        <f>EXP(-LN(2)/2)*CM146+(1-EXP(-LN(2)/2))/(LN(2)/2)*CG147*CJ147*VLOOKUP('Données projet'!$B$12,Paramètres!$A$1:$I$89,3,0)*0.475*44/12</f>
        <v>6.6332742287016577</v>
      </c>
      <c r="CN147" s="22">
        <f t="shared" si="120"/>
        <v>69.938364430579341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2.2737367544323206E-13</v>
      </c>
      <c r="CU147" s="17">
        <f>CT147*VLOOKUP('Données projet'!$B$13,Paramètres!$A$1:$I$89,3,0)*VLOOKUP('Données projet'!$B$13,Paramètres!$A$1:$I$89,5,0)</f>
        <v>2.3765096557326618E-13</v>
      </c>
      <c r="CV147" s="13">
        <f t="shared" si="149"/>
        <v>3.2279907425805489E-12</v>
      </c>
      <c r="CW147" s="20">
        <f t="shared" si="121"/>
        <v>6.0359926417012276E-12</v>
      </c>
      <c r="CX147" s="59">
        <f t="shared" si="122"/>
        <v>293.33333333333934</v>
      </c>
      <c r="CY147" s="59">
        <f ca="1">AVERAGE(OFFSET($CX$3,0,0,'Données projet'!$E$13+1,1))-AVERAGE(OFFSET($H$3,0,0,'Données projet'!$E$13+1,1))</f>
        <v>260.65406541614402</v>
      </c>
      <c r="CZ147" s="59">
        <f t="shared" si="150"/>
        <v>277.63456890196886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6.1827137462048158</v>
      </c>
      <c r="DG147" s="21">
        <f>EXP(-LN(2)/25)*DG146+(1-EXP(-LN(2)/25))/(LN(2)/25)*Calculateur!DB147*Calculateur!DD147*VLOOKUP('Données projet'!$B$13,Paramètres!$A$1:$I$89,3,0)*0.475*44/12</f>
        <v>11.08481044442372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17.267524190628535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2.2737367544323206E-13</v>
      </c>
      <c r="DP147" s="17">
        <f>DO147*VLOOKUP('Données projet'!$B$14,Paramètres!$A$1:$I$89,3,0)*VLOOKUP('Données projet'!$B$14,Paramètres!$A$1:$I$89,5,0)</f>
        <v>1.4897523215040565E-13</v>
      </c>
      <c r="DQ147" s="13">
        <f t="shared" si="151"/>
        <v>2.136562777003313E-12</v>
      </c>
      <c r="DR147" s="20">
        <f t="shared" si="124"/>
        <v>3.9806453659427267E-12</v>
      </c>
      <c r="DS147" s="59">
        <f t="shared" si="125"/>
        <v>293.33333333333729</v>
      </c>
      <c r="DT147" s="59">
        <f ca="1">AVERAGE(OFFSET($DS$3,0,0,'Données projet'!$E$14+1,1))-AVERAGE(OFFSET($H$3,0,0,'Données projet'!$E$14+1,1))</f>
        <v>181.4272795535777</v>
      </c>
      <c r="DU147" s="59">
        <f t="shared" si="152"/>
        <v>187.67131775419904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5.8020559829289029</v>
      </c>
      <c r="EB147" s="21">
        <f>EXP(-LN(2)/25)*EB146+(1-EXP(-LN(2)/25))/(LN(2)/25)*Calculateur!DW147*Calculateur!DY147*VLOOKUP('Données projet'!$B$14,Paramètres!$A$1:$I$89,3,0)*0.475*44/12</f>
        <v>4.0371427120210575</v>
      </c>
      <c r="EC147" s="21">
        <f>EXP(-LN(2)/2)*EC146+(1-EXP(-LN(2)/2))/(LN(2)/2)*DW147*DZ147*VLOOKUP('Données projet'!$B$14,Paramètres!$A$1:$I$89,3,0)*0.475*44/12</f>
        <v>1.8694944416652949E-7</v>
      </c>
      <c r="ED147" s="22">
        <f t="shared" si="126"/>
        <v>9.8391988818994047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1.1368683772161603E-13</v>
      </c>
      <c r="EK147" s="17">
        <f>EJ147*VLOOKUP('Données projet'!$B$15,Paramètres!$A$1:$I$89,3,0)*VLOOKUP('Données projet'!$B$15,Paramètres!$A$1:$I$89,5,0)</f>
        <v>9.2222762759774927E-14</v>
      </c>
      <c r="EL147" s="13">
        <f t="shared" si="153"/>
        <v>1.3985662224947967E-12</v>
      </c>
      <c r="EM147" s="20">
        <f t="shared" si="127"/>
        <v>2.5964574826517121E-12</v>
      </c>
      <c r="EN147" s="59">
        <f t="shared" si="128"/>
        <v>293.33333333333593</v>
      </c>
      <c r="EO147" s="59">
        <f ca="1">AVERAGE(OFFSET($EN$3,0,0,'Données projet'!$E$15+1,1))-AVERAGE(OFFSET($H$3,0,0,'Données projet'!$E$15+1,1))</f>
        <v>159.68591355116837</v>
      </c>
      <c r="EP147" s="59">
        <f t="shared" si="154"/>
        <v>284.32631786390112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1.8594383818922853</v>
      </c>
      <c r="EW147" s="21">
        <f>EXP(-LN(2)/25)*EW146+(1-EXP(-LN(2)/25))/(LN(2)/25)*Calculateur!ER147*Calculateur!ET147*VLOOKUP('Données projet'!$B$15,Paramètres!$A$1:$I$89,3,0)*0.475*44/12</f>
        <v>1.0807442483688943</v>
      </c>
      <c r="EX147" s="21">
        <f>EXP(-LN(2)/2)*EX146+(1-EXP(-LN(2)/2))/(LN(2)/2)*ER147*EU147*VLOOKUP('Données projet'!$B$15,Paramètres!$A$1:$I$89,3,0)*0.475*44/12</f>
        <v>6.4797310616739548E-15</v>
      </c>
      <c r="EY147" s="22">
        <f t="shared" si="129"/>
        <v>2.940182630261186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-1.3567387213697657E-13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299.10536994156814</v>
      </c>
      <c r="FK147" s="59">
        <f t="shared" si="156"/>
        <v>292.57799203101769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11.437206900994541</v>
      </c>
      <c r="FR147" s="21">
        <f>EXP(-LN(2)/25)*FR146+(1-EXP(-LN(2)/25))/(LN(2)/25)*Calculateur!FM147*Calculateur!FO147*VLOOKUP('Données projet'!$B$16,Paramètres!$A$1:$I$89,3,0)*0.475*44/12</f>
        <v>7.1835715116692596</v>
      </c>
      <c r="FS147" s="21">
        <f>EXP(-LN(2)/2)*FS146+(1-EXP(-LN(2)/2))/(LN(2)/2)*FM147*FP147*VLOOKUP('Données projet'!$B$16,Paramètres!$A$1:$I$89,3,0)*0.475*44/12</f>
        <v>1.2102522138847248E-8</v>
      </c>
      <c r="FT147" s="22">
        <f t="shared" si="132"/>
        <v>18.620778424766321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5.6843418860808015E-14</v>
      </c>
      <c r="GA147" s="17">
        <f>FZ147*VLOOKUP('Données projet'!$B$17,Paramètres!$A$1:$I$89,3,0)*VLOOKUP('Données projet'!$B$17,Paramètres!$A$1:$I$89,5,0)</f>
        <v>5.1431925385259088E-14</v>
      </c>
      <c r="GB147" s="13">
        <f t="shared" si="157"/>
        <v>8.3482866290946129E-13</v>
      </c>
      <c r="GC147" s="20">
        <f t="shared" si="133"/>
        <v>1.5435705246133045E-12</v>
      </c>
      <c r="GD147" s="59">
        <f t="shared" si="134"/>
        <v>293.33333333333485</v>
      </c>
      <c r="GE147" s="59">
        <f ca="1">AVERAGE(OFFSET($GD$3,0,0,'Données projet'!$E$17+1,1))-AVERAGE(OFFSET($H$3,0,0,'Données projet'!$E$17+1,1))</f>
        <v>204.78565758021779</v>
      </c>
      <c r="GF147" s="59">
        <f t="shared" si="158"/>
        <v>287.25131613242439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2.1973416418173843</v>
      </c>
      <c r="GM147" s="21">
        <f>EXP(-LN(2)/25)*GM146+(1-EXP(-LN(2)/25))/(LN(2)/25)*Calculateur!GH147*Calculateur!GJ147*VLOOKUP('Données projet'!$B$17,Paramètres!$A$1:$I$89,3,0)*0.475*44/12</f>
        <v>0.84928645238963252</v>
      </c>
      <c r="GN147" s="21">
        <f>EXP(-LN(2)/2)*GN146+(1-EXP(-LN(2)/2))/(LN(2)/2)*GH147*GK147*VLOOKUP('Données projet'!$B$17,Paramètres!$A$1:$I$89,3,0)*0.475*44/12</f>
        <v>1.732200031393801E-14</v>
      </c>
      <c r="GO147" s="21">
        <f t="shared" si="135"/>
        <v>3.0466280942070343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5.6843418860808015E-14</v>
      </c>
      <c r="GV147" s="17">
        <f>GU147*VLOOKUP('Données projet'!$B$18,Paramètres!$A$1:$I$89,3,0)*VLOOKUP('Données projet'!$B$18,Paramètres!$A$1:$I$89,5,0)</f>
        <v>4.4337866711430253E-14</v>
      </c>
      <c r="GW147" s="13">
        <f t="shared" si="159"/>
        <v>7.3222115536967035E-13</v>
      </c>
      <c r="GX147" s="20">
        <f t="shared" si="136"/>
        <v>1.3525069634579169E-12</v>
      </c>
      <c r="GY147" s="59">
        <f t="shared" si="137"/>
        <v>293.33333333333468</v>
      </c>
      <c r="GZ147" s="59">
        <f ca="1">AVERAGE(OFFSET($GY$3,0,0,'Données projet'!$E$18+1,1))-AVERAGE(OFFSET($H$3,0,0,'Données projet'!$E$18+1,1))</f>
        <v>288.82868507674738</v>
      </c>
      <c r="HA147" s="59">
        <f t="shared" si="160"/>
        <v>283.48738729114024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9.7362078836713373</v>
      </c>
      <c r="HH147" s="21">
        <f>EXP(-LN(2)/25)*HH146+(1-EXP(-LN(2)/25))/(LN(2)/25)*Calculateur!HC147*Calculateur!HE147*VLOOKUP('Données projet'!$B$18,Paramètres!$A$1:$I$89,3,0)*0.475*44/12</f>
        <v>5.2918977400074496</v>
      </c>
      <c r="HI147" s="21">
        <f>EXP(-LN(2)/2)*HI146+(1-EXP(-LN(2)/2))/(LN(2)/2)*HC147*HF147*VLOOKUP('Données projet'!$B$18,Paramètres!$A$1:$I$89,3,0)*0.475*44/12</f>
        <v>3.1258237802069537E-10</v>
      </c>
      <c r="HJ147" s="22">
        <f t="shared" si="138"/>
        <v>15.028105623991369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349.71285006949597</v>
      </c>
      <c r="T148" s="59">
        <f t="shared" si="142"/>
        <v>258.51550516456842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42.305251696778981</v>
      </c>
      <c r="AA148" s="21">
        <f>EXP(-LN(2)/25)*AA147+(1-EXP(-LN(2)/25))/(LN(2)/25)*Calculateur!V148*Calculateur!X148*VLOOKUP('Données projet'!$B$9,Paramètres!$A$1:$I$89,3,0)*0.475*44/12</f>
        <v>8.5346386523682192</v>
      </c>
      <c r="AB148" s="21">
        <f>EXP(-LN(2)/2)*AB147+(1-EXP(-LN(2)/2))/(LN(2)/2)*V148*Y148*VLOOKUP('Données projet'!$B$9,Paramètres!$A$1:$I$89,3,0)*0.475*44/12</f>
        <v>1.1642514184927923E-8</v>
      </c>
      <c r="AC148" s="22">
        <f t="shared" si="111"/>
        <v>50.83989036078971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2.5579538487363607E-13</v>
      </c>
      <c r="AJ148" s="13">
        <f>AI148*VLOOKUP('Données projet'!$B$10,Paramètres!$A$1:$I$89,3,0)*VLOOKUP('Données projet'!$B$10,Paramètres!$A$1:$I$89,5,0)</f>
        <v>2.4341488824575211E-13</v>
      </c>
      <c r="AK148" s="13">
        <f t="shared" si="143"/>
        <v>3.2970717324875541E-12</v>
      </c>
      <c r="AL148" s="20">
        <f t="shared" si="112"/>
        <v>6.1663475311105072E-12</v>
      </c>
      <c r="AM148" s="59">
        <f t="shared" si="113"/>
        <v>293.33333333333945</v>
      </c>
      <c r="AN148" s="59">
        <f ca="1">AVERAGE(OFFSET($AM$3,0,0,'Données projet'!$E$10+1,1))-AVERAGE(OFFSET($H$3,0,0,'Données projet'!$E$10+1,1))</f>
        <v>449.28947235329758</v>
      </c>
      <c r="AO148" s="59">
        <f t="shared" si="144"/>
        <v>289.36994109443964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88.27527271262683</v>
      </c>
      <c r="AV148" s="21">
        <f>EXP(-LN(2)/25)*AV147+(1-EXP(-LN(2)/25))/(LN(2)/25)*Calculateur!AQ148*Calculateur!AS148*VLOOKUP('Données projet'!$B$10,Paramètres!$A$1:$I$89,3,0)*0.475*44/12</f>
        <v>16.334630607647419</v>
      </c>
      <c r="AW148" s="21">
        <f>EXP(-LN(2)/2)*AW147+(1-EXP(-LN(2)/2))/(LN(2)/2)*AQ148*AT148*VLOOKUP('Données projet'!$B$10,Paramètres!$A$1:$I$89,3,0)*0.475*44/12</f>
        <v>3.9561762476524313E-2</v>
      </c>
      <c r="AX148" s="21">
        <f t="shared" si="114"/>
        <v>104.64946508275077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418.44738000000081</v>
      </c>
      <c r="BF148" s="13">
        <f t="shared" si="145"/>
        <v>95.506718301246906</v>
      </c>
      <c r="BG148" s="20">
        <f t="shared" si="115"/>
        <v>895.13672120800663</v>
      </c>
      <c r="BH148" s="59">
        <f t="shared" si="116"/>
        <v>1188.47005454134</v>
      </c>
      <c r="BI148" s="59">
        <f ca="1">AVERAGE(OFFSET($BH$3,0,0,'Données projet'!$E$11+1,1))-AVERAGE(OFFSET($H$3,0,0,'Données projet'!$E$11+1,1))</f>
        <v>635.71275911100679</v>
      </c>
      <c r="BJ148" s="59">
        <f t="shared" si="146"/>
        <v>281.7776857269169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49.016595297185191</v>
      </c>
      <c r="BQ148" s="21">
        <f>EXP(-LN(2)/25)*BQ147+(1-EXP(-LN(2)/25))/(LN(2)/25)*Calculateur!BL148*Calculateur!BN148*VLOOKUP('Données projet'!$B$11,Paramètres!$A$1:$I$89,3,0)*0.475*44/12</f>
        <v>22.671069906216513</v>
      </c>
      <c r="BR148" s="21">
        <f>EXP(-LN(2)/2)*BR147+(1-EXP(-LN(2)/2))/(LN(2)/2)*BL148*BO148*VLOOKUP('Données projet'!$B$11,Paramètres!$A$1:$I$89,3,0)*0.475*44/12</f>
        <v>3.5258528528016061E-3</v>
      </c>
      <c r="BS148" s="22">
        <f t="shared" si="117"/>
        <v>71.69119105625451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7.5191666666666634</v>
      </c>
      <c r="BY148" s="12">
        <f>IF('Données projet'!$A$114&gt;35,BY147+BX148-CG147,IF(A148&lt;'Données projet'!$A$114,$BV$205^A148,IF(A148='Données projet'!$A$114,'Données projet'!$B$114,BY147+BX148-CG147)))</f>
        <v>326.48916666666645</v>
      </c>
      <c r="BZ148" s="13">
        <f>BY148*VLOOKUP('Données projet'!$B$12,Paramètres!$A$1:$I$89,3,0)*VLOOKUP('Données projet'!$B$12,Paramètres!$A$1:$I$89,5,0)</f>
        <v>371.80586299999976</v>
      </c>
      <c r="CA148" s="13">
        <f t="shared" si="147"/>
        <v>86.036649435918704</v>
      </c>
      <c r="CB148" s="20">
        <f t="shared" si="118"/>
        <v>797.409042492558</v>
      </c>
      <c r="CC148" s="59">
        <f t="shared" si="119"/>
        <v>1090.7423758258913</v>
      </c>
      <c r="CD148" s="59">
        <f ca="1">AVERAGE(OFFSET($CC$3,0,0,'Données projet'!$E$12+1,1))-AVERAGE(OFFSET($H$3,0,0,'Données projet'!$E$12+1,1))</f>
        <v>593.28343396240075</v>
      </c>
      <c r="CE148" s="59">
        <f t="shared" si="148"/>
        <v>289.66477662068695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36.642112323324774</v>
      </c>
      <c r="CL148" s="21">
        <f>EXP(-LN(2)/25)*CL147+(1-EXP(-LN(2)/25))/(LN(2)/25)*Calculateur!CG148*Calculateur!CI148*VLOOKUP('Données projet'!$B$12,Paramètres!$A$1:$I$89,3,0)*0.475*44/12</f>
        <v>25.221017349636725</v>
      </c>
      <c r="CM148" s="21">
        <f>EXP(-LN(2)/2)*CM147+(1-EXP(-LN(2)/2))/(LN(2)/2)*CG148*CJ148*VLOOKUP('Données projet'!$B$12,Paramètres!$A$1:$I$89,3,0)*0.475*44/12</f>
        <v>4.6904331885849082</v>
      </c>
      <c r="CN148" s="22">
        <f t="shared" si="120"/>
        <v>66.553562861546411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2.2737367544323206E-13</v>
      </c>
      <c r="CU148" s="17">
        <f>CT148*VLOOKUP('Données projet'!$B$13,Paramètres!$A$1:$I$89,3,0)*VLOOKUP('Données projet'!$B$13,Paramètres!$A$1:$I$89,5,0)</f>
        <v>2.3765096557326618E-13</v>
      </c>
      <c r="CV148" s="13">
        <f t="shared" si="149"/>
        <v>3.2279907425805489E-12</v>
      </c>
      <c r="CW148" s="20">
        <f t="shared" si="121"/>
        <v>6.0359926417012276E-12</v>
      </c>
      <c r="CX148" s="59">
        <f t="shared" si="122"/>
        <v>293.33333333333934</v>
      </c>
      <c r="CY148" s="59">
        <f ca="1">AVERAGE(OFFSET($CX$3,0,0,'Données projet'!$E$13+1,1))-AVERAGE(OFFSET($H$3,0,0,'Données projet'!$E$13+1,1))</f>
        <v>260.65406541614402</v>
      </c>
      <c r="CZ148" s="59">
        <f t="shared" si="150"/>
        <v>277.63456890196886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6.0614745007247608</v>
      </c>
      <c r="DG148" s="21">
        <f>EXP(-LN(2)/25)*DG147+(1-EXP(-LN(2)/25))/(LN(2)/25)*Calculateur!DB148*Calculateur!DD148*VLOOKUP('Données projet'!$B$13,Paramètres!$A$1:$I$89,3,0)*0.475*44/12</f>
        <v>10.781695719896106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16.843170220620866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2.2737367544323206E-13</v>
      </c>
      <c r="DP148" s="17">
        <f>DO148*VLOOKUP('Données projet'!$B$14,Paramètres!$A$1:$I$89,3,0)*VLOOKUP('Données projet'!$B$14,Paramètres!$A$1:$I$89,5,0)</f>
        <v>1.4897523215040565E-13</v>
      </c>
      <c r="DQ148" s="13">
        <f t="shared" si="151"/>
        <v>2.136562777003313E-12</v>
      </c>
      <c r="DR148" s="20">
        <f t="shared" si="124"/>
        <v>3.9806453659427267E-12</v>
      </c>
      <c r="DS148" s="59">
        <f t="shared" si="125"/>
        <v>293.33333333333729</v>
      </c>
      <c r="DT148" s="59">
        <f ca="1">AVERAGE(OFFSET($DS$3,0,0,'Données projet'!$E$14+1,1))-AVERAGE(OFFSET($H$3,0,0,'Données projet'!$E$14+1,1))</f>
        <v>181.4272795535777</v>
      </c>
      <c r="DU148" s="59">
        <f t="shared" si="152"/>
        <v>187.67131775419904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5.688281204008379</v>
      </c>
      <c r="EB148" s="21">
        <f>EXP(-LN(2)/25)*EB147+(1-EXP(-LN(2)/25))/(LN(2)/25)*Calculateur!DW148*Calculateur!DY148*VLOOKUP('Données projet'!$B$14,Paramètres!$A$1:$I$89,3,0)*0.475*44/12</f>
        <v>3.9267468322567334</v>
      </c>
      <c r="EC148" s="21">
        <f>EXP(-LN(2)/2)*EC147+(1-EXP(-LN(2)/2))/(LN(2)/2)*DW148*DZ148*VLOOKUP('Données projet'!$B$14,Paramètres!$A$1:$I$89,3,0)*0.475*44/12</f>
        <v>1.3219321970920885E-7</v>
      </c>
      <c r="ED148" s="22">
        <f t="shared" si="126"/>
        <v>9.6150281684583323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1.1368683772161603E-13</v>
      </c>
      <c r="EK148" s="17">
        <f>EJ148*VLOOKUP('Données projet'!$B$15,Paramètres!$A$1:$I$89,3,0)*VLOOKUP('Données projet'!$B$15,Paramètres!$A$1:$I$89,5,0)</f>
        <v>9.2222762759774927E-14</v>
      </c>
      <c r="EL148" s="13">
        <f t="shared" si="153"/>
        <v>1.3985662224947967E-12</v>
      </c>
      <c r="EM148" s="20">
        <f t="shared" si="127"/>
        <v>2.5964574826517121E-12</v>
      </c>
      <c r="EN148" s="59">
        <f t="shared" si="128"/>
        <v>293.33333333333593</v>
      </c>
      <c r="EO148" s="59">
        <f ca="1">AVERAGE(OFFSET($EN$3,0,0,'Données projet'!$E$15+1,1))-AVERAGE(OFFSET($H$3,0,0,'Données projet'!$E$15+1,1))</f>
        <v>159.68591355116837</v>
      </c>
      <c r="EP148" s="59">
        <f t="shared" si="154"/>
        <v>284.32631786390112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1.822975929368803</v>
      </c>
      <c r="EW148" s="21">
        <f>EXP(-LN(2)/25)*EW147+(1-EXP(-LN(2)/25))/(LN(2)/25)*Calculateur!ER148*Calculateur!ET148*VLOOKUP('Données projet'!$B$15,Paramètres!$A$1:$I$89,3,0)*0.475*44/12</f>
        <v>1.0511912400633769</v>
      </c>
      <c r="EX148" s="21">
        <f>EXP(-LN(2)/2)*EX147+(1-EXP(-LN(2)/2))/(LN(2)/2)*ER148*EU148*VLOOKUP('Données projet'!$B$15,Paramètres!$A$1:$I$89,3,0)*0.475*44/12</f>
        <v>4.5818617739747604E-15</v>
      </c>
      <c r="EY148" s="22">
        <f t="shared" si="129"/>
        <v>2.8741671694321846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-1.3567387213697657E-13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299.10536994156814</v>
      </c>
      <c r="FK148" s="59">
        <f t="shared" si="156"/>
        <v>292.57799203101769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11.212930249673423</v>
      </c>
      <c r="FR148" s="21">
        <f>EXP(-LN(2)/25)*FR147+(1-EXP(-LN(2)/25))/(LN(2)/25)*Calculateur!FM148*Calculateur!FO148*VLOOKUP('Données projet'!$B$16,Paramètres!$A$1:$I$89,3,0)*0.475*44/12</f>
        <v>6.9871363709150565</v>
      </c>
      <c r="FS148" s="21">
        <f>EXP(-LN(2)/2)*FS147+(1-EXP(-LN(2)/2))/(LN(2)/2)*FM148*FP148*VLOOKUP('Données projet'!$B$16,Paramètres!$A$1:$I$89,3,0)*0.475*44/12</f>
        <v>8.5577754738392079E-9</v>
      </c>
      <c r="FT148" s="22">
        <f t="shared" si="132"/>
        <v>18.200066629146257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5.6843418860808015E-14</v>
      </c>
      <c r="GA148" s="17">
        <f>FZ148*VLOOKUP('Données projet'!$B$17,Paramètres!$A$1:$I$89,3,0)*VLOOKUP('Données projet'!$B$17,Paramètres!$A$1:$I$89,5,0)</f>
        <v>5.1431925385259088E-14</v>
      </c>
      <c r="GB148" s="13">
        <f t="shared" si="157"/>
        <v>8.3482866290946129E-13</v>
      </c>
      <c r="GC148" s="20">
        <f t="shared" si="133"/>
        <v>1.5435705246133045E-12</v>
      </c>
      <c r="GD148" s="59">
        <f t="shared" si="134"/>
        <v>293.33333333333485</v>
      </c>
      <c r="GE148" s="59">
        <f ca="1">AVERAGE(OFFSET($GD$3,0,0,'Données projet'!$E$17+1,1))-AVERAGE(OFFSET($H$3,0,0,'Données projet'!$E$17+1,1))</f>
        <v>204.78565758021779</v>
      </c>
      <c r="GF148" s="59">
        <f t="shared" si="158"/>
        <v>287.25131613242439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2.1542531124674085</v>
      </c>
      <c r="GM148" s="21">
        <f>EXP(-LN(2)/25)*GM147+(1-EXP(-LN(2)/25))/(LN(2)/25)*Calculateur!GH148*Calculateur!GJ148*VLOOKUP('Données projet'!$B$17,Paramètres!$A$1:$I$89,3,0)*0.475*44/12</f>
        <v>0.82606266968700459</v>
      </c>
      <c r="GN148" s="21">
        <f>EXP(-LN(2)/2)*GN147+(1-EXP(-LN(2)/2))/(LN(2)/2)*GH148*GK148*VLOOKUP('Données projet'!$B$17,Paramètres!$A$1:$I$89,3,0)*0.475*44/12</f>
        <v>1.2248503885701072E-14</v>
      </c>
      <c r="GO148" s="21">
        <f t="shared" si="135"/>
        <v>2.9803157821544257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5.6843418860808015E-14</v>
      </c>
      <c r="GV148" s="17">
        <f>GU148*VLOOKUP('Données projet'!$B$18,Paramètres!$A$1:$I$89,3,0)*VLOOKUP('Données projet'!$B$18,Paramètres!$A$1:$I$89,5,0)</f>
        <v>4.4337866711430253E-14</v>
      </c>
      <c r="GW148" s="13">
        <f t="shared" si="159"/>
        <v>7.3222115536967035E-13</v>
      </c>
      <c r="GX148" s="20">
        <f t="shared" si="136"/>
        <v>1.3525069634579169E-12</v>
      </c>
      <c r="GY148" s="59">
        <f t="shared" si="137"/>
        <v>293.33333333333468</v>
      </c>
      <c r="GZ148" s="59">
        <f ca="1">AVERAGE(OFFSET($GY$3,0,0,'Données projet'!$E$18+1,1))-AVERAGE(OFFSET($H$3,0,0,'Données projet'!$E$18+1,1))</f>
        <v>288.82868507674738</v>
      </c>
      <c r="HA148" s="59">
        <f t="shared" si="160"/>
        <v>283.48738729114024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9.5452867855729728</v>
      </c>
      <c r="HH148" s="21">
        <f>EXP(-LN(2)/25)*HH147+(1-EXP(-LN(2)/25))/(LN(2)/25)*Calculateur!HC148*Calculateur!HE148*VLOOKUP('Données projet'!$B$18,Paramètres!$A$1:$I$89,3,0)*0.475*44/12</f>
        <v>5.1471905180181388</v>
      </c>
      <c r="HI148" s="21">
        <f>EXP(-LN(2)/2)*HI147+(1-EXP(-LN(2)/2))/(LN(2)/2)*HC148*HF148*VLOOKUP('Données projet'!$B$18,Paramètres!$A$1:$I$89,3,0)*0.475*44/12</f>
        <v>2.2102911917785053E-10</v>
      </c>
      <c r="HJ148" s="22">
        <f t="shared" si="138"/>
        <v>14.69247730381214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349.71285006949597</v>
      </c>
      <c r="T149" s="59">
        <f t="shared" si="142"/>
        <v>258.51550516456842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41.475671514660782</v>
      </c>
      <c r="AA149" s="21">
        <f>EXP(-LN(2)/25)*AA148+(1-EXP(-LN(2)/25))/(LN(2)/25)*Calculateur!V149*Calculateur!X149*VLOOKUP('Données projet'!$B$9,Paramètres!$A$1:$I$89,3,0)*0.475*44/12</f>
        <v>8.3012585096020697</v>
      </c>
      <c r="AB149" s="21">
        <f>EXP(-LN(2)/2)*AB148+(1-EXP(-LN(2)/2))/(LN(2)/2)*V149*Y149*VLOOKUP('Données projet'!$B$9,Paramètres!$A$1:$I$89,3,0)*0.475*44/12</f>
        <v>8.2325007302231047E-9</v>
      </c>
      <c r="AC149" s="22">
        <f t="shared" si="111"/>
        <v>49.776930032495351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2.5579538487363607E-13</v>
      </c>
      <c r="AJ149" s="13">
        <f>AI149*VLOOKUP('Données projet'!$B$10,Paramètres!$A$1:$I$89,3,0)*VLOOKUP('Données projet'!$B$10,Paramètres!$A$1:$I$89,5,0)</f>
        <v>2.4341488824575211E-13</v>
      </c>
      <c r="AK149" s="13">
        <f t="shared" si="143"/>
        <v>3.2970717324875541E-12</v>
      </c>
      <c r="AL149" s="20">
        <f t="shared" si="112"/>
        <v>6.1663475311105072E-12</v>
      </c>
      <c r="AM149" s="59">
        <f t="shared" si="113"/>
        <v>293.33333333333945</v>
      </c>
      <c r="AN149" s="59">
        <f ca="1">AVERAGE(OFFSET($AM$3,0,0,'Données projet'!$E$10+1,1))-AVERAGE(OFFSET($H$3,0,0,'Données projet'!$E$10+1,1))</f>
        <v>449.28947235329758</v>
      </c>
      <c r="AO149" s="59">
        <f t="shared" si="144"/>
        <v>289.36994109443964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86.54424845733206</v>
      </c>
      <c r="AV149" s="21">
        <f>EXP(-LN(2)/25)*AV148+(1-EXP(-LN(2)/25))/(LN(2)/25)*Calculateur!AQ149*Calculateur!AS149*VLOOKUP('Données projet'!$B$10,Paramètres!$A$1:$I$89,3,0)*0.475*44/12</f>
        <v>15.88795927468041</v>
      </c>
      <c r="AW149" s="21">
        <f>EXP(-LN(2)/2)*AW148+(1-EXP(-LN(2)/2))/(LN(2)/2)*AQ149*AT149*VLOOKUP('Données projet'!$B$10,Paramètres!$A$1:$I$89,3,0)*0.475*44/12</f>
        <v>2.7974390522841844E-2</v>
      </c>
      <c r="AX149" s="21">
        <f t="shared" si="114"/>
        <v>102.46018212253531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426.89368800000079</v>
      </c>
      <c r="BF149" s="13">
        <f t="shared" si="145"/>
        <v>97.208128358788159</v>
      </c>
      <c r="BG149" s="20">
        <f t="shared" si="115"/>
        <v>912.81066349155742</v>
      </c>
      <c r="BH149" s="59">
        <f t="shared" si="116"/>
        <v>1206.1439968248908</v>
      </c>
      <c r="BI149" s="59">
        <f ca="1">AVERAGE(OFFSET($BH$3,0,0,'Données projet'!$E$11+1,1))-AVERAGE(OFFSET($H$3,0,0,'Données projet'!$E$11+1,1))</f>
        <v>635.71275911100679</v>
      </c>
      <c r="BJ149" s="59">
        <f t="shared" si="146"/>
        <v>281.7776857269169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48.055409760578421</v>
      </c>
      <c r="BQ149" s="21">
        <f>EXP(-LN(2)/25)*BQ148+(1-EXP(-LN(2)/25))/(LN(2)/25)*Calculateur!BL149*Calculateur!BN149*VLOOKUP('Données projet'!$B$11,Paramètres!$A$1:$I$89,3,0)*0.475*44/12</f>
        <v>22.051128307411272</v>
      </c>
      <c r="BR149" s="21">
        <f>EXP(-LN(2)/2)*BR148+(1-EXP(-LN(2)/2))/(LN(2)/2)*BL149*BO149*VLOOKUP('Données projet'!$B$11,Paramètres!$A$1:$I$89,3,0)*0.475*44/12</f>
        <v>2.4931544616819496E-3</v>
      </c>
      <c r="BS149" s="22">
        <f t="shared" si="117"/>
        <v>70.109031222451364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7.5191666666666634</v>
      </c>
      <c r="BY149" s="12">
        <f>IF('Données projet'!$A$114&gt;35,BY148+BX149-CG148,IF(A149&lt;'Données projet'!$A$114,$BV$205^A149,IF(A149='Données projet'!$A$114,'Données projet'!$B$114,BY148+BX149-CG148)))</f>
        <v>334.0083333333331</v>
      </c>
      <c r="BZ149" s="13">
        <f>BY149*VLOOKUP('Données projet'!$B$12,Paramètres!$A$1:$I$89,3,0)*VLOOKUP('Données projet'!$B$12,Paramètres!$A$1:$I$89,5,0)</f>
        <v>380.36868999999973</v>
      </c>
      <c r="CA149" s="13">
        <f t="shared" si="147"/>
        <v>87.785137061676878</v>
      </c>
      <c r="CB149" s="20">
        <f t="shared" si="118"/>
        <v>815.36791546575341</v>
      </c>
      <c r="CC149" s="59">
        <f t="shared" si="119"/>
        <v>1108.7012487990867</v>
      </c>
      <c r="CD149" s="59">
        <f ca="1">AVERAGE(OFFSET($CC$3,0,0,'Données projet'!$E$12+1,1))-AVERAGE(OFFSET($H$3,0,0,'Données projet'!$E$12+1,1))</f>
        <v>593.28343396240075</v>
      </c>
      <c r="CE149" s="59">
        <f t="shared" si="148"/>
        <v>289.66477662068695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35.923582850146062</v>
      </c>
      <c r="CL149" s="21">
        <f>EXP(-LN(2)/25)*CL148+(1-EXP(-LN(2)/25))/(LN(2)/25)*Calculateur!CG149*Calculateur!CI149*VLOOKUP('Données projet'!$B$12,Paramètres!$A$1:$I$89,3,0)*0.475*44/12</f>
        <v>24.531347303895249</v>
      </c>
      <c r="CM149" s="21">
        <f>EXP(-LN(2)/2)*CM148+(1-EXP(-LN(2)/2))/(LN(2)/2)*CG149*CJ149*VLOOKUP('Données projet'!$B$12,Paramètres!$A$1:$I$89,3,0)*0.475*44/12</f>
        <v>3.3166371143508293</v>
      </c>
      <c r="CN149" s="22">
        <f t="shared" si="120"/>
        <v>63.771567268392133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2.2737367544323206E-13</v>
      </c>
      <c r="CU149" s="17">
        <f>CT149*VLOOKUP('Données projet'!$B$13,Paramètres!$A$1:$I$89,3,0)*VLOOKUP('Données projet'!$B$13,Paramètres!$A$1:$I$89,5,0)</f>
        <v>2.3765096557326618E-13</v>
      </c>
      <c r="CV149" s="13">
        <f t="shared" si="149"/>
        <v>3.2279907425805489E-12</v>
      </c>
      <c r="CW149" s="20">
        <f t="shared" si="121"/>
        <v>6.0359926417012276E-12</v>
      </c>
      <c r="CX149" s="59">
        <f t="shared" si="122"/>
        <v>293.33333333333934</v>
      </c>
      <c r="CY149" s="59">
        <f ca="1">AVERAGE(OFFSET($CX$3,0,0,'Données projet'!$E$13+1,1))-AVERAGE(OFFSET($H$3,0,0,'Données projet'!$E$13+1,1))</f>
        <v>260.65406541614402</v>
      </c>
      <c r="CZ149" s="59">
        <f t="shared" si="150"/>
        <v>277.63456890196886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5.9426126828999317</v>
      </c>
      <c r="DG149" s="21">
        <f>EXP(-LN(2)/25)*DG148+(1-EXP(-LN(2)/25))/(LN(2)/25)*Calculateur!DB149*Calculateur!DD149*VLOOKUP('Données projet'!$B$13,Paramètres!$A$1:$I$89,3,0)*0.475*44/12</f>
        <v>10.486869683450811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16.429482366350744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2.2737367544323206E-13</v>
      </c>
      <c r="DP149" s="17">
        <f>DO149*VLOOKUP('Données projet'!$B$14,Paramètres!$A$1:$I$89,3,0)*VLOOKUP('Données projet'!$B$14,Paramètres!$A$1:$I$89,5,0)</f>
        <v>1.4897523215040565E-13</v>
      </c>
      <c r="DQ149" s="13">
        <f t="shared" si="151"/>
        <v>2.136562777003313E-12</v>
      </c>
      <c r="DR149" s="20">
        <f t="shared" si="124"/>
        <v>3.9806453659427267E-12</v>
      </c>
      <c r="DS149" s="59">
        <f t="shared" si="125"/>
        <v>293.33333333333729</v>
      </c>
      <c r="DT149" s="59">
        <f ca="1">AVERAGE(OFFSET($DS$3,0,0,'Données projet'!$E$14+1,1))-AVERAGE(OFFSET($H$3,0,0,'Données projet'!$E$14+1,1))</f>
        <v>181.4272795535777</v>
      </c>
      <c r="DU149" s="59">
        <f t="shared" si="152"/>
        <v>187.67131775419904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5.5767374791067237</v>
      </c>
      <c r="EB149" s="21">
        <f>EXP(-LN(2)/25)*EB148+(1-EXP(-LN(2)/25))/(LN(2)/25)*Calculateur!DW149*Calculateur!DY149*VLOOKUP('Données projet'!$B$14,Paramètres!$A$1:$I$89,3,0)*0.475*44/12</f>
        <v>3.8193697336300318</v>
      </c>
      <c r="EC149" s="21">
        <f>EXP(-LN(2)/2)*EC148+(1-EXP(-LN(2)/2))/(LN(2)/2)*DW149*DZ149*VLOOKUP('Données projet'!$B$14,Paramètres!$A$1:$I$89,3,0)*0.475*44/12</f>
        <v>9.3474722083264747E-8</v>
      </c>
      <c r="ED149" s="22">
        <f t="shared" si="126"/>
        <v>9.3961073062114764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1.1368683772161603E-13</v>
      </c>
      <c r="EK149" s="17">
        <f>EJ149*VLOOKUP('Données projet'!$B$15,Paramètres!$A$1:$I$89,3,0)*VLOOKUP('Données projet'!$B$15,Paramètres!$A$1:$I$89,5,0)</f>
        <v>9.2222762759774927E-14</v>
      </c>
      <c r="EL149" s="13">
        <f t="shared" si="153"/>
        <v>1.3985662224947967E-12</v>
      </c>
      <c r="EM149" s="20">
        <f t="shared" si="127"/>
        <v>2.5964574826517121E-12</v>
      </c>
      <c r="EN149" s="59">
        <f t="shared" si="128"/>
        <v>293.33333333333593</v>
      </c>
      <c r="EO149" s="59">
        <f ca="1">AVERAGE(OFFSET($EN$3,0,0,'Données projet'!$E$15+1,1))-AVERAGE(OFFSET($H$3,0,0,'Données projet'!$E$15+1,1))</f>
        <v>159.68591355116837</v>
      </c>
      <c r="EP149" s="59">
        <f t="shared" si="154"/>
        <v>284.32631786390112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1.7872284832994061</v>
      </c>
      <c r="EW149" s="21">
        <f>EXP(-LN(2)/25)*EW148+(1-EXP(-LN(2)/25))/(LN(2)/25)*Calculateur!ER149*Calculateur!ET149*VLOOKUP('Données projet'!$B$15,Paramètres!$A$1:$I$89,3,0)*0.475*44/12</f>
        <v>1.0224463603240992</v>
      </c>
      <c r="EX149" s="21">
        <f>EXP(-LN(2)/2)*EX148+(1-EXP(-LN(2)/2))/(LN(2)/2)*ER149*EU149*VLOOKUP('Données projet'!$B$15,Paramètres!$A$1:$I$89,3,0)*0.475*44/12</f>
        <v>3.2398655308369774E-15</v>
      </c>
      <c r="EY149" s="22">
        <f t="shared" si="129"/>
        <v>2.8096748436235086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-1.3567387213697657E-13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299.10536994156814</v>
      </c>
      <c r="FK149" s="59">
        <f t="shared" si="156"/>
        <v>292.57799203101769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10.993051526689463</v>
      </c>
      <c r="FR149" s="21">
        <f>EXP(-LN(2)/25)*FR148+(1-EXP(-LN(2)/25))/(LN(2)/25)*Calculateur!FM149*Calculateur!FO149*VLOOKUP('Données projet'!$B$16,Paramètres!$A$1:$I$89,3,0)*0.475*44/12</f>
        <v>6.7960727594148516</v>
      </c>
      <c r="FS149" s="21">
        <f>EXP(-LN(2)/2)*FS148+(1-EXP(-LN(2)/2))/(LN(2)/2)*FM149*FP149*VLOOKUP('Données projet'!$B$16,Paramètres!$A$1:$I$89,3,0)*0.475*44/12</f>
        <v>6.0512610694236239E-9</v>
      </c>
      <c r="FT149" s="22">
        <f t="shared" si="132"/>
        <v>17.789124292155577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5.6843418860808015E-14</v>
      </c>
      <c r="GA149" s="17">
        <f>FZ149*VLOOKUP('Données projet'!$B$17,Paramètres!$A$1:$I$89,3,0)*VLOOKUP('Données projet'!$B$17,Paramètres!$A$1:$I$89,5,0)</f>
        <v>5.1431925385259088E-14</v>
      </c>
      <c r="GB149" s="13">
        <f t="shared" si="157"/>
        <v>8.3482866290946129E-13</v>
      </c>
      <c r="GC149" s="20">
        <f t="shared" si="133"/>
        <v>1.5435705246133045E-12</v>
      </c>
      <c r="GD149" s="59">
        <f t="shared" si="134"/>
        <v>293.33333333333485</v>
      </c>
      <c r="GE149" s="59">
        <f ca="1">AVERAGE(OFFSET($GD$3,0,0,'Données projet'!$E$17+1,1))-AVERAGE(OFFSET($H$3,0,0,'Données projet'!$E$17+1,1))</f>
        <v>204.78565758021779</v>
      </c>
      <c r="GF149" s="59">
        <f t="shared" si="158"/>
        <v>287.25131613242439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2.1120095228965781</v>
      </c>
      <c r="GM149" s="21">
        <f>EXP(-LN(2)/25)*GM148+(1-EXP(-LN(2)/25))/(LN(2)/25)*Calculateur!GH149*Calculateur!GJ149*VLOOKUP('Données projet'!$B$17,Paramètres!$A$1:$I$89,3,0)*0.475*44/12</f>
        <v>0.80347394254366566</v>
      </c>
      <c r="GN149" s="21">
        <f>EXP(-LN(2)/2)*GN148+(1-EXP(-LN(2)/2))/(LN(2)/2)*GH149*GK149*VLOOKUP('Données projet'!$B$17,Paramètres!$A$1:$I$89,3,0)*0.475*44/12</f>
        <v>8.6610001569690048E-15</v>
      </c>
      <c r="GO149" s="21">
        <f t="shared" si="135"/>
        <v>2.9154834654402526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5.6843418860808015E-14</v>
      </c>
      <c r="GV149" s="17">
        <f>GU149*VLOOKUP('Données projet'!$B$18,Paramètres!$A$1:$I$89,3,0)*VLOOKUP('Données projet'!$B$18,Paramètres!$A$1:$I$89,5,0)</f>
        <v>4.4337866711430253E-14</v>
      </c>
      <c r="GW149" s="13">
        <f t="shared" si="159"/>
        <v>7.3222115536967035E-13</v>
      </c>
      <c r="GX149" s="20">
        <f t="shared" si="136"/>
        <v>1.3525069634579169E-12</v>
      </c>
      <c r="GY149" s="59">
        <f t="shared" si="137"/>
        <v>293.33333333333468</v>
      </c>
      <c r="GZ149" s="59">
        <f ca="1">AVERAGE(OFFSET($GY$3,0,0,'Données projet'!$E$18+1,1))-AVERAGE(OFFSET($H$3,0,0,'Données projet'!$E$18+1,1))</f>
        <v>288.82868507674738</v>
      </c>
      <c r="HA149" s="59">
        <f t="shared" si="160"/>
        <v>283.48738729114024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9.358109533757947</v>
      </c>
      <c r="HH149" s="21">
        <f>EXP(-LN(2)/25)*HH148+(1-EXP(-LN(2)/25))/(LN(2)/25)*Calculateur!HC149*Calculateur!HE149*VLOOKUP('Données projet'!$B$18,Paramètres!$A$1:$I$89,3,0)*0.475*44/12</f>
        <v>5.0064403226239476</v>
      </c>
      <c r="HI149" s="21">
        <f>EXP(-LN(2)/2)*HI148+(1-EXP(-LN(2)/2))/(LN(2)/2)*HC149*HF149*VLOOKUP('Données projet'!$B$18,Paramètres!$A$1:$I$89,3,0)*0.475*44/12</f>
        <v>1.5629118901034769E-10</v>
      </c>
      <c r="HJ149" s="22">
        <f t="shared" si="138"/>
        <v>14.364549856538186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349.71285006949597</v>
      </c>
      <c r="T150" s="59">
        <f t="shared" si="142"/>
        <v>258.51550516456842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40.662358893919972</v>
      </c>
      <c r="AA150" s="21">
        <f>EXP(-LN(2)/25)*AA149+(1-EXP(-LN(2)/25))/(LN(2)/25)*Calculateur!V150*Calculateur!X150*VLOOKUP('Données projet'!$B$9,Paramètres!$A$1:$I$89,3,0)*0.475*44/12</f>
        <v>8.0742601591127894</v>
      </c>
      <c r="AB150" s="21">
        <f>EXP(-LN(2)/2)*AB149+(1-EXP(-LN(2)/2))/(LN(2)/2)*V150*Y150*VLOOKUP('Données projet'!$B$9,Paramètres!$A$1:$I$89,3,0)*0.475*44/12</f>
        <v>5.8212570924639616E-9</v>
      </c>
      <c r="AC150" s="22">
        <f t="shared" si="111"/>
        <v>48.736619058854018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2.5579538487363607E-13</v>
      </c>
      <c r="AJ150" s="13">
        <f>AI150*VLOOKUP('Données projet'!$B$10,Paramètres!$A$1:$I$89,3,0)*VLOOKUP('Données projet'!$B$10,Paramètres!$A$1:$I$89,5,0)</f>
        <v>2.4341488824575211E-13</v>
      </c>
      <c r="AK150" s="13">
        <f t="shared" si="143"/>
        <v>3.2970717324875541E-12</v>
      </c>
      <c r="AL150" s="20">
        <f t="shared" si="112"/>
        <v>6.1663475311105072E-12</v>
      </c>
      <c r="AM150" s="59">
        <f t="shared" si="113"/>
        <v>293.33333333333945</v>
      </c>
      <c r="AN150" s="59">
        <f ca="1">AVERAGE(OFFSET($AM$3,0,0,'Données projet'!$E$10+1,1))-AVERAGE(OFFSET($H$3,0,0,'Données projet'!$E$10+1,1))</f>
        <v>449.28947235329758</v>
      </c>
      <c r="AO150" s="59">
        <f t="shared" si="144"/>
        <v>289.36994109443964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84.847168531863076</v>
      </c>
      <c r="AV150" s="21">
        <f>EXP(-LN(2)/25)*AV149+(1-EXP(-LN(2)/25))/(LN(2)/25)*Calculateur!AQ150*Calculateur!AS150*VLOOKUP('Données projet'!$B$10,Paramètres!$A$1:$I$89,3,0)*0.475*44/12</f>
        <v>15.453502192802809</v>
      </c>
      <c r="AW150" s="21">
        <f>EXP(-LN(2)/2)*AW149+(1-EXP(-LN(2)/2))/(LN(2)/2)*AQ150*AT150*VLOOKUP('Données projet'!$B$10,Paramètres!$A$1:$I$89,3,0)*0.475*44/12</f>
        <v>1.9780881238262157E-2</v>
      </c>
      <c r="AX150" s="21">
        <f t="shared" si="114"/>
        <v>100.32045160590414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435.33999600000078</v>
      </c>
      <c r="BF150" s="13">
        <f t="shared" si="145"/>
        <v>98.905624251508897</v>
      </c>
      <c r="BG150" s="20">
        <f t="shared" si="115"/>
        <v>930.4777886047126</v>
      </c>
      <c r="BH150" s="59">
        <f t="shared" si="116"/>
        <v>1223.811121938046</v>
      </c>
      <c r="BI150" s="59">
        <f ca="1">AVERAGE(OFFSET($BH$3,0,0,'Données projet'!$E$11+1,1))-AVERAGE(OFFSET($H$3,0,0,'Données projet'!$E$11+1,1))</f>
        <v>635.71275911100679</v>
      </c>
      <c r="BJ150" s="59">
        <f t="shared" si="146"/>
        <v>281.7776857269169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47.113072486079218</v>
      </c>
      <c r="BQ150" s="21">
        <f>EXP(-LN(2)/25)*BQ149+(1-EXP(-LN(2)/25))/(LN(2)/25)*Calculateur!BL150*Calculateur!BN150*VLOOKUP('Données projet'!$B$11,Paramètres!$A$1:$I$89,3,0)*0.475*44/12</f>
        <v>21.448139044226672</v>
      </c>
      <c r="BR150" s="21">
        <f>EXP(-LN(2)/2)*BR149+(1-EXP(-LN(2)/2))/(LN(2)/2)*BL150*BO150*VLOOKUP('Données projet'!$B$11,Paramètres!$A$1:$I$89,3,0)*0.475*44/12</f>
        <v>1.7629264264008031E-3</v>
      </c>
      <c r="BS150" s="22">
        <f t="shared" si="117"/>
        <v>68.562974456732277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7.5191666666666634</v>
      </c>
      <c r="BY150" s="12">
        <f>IF('Données projet'!$A$114&gt;35,BY149+BX150-CG149,IF(A150&lt;'Données projet'!$A$114,$BV$205^A150,IF(A150='Données projet'!$A$114,'Données projet'!$B$114,BY149+BX150-CG149)))</f>
        <v>341.52749999999975</v>
      </c>
      <c r="BZ150" s="13">
        <f>BY150*VLOOKUP('Données projet'!$B$12,Paramètres!$A$1:$I$89,3,0)*VLOOKUP('Données projet'!$B$12,Paramètres!$A$1:$I$89,5,0)</f>
        <v>388.9315169999997</v>
      </c>
      <c r="CA150" s="13">
        <f t="shared" si="147"/>
        <v>89.529048562847422</v>
      </c>
      <c r="CB150" s="20">
        <f t="shared" si="118"/>
        <v>833.31881835529202</v>
      </c>
      <c r="CC150" s="59">
        <f t="shared" si="119"/>
        <v>1126.6521516886253</v>
      </c>
      <c r="CD150" s="59">
        <f ca="1">AVERAGE(OFFSET($CC$3,0,0,'Données projet'!$E$12+1,1))-AVERAGE(OFFSET($H$3,0,0,'Données projet'!$E$12+1,1))</f>
        <v>593.28343396240075</v>
      </c>
      <c r="CE150" s="59">
        <f t="shared" si="148"/>
        <v>289.66477662068695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35.219143301676681</v>
      </c>
      <c r="CL150" s="21">
        <f>EXP(-LN(2)/25)*CL149+(1-EXP(-LN(2)/25))/(LN(2)/25)*Calculateur!CG150*Calculateur!CI150*VLOOKUP('Données projet'!$B$12,Paramètres!$A$1:$I$89,3,0)*0.475*44/12</f>
        <v>23.860536321822746</v>
      </c>
      <c r="CM150" s="21">
        <f>EXP(-LN(2)/2)*CM149+(1-EXP(-LN(2)/2))/(LN(2)/2)*CG150*CJ150*VLOOKUP('Données projet'!$B$12,Paramètres!$A$1:$I$89,3,0)*0.475*44/12</f>
        <v>2.3452165942924545</v>
      </c>
      <c r="CN150" s="22">
        <f t="shared" si="120"/>
        <v>61.424896217791883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2.2737367544323206E-13</v>
      </c>
      <c r="CU150" s="17">
        <f>CT150*VLOOKUP('Données projet'!$B$13,Paramètres!$A$1:$I$89,3,0)*VLOOKUP('Données projet'!$B$13,Paramètres!$A$1:$I$89,5,0)</f>
        <v>2.3765096557326618E-13</v>
      </c>
      <c r="CV150" s="13">
        <f t="shared" si="149"/>
        <v>3.2279907425805489E-12</v>
      </c>
      <c r="CW150" s="20">
        <f t="shared" si="121"/>
        <v>6.0359926417012276E-12</v>
      </c>
      <c r="CX150" s="59">
        <f t="shared" si="122"/>
        <v>293.33333333333934</v>
      </c>
      <c r="CY150" s="59">
        <f ca="1">AVERAGE(OFFSET($CX$3,0,0,'Données projet'!$E$13+1,1))-AVERAGE(OFFSET($H$3,0,0,'Données projet'!$E$13+1,1))</f>
        <v>260.65406541614402</v>
      </c>
      <c r="CZ150" s="59">
        <f t="shared" si="150"/>
        <v>277.63456890196886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5.8260816728240972</v>
      </c>
      <c r="DG150" s="21">
        <f>EXP(-LN(2)/25)*DG149+(1-EXP(-LN(2)/25))/(LN(2)/25)*Calculateur!DB150*Calculateur!DD150*VLOOKUP('Données projet'!$B$13,Paramètres!$A$1:$I$89,3,0)*0.475*44/12</f>
        <v>10.200105680476341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16.026187353300436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2.2737367544323206E-13</v>
      </c>
      <c r="DP150" s="17">
        <f>DO150*VLOOKUP('Données projet'!$B$14,Paramètres!$A$1:$I$89,3,0)*VLOOKUP('Données projet'!$B$14,Paramètres!$A$1:$I$89,5,0)</f>
        <v>1.4897523215040565E-13</v>
      </c>
      <c r="DQ150" s="13">
        <f t="shared" si="151"/>
        <v>2.136562777003313E-12</v>
      </c>
      <c r="DR150" s="20">
        <f t="shared" si="124"/>
        <v>3.9806453659427267E-12</v>
      </c>
      <c r="DS150" s="59">
        <f t="shared" si="125"/>
        <v>293.33333333333729</v>
      </c>
      <c r="DT150" s="59">
        <f ca="1">AVERAGE(OFFSET($DS$3,0,0,'Données projet'!$E$14+1,1))-AVERAGE(OFFSET($H$3,0,0,'Données projet'!$E$14+1,1))</f>
        <v>181.4272795535777</v>
      </c>
      <c r="DU150" s="59">
        <f t="shared" si="152"/>
        <v>187.67131775419904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5.4673810586154357</v>
      </c>
      <c r="EB150" s="21">
        <f>EXP(-LN(2)/25)*EB149+(1-EXP(-LN(2)/25))/(LN(2)/25)*Calculateur!DW150*Calculateur!DY150*VLOOKUP('Données projet'!$B$14,Paramètres!$A$1:$I$89,3,0)*0.475*44/12</f>
        <v>3.7149288674119938</v>
      </c>
      <c r="EC150" s="21">
        <f>EXP(-LN(2)/2)*EC149+(1-EXP(-LN(2)/2))/(LN(2)/2)*DW150*DZ150*VLOOKUP('Données projet'!$B$14,Paramètres!$A$1:$I$89,3,0)*0.475*44/12</f>
        <v>6.6096609854604427E-8</v>
      </c>
      <c r="ED150" s="22">
        <f t="shared" si="126"/>
        <v>9.1823099921240381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1.1368683772161603E-13</v>
      </c>
      <c r="EK150" s="17">
        <f>EJ150*VLOOKUP('Données projet'!$B$15,Paramètres!$A$1:$I$89,3,0)*VLOOKUP('Données projet'!$B$15,Paramètres!$A$1:$I$89,5,0)</f>
        <v>9.2222762759774927E-14</v>
      </c>
      <c r="EL150" s="13">
        <f t="shared" si="153"/>
        <v>1.3985662224947967E-12</v>
      </c>
      <c r="EM150" s="20">
        <f t="shared" si="127"/>
        <v>2.5964574826517121E-12</v>
      </c>
      <c r="EN150" s="59">
        <f t="shared" si="128"/>
        <v>293.33333333333593</v>
      </c>
      <c r="EO150" s="59">
        <f ca="1">AVERAGE(OFFSET($EN$3,0,0,'Données projet'!$E$15+1,1))-AVERAGE(OFFSET($H$3,0,0,'Données projet'!$E$15+1,1))</f>
        <v>159.68591355116837</v>
      </c>
      <c r="EP150" s="59">
        <f t="shared" si="154"/>
        <v>284.32631786390112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1.7521820228436409</v>
      </c>
      <c r="EW150" s="21">
        <f>EXP(-LN(2)/25)*EW149+(1-EXP(-LN(2)/25))/(LN(2)/25)*Calculateur!ER150*Calculateur!ET150*VLOOKUP('Données projet'!$B$15,Paramètres!$A$1:$I$89,3,0)*0.475*44/12</f>
        <v>0.99448751083291942</v>
      </c>
      <c r="EX150" s="21">
        <f>EXP(-LN(2)/2)*EX149+(1-EXP(-LN(2)/2))/(LN(2)/2)*ER150*EU150*VLOOKUP('Données projet'!$B$15,Paramètres!$A$1:$I$89,3,0)*0.475*44/12</f>
        <v>2.2909308869873802E-15</v>
      </c>
      <c r="EY150" s="22">
        <f t="shared" si="129"/>
        <v>2.7466695336765627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-1.3567387213697657E-13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299.10536994156814</v>
      </c>
      <c r="FK150" s="59">
        <f t="shared" si="156"/>
        <v>292.57799203101769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10.777484491350441</v>
      </c>
      <c r="FR150" s="21">
        <f>EXP(-LN(2)/25)*FR149+(1-EXP(-LN(2)/25))/(LN(2)/25)*Calculateur!FM150*Calculateur!FO150*VLOOKUP('Données projet'!$B$16,Paramètres!$A$1:$I$89,3,0)*0.475*44/12</f>
        <v>6.6102337924187182</v>
      </c>
      <c r="FS150" s="21">
        <f>EXP(-LN(2)/2)*FS149+(1-EXP(-LN(2)/2))/(LN(2)/2)*FM150*FP150*VLOOKUP('Données projet'!$B$16,Paramètres!$A$1:$I$89,3,0)*0.475*44/12</f>
        <v>4.278887736919604E-9</v>
      </c>
      <c r="FT150" s="22">
        <f t="shared" si="132"/>
        <v>17.387718288048049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5.6843418860808015E-14</v>
      </c>
      <c r="GA150" s="17">
        <f>FZ150*VLOOKUP('Données projet'!$B$17,Paramètres!$A$1:$I$89,3,0)*VLOOKUP('Données projet'!$B$17,Paramètres!$A$1:$I$89,5,0)</f>
        <v>5.1431925385259088E-14</v>
      </c>
      <c r="GB150" s="13">
        <f t="shared" si="157"/>
        <v>8.3482866290946129E-13</v>
      </c>
      <c r="GC150" s="20">
        <f t="shared" si="133"/>
        <v>1.5435705246133045E-12</v>
      </c>
      <c r="GD150" s="59">
        <f t="shared" si="134"/>
        <v>293.33333333333485</v>
      </c>
      <c r="GE150" s="59">
        <f ca="1">AVERAGE(OFFSET($GD$3,0,0,'Données projet'!$E$17+1,1))-AVERAGE(OFFSET($H$3,0,0,'Données projet'!$E$17+1,1))</f>
        <v>204.78565758021779</v>
      </c>
      <c r="GF150" s="59">
        <f t="shared" si="158"/>
        <v>287.25131613242439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2.0705943043511863</v>
      </c>
      <c r="GM150" s="21">
        <f>EXP(-LN(2)/25)*GM149+(1-EXP(-LN(2)/25))/(LN(2)/25)*Calculateur!GH150*Calculateur!GJ150*VLOOKUP('Données projet'!$B$17,Paramètres!$A$1:$I$89,3,0)*0.475*44/12</f>
        <v>0.78150290533195088</v>
      </c>
      <c r="GN150" s="21">
        <f>EXP(-LN(2)/2)*GN149+(1-EXP(-LN(2)/2))/(LN(2)/2)*GH150*GK150*VLOOKUP('Données projet'!$B$17,Paramètres!$A$1:$I$89,3,0)*0.475*44/12</f>
        <v>6.124251942850536E-15</v>
      </c>
      <c r="GO150" s="21">
        <f t="shared" si="135"/>
        <v>2.8520972096831434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5.6843418860808015E-14</v>
      </c>
      <c r="GV150" s="17">
        <f>GU150*VLOOKUP('Données projet'!$B$18,Paramètres!$A$1:$I$89,3,0)*VLOOKUP('Données projet'!$B$18,Paramètres!$A$1:$I$89,5,0)</f>
        <v>4.4337866711430253E-14</v>
      </c>
      <c r="GW150" s="13">
        <f t="shared" si="159"/>
        <v>7.3222115536967035E-13</v>
      </c>
      <c r="GX150" s="20">
        <f t="shared" si="136"/>
        <v>1.3525069634579169E-12</v>
      </c>
      <c r="GY150" s="59">
        <f t="shared" si="137"/>
        <v>293.33333333333468</v>
      </c>
      <c r="GZ150" s="59">
        <f ca="1">AVERAGE(OFFSET($GY$3,0,0,'Données projet'!$E$18+1,1))-AVERAGE(OFFSET($H$3,0,0,'Données projet'!$E$18+1,1))</f>
        <v>288.82868507674738</v>
      </c>
      <c r="HA150" s="59">
        <f t="shared" si="160"/>
        <v>283.48738729114024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9.1746027136841626</v>
      </c>
      <c r="HH150" s="21">
        <f>EXP(-LN(2)/25)*HH149+(1-EXP(-LN(2)/25))/(LN(2)/25)*Calculateur!HC150*Calculateur!HE150*VLOOKUP('Données projet'!$B$18,Paramètres!$A$1:$I$89,3,0)*0.475*44/12</f>
        <v>4.869538948724542</v>
      </c>
      <c r="HI150" s="21">
        <f>EXP(-LN(2)/2)*HI149+(1-EXP(-LN(2)/2))/(LN(2)/2)*HC150*HF150*VLOOKUP('Données projet'!$B$18,Paramètres!$A$1:$I$89,3,0)*0.475*44/12</f>
        <v>1.1051455958892526E-10</v>
      </c>
      <c r="HJ150" s="22">
        <f t="shared" si="138"/>
        <v>14.04414166251922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349.71285006949597</v>
      </c>
      <c r="T151" s="59">
        <f t="shared" si="142"/>
        <v>258.51550516456842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39.864994837600172</v>
      </c>
      <c r="AA151" s="21">
        <f>EXP(-LN(2)/25)*AA150+(1-EXP(-LN(2)/25))/(LN(2)/25)*Calculateur!V151*Calculateur!X151*VLOOKUP('Données projet'!$B$9,Paramètres!$A$1:$I$89,3,0)*0.475*44/12</f>
        <v>7.8534690904549622</v>
      </c>
      <c r="AB151" s="21">
        <f>EXP(-LN(2)/2)*AB150+(1-EXP(-LN(2)/2))/(LN(2)/2)*V151*Y151*VLOOKUP('Données projet'!$B$9,Paramètres!$A$1:$I$89,3,0)*0.475*44/12</f>
        <v>4.1162503651115523E-9</v>
      </c>
      <c r="AC151" s="22">
        <f t="shared" si="111"/>
        <v>47.718463932171389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2.5579538487363607E-13</v>
      </c>
      <c r="AJ151" s="13">
        <f>AI151*VLOOKUP('Données projet'!$B$10,Paramètres!$A$1:$I$89,3,0)*VLOOKUP('Données projet'!$B$10,Paramètres!$A$1:$I$89,5,0)</f>
        <v>2.4341488824575211E-13</v>
      </c>
      <c r="AK151" s="13">
        <f t="shared" si="143"/>
        <v>3.2970717324875541E-12</v>
      </c>
      <c r="AL151" s="20">
        <f t="shared" si="112"/>
        <v>6.1663475311105072E-12</v>
      </c>
      <c r="AM151" s="59">
        <f t="shared" si="113"/>
        <v>293.33333333333945</v>
      </c>
      <c r="AN151" s="59">
        <f ca="1">AVERAGE(OFFSET($AM$3,0,0,'Données projet'!$E$10+1,1))-AVERAGE(OFFSET($H$3,0,0,'Données projet'!$E$10+1,1))</f>
        <v>449.28947235329758</v>
      </c>
      <c r="AO151" s="59">
        <f t="shared" si="144"/>
        <v>289.36994109443964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83.183367308615999</v>
      </c>
      <c r="AV151" s="21">
        <f>EXP(-LN(2)/25)*AV150+(1-EXP(-LN(2)/25))/(LN(2)/25)*Calculateur!AQ151*Calculateur!AS151*VLOOKUP('Données projet'!$B$10,Paramètres!$A$1:$I$89,3,0)*0.475*44/12</f>
        <v>15.030925362676255</v>
      </c>
      <c r="AW151" s="21">
        <f>EXP(-LN(2)/2)*AW150+(1-EXP(-LN(2)/2))/(LN(2)/2)*AQ151*AT151*VLOOKUP('Données projet'!$B$10,Paramètres!$A$1:$I$89,3,0)*0.475*44/12</f>
        <v>1.3987195261420922E-2</v>
      </c>
      <c r="AX151" s="21">
        <f t="shared" si="114"/>
        <v>98.228279866553677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443.78630400000077</v>
      </c>
      <c r="BF151" s="13">
        <f t="shared" si="145"/>
        <v>100.59929067522565</v>
      </c>
      <c r="BG151" s="20">
        <f t="shared" si="115"/>
        <v>948.13824405935259</v>
      </c>
      <c r="BH151" s="59">
        <f t="shared" si="116"/>
        <v>1241.471577392686</v>
      </c>
      <c r="BI151" s="59">
        <f ca="1">AVERAGE(OFFSET($BH$3,0,0,'Données projet'!$E$11+1,1))-AVERAGE(OFFSET($H$3,0,0,'Données projet'!$E$11+1,1))</f>
        <v>635.71275911100679</v>
      </c>
      <c r="BJ151" s="59">
        <f t="shared" si="146"/>
        <v>281.7776857269169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46.189213870763965</v>
      </c>
      <c r="BQ151" s="21">
        <f>EXP(-LN(2)/25)*BQ150+(1-EXP(-LN(2)/25))/(LN(2)/25)*Calculateur!BL151*Calculateur!BN151*VLOOKUP('Données projet'!$B$11,Paramètres!$A$1:$I$89,3,0)*0.475*44/12</f>
        <v>20.861638554153682</v>
      </c>
      <c r="BR151" s="21">
        <f>EXP(-LN(2)/2)*BR150+(1-EXP(-LN(2)/2))/(LN(2)/2)*BL151*BO151*VLOOKUP('Données projet'!$B$11,Paramètres!$A$1:$I$89,3,0)*0.475*44/12</f>
        <v>1.2465772308409748E-3</v>
      </c>
      <c r="BS151" s="22">
        <f t="shared" si="117"/>
        <v>67.052099002148495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7.5191666666666634</v>
      </c>
      <c r="BY151" s="12">
        <f>IF('Données projet'!$A$114&gt;35,BY150+BX151-CG150,IF(A151&lt;'Données projet'!$A$114,$BV$205^A151,IF(A151='Données projet'!$A$114,'Données projet'!$B$114,BY150+BX151-CG150)))</f>
        <v>349.0466666666664</v>
      </c>
      <c r="BZ151" s="13">
        <f>BY151*VLOOKUP('Données projet'!$B$12,Paramètres!$A$1:$I$89,3,0)*VLOOKUP('Données projet'!$B$12,Paramètres!$A$1:$I$89,5,0)</f>
        <v>397.49434399999973</v>
      </c>
      <c r="CA151" s="13">
        <f t="shared" si="147"/>
        <v>91.268496290243391</v>
      </c>
      <c r="CB151" s="20">
        <f t="shared" si="118"/>
        <v>851.26194683884012</v>
      </c>
      <c r="CC151" s="59">
        <f t="shared" si="119"/>
        <v>1144.5952801721735</v>
      </c>
      <c r="CD151" s="59">
        <f ca="1">AVERAGE(OFFSET($CC$3,0,0,'Données projet'!$E$12+1,1))-AVERAGE(OFFSET($H$3,0,0,'Données projet'!$E$12+1,1))</f>
        <v>593.28343396240075</v>
      </c>
      <c r="CE151" s="59">
        <f t="shared" si="148"/>
        <v>289.66477662068695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34.528517383087085</v>
      </c>
      <c r="CL151" s="21">
        <f>EXP(-LN(2)/25)*CL150+(1-EXP(-LN(2)/25))/(LN(2)/25)*Calculateur!CG151*Calculateur!CI151*VLOOKUP('Données projet'!$B$12,Paramètres!$A$1:$I$89,3,0)*0.475*44/12</f>
        <v>23.208068701331431</v>
      </c>
      <c r="CM151" s="21">
        <f>EXP(-LN(2)/2)*CM150+(1-EXP(-LN(2)/2))/(LN(2)/2)*CG151*CJ151*VLOOKUP('Données projet'!$B$12,Paramètres!$A$1:$I$89,3,0)*0.475*44/12</f>
        <v>1.6583185571754149</v>
      </c>
      <c r="CN151" s="22">
        <f t="shared" si="120"/>
        <v>59.394904641593932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2.2737367544323206E-13</v>
      </c>
      <c r="CU151" s="17">
        <f>CT151*VLOOKUP('Données projet'!$B$13,Paramètres!$A$1:$I$89,3,0)*VLOOKUP('Données projet'!$B$13,Paramètres!$A$1:$I$89,5,0)</f>
        <v>2.3765096557326618E-13</v>
      </c>
      <c r="CV151" s="13">
        <f t="shared" si="149"/>
        <v>3.2279907425805489E-12</v>
      </c>
      <c r="CW151" s="20">
        <f t="shared" si="121"/>
        <v>6.0359926417012276E-12</v>
      </c>
      <c r="CX151" s="59">
        <f t="shared" si="122"/>
        <v>293.33333333333934</v>
      </c>
      <c r="CY151" s="59">
        <f ca="1">AVERAGE(OFFSET($CX$3,0,0,'Données projet'!$E$13+1,1))-AVERAGE(OFFSET($H$3,0,0,'Données projet'!$E$13+1,1))</f>
        <v>260.65406541614402</v>
      </c>
      <c r="CZ151" s="59">
        <f t="shared" si="150"/>
        <v>277.63456890196886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5.7118357647789519</v>
      </c>
      <c r="DG151" s="21">
        <f>EXP(-LN(2)/25)*DG150+(1-EXP(-LN(2)/25))/(LN(2)/25)*Calculateur!DB151*Calculateur!DD151*VLOOKUP('Données projet'!$B$13,Paramètres!$A$1:$I$89,3,0)*0.475*44/12</f>
        <v>9.9211832542434699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15.633019019022422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2.2737367544323206E-13</v>
      </c>
      <c r="DP151" s="17">
        <f>DO151*VLOOKUP('Données projet'!$B$14,Paramètres!$A$1:$I$89,3,0)*VLOOKUP('Données projet'!$B$14,Paramètres!$A$1:$I$89,5,0)</f>
        <v>1.4897523215040565E-13</v>
      </c>
      <c r="DQ151" s="13">
        <f t="shared" si="151"/>
        <v>2.136562777003313E-12</v>
      </c>
      <c r="DR151" s="20">
        <f t="shared" si="124"/>
        <v>3.9806453659427267E-12</v>
      </c>
      <c r="DS151" s="59">
        <f t="shared" si="125"/>
        <v>293.33333333333729</v>
      </c>
      <c r="DT151" s="59">
        <f ca="1">AVERAGE(OFFSET($DS$3,0,0,'Données projet'!$E$14+1,1))-AVERAGE(OFFSET($H$3,0,0,'Données projet'!$E$14+1,1))</f>
        <v>181.4272795535777</v>
      </c>
      <c r="DU151" s="59">
        <f t="shared" si="152"/>
        <v>187.67131775419904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5.3601690508291515</v>
      </c>
      <c r="EB151" s="21">
        <f>EXP(-LN(2)/25)*EB150+(1-EXP(-LN(2)/25))/(LN(2)/25)*Calculateur!DW151*Calculateur!DY151*VLOOKUP('Données projet'!$B$14,Paramètres!$A$1:$I$89,3,0)*0.475*44/12</f>
        <v>3.6133439421729943</v>
      </c>
      <c r="EC151" s="21">
        <f>EXP(-LN(2)/2)*EC150+(1-EXP(-LN(2)/2))/(LN(2)/2)*DW151*DZ151*VLOOKUP('Données projet'!$B$14,Paramètres!$A$1:$I$89,3,0)*0.475*44/12</f>
        <v>4.6737361041632374E-8</v>
      </c>
      <c r="ED151" s="22">
        <f t="shared" si="126"/>
        <v>8.9735130397395064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1.1368683772161603E-13</v>
      </c>
      <c r="EK151" s="17">
        <f>EJ151*VLOOKUP('Données projet'!$B$15,Paramètres!$A$1:$I$89,3,0)*VLOOKUP('Données projet'!$B$15,Paramètres!$A$1:$I$89,5,0)</f>
        <v>9.2222762759774927E-14</v>
      </c>
      <c r="EL151" s="13">
        <f t="shared" si="153"/>
        <v>1.3985662224947967E-12</v>
      </c>
      <c r="EM151" s="20">
        <f t="shared" si="127"/>
        <v>2.5964574826517121E-12</v>
      </c>
      <c r="EN151" s="59">
        <f t="shared" si="128"/>
        <v>293.33333333333593</v>
      </c>
      <c r="EO151" s="59">
        <f ca="1">AVERAGE(OFFSET($EN$3,0,0,'Données projet'!$E$15+1,1))-AVERAGE(OFFSET($H$3,0,0,'Données projet'!$E$15+1,1))</f>
        <v>159.68591355116837</v>
      </c>
      <c r="EP151" s="59">
        <f t="shared" si="154"/>
        <v>284.32631786390112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1.7178228021011832</v>
      </c>
      <c r="EW151" s="21">
        <f>EXP(-LN(2)/25)*EW150+(1-EXP(-LN(2)/25))/(LN(2)/25)*Calculateur!ER151*Calculateur!ET151*VLOOKUP('Données projet'!$B$15,Paramètres!$A$1:$I$89,3,0)*0.475*44/12</f>
        <v>0.967293197551368</v>
      </c>
      <c r="EX151" s="21">
        <f>EXP(-LN(2)/2)*EX150+(1-EXP(-LN(2)/2))/(LN(2)/2)*ER151*EU151*VLOOKUP('Données projet'!$B$15,Paramètres!$A$1:$I$89,3,0)*0.475*44/12</f>
        <v>1.6199327654184887E-15</v>
      </c>
      <c r="EY151" s="22">
        <f t="shared" si="129"/>
        <v>2.6851159996525529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-1.3567387213697657E-13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299.10536994156814</v>
      </c>
      <c r="FK151" s="59">
        <f t="shared" si="156"/>
        <v>292.57799203101769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10.566144594091508</v>
      </c>
      <c r="FR151" s="21">
        <f>EXP(-LN(2)/25)*FR150+(1-EXP(-LN(2)/25))/(LN(2)/25)*Calculateur!FM151*Calculateur!FO151*VLOOKUP('Données projet'!$B$16,Paramètres!$A$1:$I$89,3,0)*0.475*44/12</f>
        <v>6.4294766017479414</v>
      </c>
      <c r="FS151" s="21">
        <f>EXP(-LN(2)/2)*FS150+(1-EXP(-LN(2)/2))/(LN(2)/2)*FM151*FP151*VLOOKUP('Données projet'!$B$16,Paramètres!$A$1:$I$89,3,0)*0.475*44/12</f>
        <v>3.025630534711812E-9</v>
      </c>
      <c r="FT151" s="22">
        <f t="shared" si="132"/>
        <v>16.995621198865077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5.6843418860808015E-14</v>
      </c>
      <c r="GA151" s="17">
        <f>FZ151*VLOOKUP('Données projet'!$B$17,Paramètres!$A$1:$I$89,3,0)*VLOOKUP('Données projet'!$B$17,Paramètres!$A$1:$I$89,5,0)</f>
        <v>5.1431925385259088E-14</v>
      </c>
      <c r="GB151" s="13">
        <f t="shared" si="157"/>
        <v>8.3482866290946129E-13</v>
      </c>
      <c r="GC151" s="20">
        <f t="shared" si="133"/>
        <v>1.5435705246133045E-12</v>
      </c>
      <c r="GD151" s="59">
        <f t="shared" si="134"/>
        <v>293.33333333333485</v>
      </c>
      <c r="GE151" s="59">
        <f ca="1">AVERAGE(OFFSET($GD$3,0,0,'Données projet'!$E$17+1,1))-AVERAGE(OFFSET($H$3,0,0,'Données projet'!$E$17+1,1))</f>
        <v>204.78565758021779</v>
      </c>
      <c r="GF151" s="59">
        <f t="shared" si="158"/>
        <v>287.25131613242439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2.0299912129806805</v>
      </c>
      <c r="GM151" s="21">
        <f>EXP(-LN(2)/25)*GM150+(1-EXP(-LN(2)/25))/(LN(2)/25)*Calculateur!GH151*Calculateur!GJ151*VLOOKUP('Données projet'!$B$17,Paramètres!$A$1:$I$89,3,0)*0.475*44/12</f>
        <v>0.76013266728819706</v>
      </c>
      <c r="GN151" s="21">
        <f>EXP(-LN(2)/2)*GN150+(1-EXP(-LN(2)/2))/(LN(2)/2)*GH151*GK151*VLOOKUP('Données projet'!$B$17,Paramètres!$A$1:$I$89,3,0)*0.475*44/12</f>
        <v>4.3305000784845024E-15</v>
      </c>
      <c r="GO151" s="21">
        <f t="shared" si="135"/>
        <v>2.7901238802688821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5.6843418860808015E-14</v>
      </c>
      <c r="GV151" s="17">
        <f>GU151*VLOOKUP('Données projet'!$B$18,Paramètres!$A$1:$I$89,3,0)*VLOOKUP('Données projet'!$B$18,Paramètres!$A$1:$I$89,5,0)</f>
        <v>4.4337866711430253E-14</v>
      </c>
      <c r="GW151" s="13">
        <f t="shared" si="159"/>
        <v>7.3222115536967035E-13</v>
      </c>
      <c r="GX151" s="20">
        <f t="shared" si="136"/>
        <v>1.3525069634579169E-12</v>
      </c>
      <c r="GY151" s="59">
        <f t="shared" si="137"/>
        <v>293.33333333333468</v>
      </c>
      <c r="GZ151" s="59">
        <f ca="1">AVERAGE(OFFSET($GY$3,0,0,'Données projet'!$E$18+1,1))-AVERAGE(OFFSET($H$3,0,0,'Données projet'!$E$18+1,1))</f>
        <v>288.82868507674738</v>
      </c>
      <c r="HA151" s="59">
        <f t="shared" si="160"/>
        <v>283.48738729114024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8.9946943504239165</v>
      </c>
      <c r="HH151" s="21">
        <f>EXP(-LN(2)/25)*HH150+(1-EXP(-LN(2)/25))/(LN(2)/25)*Calculateur!HC151*Calculateur!HE151*VLOOKUP('Données projet'!$B$18,Paramètres!$A$1:$I$89,3,0)*0.475*44/12</f>
        <v>4.7363811500937452</v>
      </c>
      <c r="HI151" s="21">
        <f>EXP(-LN(2)/2)*HI150+(1-EXP(-LN(2)/2))/(LN(2)/2)*HC151*HF151*VLOOKUP('Données projet'!$B$18,Paramètres!$A$1:$I$89,3,0)*0.475*44/12</f>
        <v>7.8145594505173843E-11</v>
      </c>
      <c r="HJ151" s="22">
        <f t="shared" si="138"/>
        <v>13.731075500595807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349.71285006949597</v>
      </c>
      <c r="T152" s="59">
        <f t="shared" si="142"/>
        <v>258.51550516456842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39.083266604080755</v>
      </c>
      <c r="AA152" s="21">
        <f>EXP(-LN(2)/25)*AA151+(1-EXP(-LN(2)/25))/(LN(2)/25)*Calculateur!V152*Calculateur!X152*VLOOKUP('Données projet'!$B$9,Paramètres!$A$1:$I$89,3,0)*0.475*44/12</f>
        <v>7.6387155651804814</v>
      </c>
      <c r="AB152" s="21">
        <f>EXP(-LN(2)/2)*AB151+(1-EXP(-LN(2)/2))/(LN(2)/2)*V152*Y152*VLOOKUP('Données projet'!$B$9,Paramètres!$A$1:$I$89,3,0)*0.475*44/12</f>
        <v>2.9106285462319808E-9</v>
      </c>
      <c r="AC152" s="22">
        <f t="shared" si="111"/>
        <v>46.72198217217187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2.5579538487363607E-13</v>
      </c>
      <c r="AJ152" s="13">
        <f>AI152*VLOOKUP('Données projet'!$B$10,Paramètres!$A$1:$I$89,3,0)*VLOOKUP('Données projet'!$B$10,Paramètres!$A$1:$I$89,5,0)</f>
        <v>2.4341488824575211E-13</v>
      </c>
      <c r="AK152" s="13">
        <f t="shared" si="143"/>
        <v>3.2970717324875541E-12</v>
      </c>
      <c r="AL152" s="20">
        <f t="shared" si="112"/>
        <v>6.1663475311105072E-12</v>
      </c>
      <c r="AM152" s="59">
        <f t="shared" si="113"/>
        <v>293.33333333333945</v>
      </c>
      <c r="AN152" s="59">
        <f ca="1">AVERAGE(OFFSET($AM$3,0,0,'Données projet'!$E$10+1,1))-AVERAGE(OFFSET($H$3,0,0,'Données projet'!$E$10+1,1))</f>
        <v>449.28947235329758</v>
      </c>
      <c r="AO152" s="59">
        <f t="shared" si="144"/>
        <v>289.36994109443964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81.552192212538245</v>
      </c>
      <c r="AV152" s="21">
        <f>EXP(-LN(2)/25)*AV151+(1-EXP(-LN(2)/25))/(LN(2)/25)*Calculateur!AQ152*Calculateur!AS152*VLOOKUP('Données projet'!$B$10,Paramètres!$A$1:$I$89,3,0)*0.475*44/12</f>
        <v>14.619903918191861</v>
      </c>
      <c r="AW152" s="21">
        <f>EXP(-LN(2)/2)*AW151+(1-EXP(-LN(2)/2))/(LN(2)/2)*AQ152*AT152*VLOOKUP('Données projet'!$B$10,Paramètres!$A$1:$I$89,3,0)*0.475*44/12</f>
        <v>9.8904406191310783E-3</v>
      </c>
      <c r="AX152" s="21">
        <f t="shared" si="114"/>
        <v>96.181986571349242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452.2326120000007</v>
      </c>
      <c r="BF152" s="13">
        <f t="shared" si="145"/>
        <v>102.28920891735658</v>
      </c>
      <c r="BG152" s="20">
        <f t="shared" si="115"/>
        <v>965.79217143106382</v>
      </c>
      <c r="BH152" s="59">
        <f t="shared" si="116"/>
        <v>1259.1255047643972</v>
      </c>
      <c r="BI152" s="59">
        <f ca="1">AVERAGE(OFFSET($BH$3,0,0,'Données projet'!$E$11+1,1))-AVERAGE(OFFSET($H$3,0,0,'Données projet'!$E$11+1,1))</f>
        <v>635.71275911100679</v>
      </c>
      <c r="BJ152" s="59">
        <f t="shared" si="146"/>
        <v>281.7776857269169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45.283471559396929</v>
      </c>
      <c r="BQ152" s="21">
        <f>EXP(-LN(2)/25)*BQ151+(1-EXP(-LN(2)/25))/(LN(2)/25)*Calculateur!BL152*Calculateur!BN152*VLOOKUP('Données projet'!$B$11,Paramètres!$A$1:$I$89,3,0)*0.475*44/12</f>
        <v>20.291175950824456</v>
      </c>
      <c r="BR152" s="21">
        <f>EXP(-LN(2)/2)*BR151+(1-EXP(-LN(2)/2))/(LN(2)/2)*BL152*BO152*VLOOKUP('Données projet'!$B$11,Paramètres!$A$1:$I$89,3,0)*0.475*44/12</f>
        <v>8.8146321320040153E-4</v>
      </c>
      <c r="BS152" s="22">
        <f t="shared" si="117"/>
        <v>65.575528973434587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7.5191666666666634</v>
      </c>
      <c r="BY152" s="12">
        <f>IF('Données projet'!$A$114&gt;35,BY151+BX152-CG151,IF(A152&lt;'Données projet'!$A$114,$BV$205^A152,IF(A152='Données projet'!$A$114,'Données projet'!$B$114,BY151+BX152-CG151)))</f>
        <v>356.56583333333305</v>
      </c>
      <c r="BZ152" s="13">
        <f>BY152*VLOOKUP('Données projet'!$B$12,Paramètres!$A$1:$I$89,3,0)*VLOOKUP('Données projet'!$B$12,Paramètres!$A$1:$I$89,5,0)</f>
        <v>406.0571709999997</v>
      </c>
      <c r="CA152" s="13">
        <f t="shared" si="147"/>
        <v>93.003587477662336</v>
      </c>
      <c r="CB152" s="20">
        <f t="shared" si="118"/>
        <v>869.19748768192801</v>
      </c>
      <c r="CC152" s="59">
        <f t="shared" si="119"/>
        <v>1162.5308210152614</v>
      </c>
      <c r="CD152" s="59">
        <f ca="1">AVERAGE(OFFSET($CC$3,0,0,'Données projet'!$E$12+1,1))-AVERAGE(OFFSET($H$3,0,0,'Données projet'!$E$12+1,1))</f>
        <v>593.28343396240075</v>
      </c>
      <c r="CE152" s="59">
        <f t="shared" si="148"/>
        <v>289.66477662068695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33.851434217520818</v>
      </c>
      <c r="CL152" s="21">
        <f>EXP(-LN(2)/25)*CL151+(1-EXP(-LN(2)/25))/(LN(2)/25)*Calculateur!CG152*Calculateur!CI152*VLOOKUP('Données projet'!$B$12,Paramètres!$A$1:$I$89,3,0)*0.475*44/12</f>
        <v>22.573442842234233</v>
      </c>
      <c r="CM152" s="21">
        <f>EXP(-LN(2)/2)*CM151+(1-EXP(-LN(2)/2))/(LN(2)/2)*CG152*CJ152*VLOOKUP('Données projet'!$B$12,Paramètres!$A$1:$I$89,3,0)*0.475*44/12</f>
        <v>1.1726082971462273</v>
      </c>
      <c r="CN152" s="22">
        <f t="shared" si="120"/>
        <v>57.597485356901274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2.2737367544323206E-13</v>
      </c>
      <c r="CU152" s="17">
        <f>CT152*VLOOKUP('Données projet'!$B$13,Paramètres!$A$1:$I$89,3,0)*VLOOKUP('Données projet'!$B$13,Paramètres!$A$1:$I$89,5,0)</f>
        <v>2.3765096557326618E-13</v>
      </c>
      <c r="CV152" s="13">
        <f t="shared" si="149"/>
        <v>3.2279907425805489E-12</v>
      </c>
      <c r="CW152" s="20">
        <f t="shared" si="121"/>
        <v>6.0359926417012276E-12</v>
      </c>
      <c r="CX152" s="59">
        <f t="shared" si="122"/>
        <v>293.33333333333934</v>
      </c>
      <c r="CY152" s="59">
        <f ca="1">AVERAGE(OFFSET($CX$3,0,0,'Données projet'!$E$13+1,1))-AVERAGE(OFFSET($H$3,0,0,'Données projet'!$E$13+1,1))</f>
        <v>260.65406541614402</v>
      </c>
      <c r="CZ152" s="59">
        <f t="shared" si="150"/>
        <v>277.63456890196886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5.5998301493074489</v>
      </c>
      <c r="DG152" s="21">
        <f>EXP(-LN(2)/25)*DG151+(1-EXP(-LN(2)/25))/(LN(2)/25)*Calculateur!DB152*Calculateur!DD152*VLOOKUP('Données projet'!$B$13,Paramètres!$A$1:$I$89,3,0)*0.475*44/12</f>
        <v>9.6498879764238303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15.249718125731279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2.2737367544323206E-13</v>
      </c>
      <c r="DP152" s="17">
        <f>DO152*VLOOKUP('Données projet'!$B$14,Paramètres!$A$1:$I$89,3,0)*VLOOKUP('Données projet'!$B$14,Paramètres!$A$1:$I$89,5,0)</f>
        <v>1.4897523215040565E-13</v>
      </c>
      <c r="DQ152" s="13">
        <f t="shared" si="151"/>
        <v>2.136562777003313E-12</v>
      </c>
      <c r="DR152" s="20">
        <f t="shared" si="124"/>
        <v>3.9806453659427267E-12</v>
      </c>
      <c r="DS152" s="59">
        <f t="shared" si="125"/>
        <v>293.33333333333729</v>
      </c>
      <c r="DT152" s="59">
        <f ca="1">AVERAGE(OFFSET($DS$3,0,0,'Données projet'!$E$14+1,1))-AVERAGE(OFFSET($H$3,0,0,'Données projet'!$E$14+1,1))</f>
        <v>181.4272795535777</v>
      </c>
      <c r="DU152" s="59">
        <f t="shared" si="152"/>
        <v>187.67131775419904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5.2550594051226884</v>
      </c>
      <c r="EB152" s="21">
        <f>EXP(-LN(2)/25)*EB151+(1-EXP(-LN(2)/25))/(LN(2)/25)*Calculateur!DW152*Calculateur!DY152*VLOOKUP('Données projet'!$B$14,Paramètres!$A$1:$I$89,3,0)*0.475*44/12</f>
        <v>3.5145368620567741</v>
      </c>
      <c r="EC152" s="21">
        <f>EXP(-LN(2)/2)*EC151+(1-EXP(-LN(2)/2))/(LN(2)/2)*DW152*DZ152*VLOOKUP('Données projet'!$B$14,Paramètres!$A$1:$I$89,3,0)*0.475*44/12</f>
        <v>3.3048304927302213E-8</v>
      </c>
      <c r="ED152" s="22">
        <f t="shared" si="126"/>
        <v>8.7695963002277679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1.1368683772161603E-13</v>
      </c>
      <c r="EK152" s="17">
        <f>EJ152*VLOOKUP('Données projet'!$B$15,Paramètres!$A$1:$I$89,3,0)*VLOOKUP('Données projet'!$B$15,Paramètres!$A$1:$I$89,5,0)</f>
        <v>9.2222762759774927E-14</v>
      </c>
      <c r="EL152" s="13">
        <f t="shared" si="153"/>
        <v>1.3985662224947967E-12</v>
      </c>
      <c r="EM152" s="20">
        <f t="shared" si="127"/>
        <v>2.5964574826517121E-12</v>
      </c>
      <c r="EN152" s="59">
        <f t="shared" si="128"/>
        <v>293.33333333333593</v>
      </c>
      <c r="EO152" s="59">
        <f ca="1">AVERAGE(OFFSET($EN$3,0,0,'Données projet'!$E$15+1,1))-AVERAGE(OFFSET($H$3,0,0,'Données projet'!$E$15+1,1))</f>
        <v>159.68591355116837</v>
      </c>
      <c r="EP152" s="59">
        <f t="shared" si="154"/>
        <v>284.32631786390112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1.6841373447204298</v>
      </c>
      <c r="EW152" s="21">
        <f>EXP(-LN(2)/25)*EW151+(1-EXP(-LN(2)/25))/(LN(2)/25)*Calculateur!ER152*Calculateur!ET152*VLOOKUP('Données projet'!$B$15,Paramètres!$A$1:$I$89,3,0)*0.475*44/12</f>
        <v>0.94084251419658738</v>
      </c>
      <c r="EX152" s="21">
        <f>EXP(-LN(2)/2)*EX151+(1-EXP(-LN(2)/2))/(LN(2)/2)*ER152*EU152*VLOOKUP('Données projet'!$B$15,Paramètres!$A$1:$I$89,3,0)*0.475*44/12</f>
        <v>1.1454654434936901E-15</v>
      </c>
      <c r="EY152" s="22">
        <f t="shared" si="129"/>
        <v>2.6249798589170186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-1.3567387213697657E-13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299.10536994156814</v>
      </c>
      <c r="FK152" s="59">
        <f t="shared" si="156"/>
        <v>292.57799203101769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10.358948943313214</v>
      </c>
      <c r="FR152" s="21">
        <f>EXP(-LN(2)/25)*FR151+(1-EXP(-LN(2)/25))/(LN(2)/25)*Calculateur!FM152*Calculateur!FO152*VLOOKUP('Données projet'!$B$16,Paramètres!$A$1:$I$89,3,0)*0.475*44/12</f>
        <v>6.2536622259616639</v>
      </c>
      <c r="FS152" s="21">
        <f>EXP(-LN(2)/2)*FS151+(1-EXP(-LN(2)/2))/(LN(2)/2)*FM152*FP152*VLOOKUP('Données projet'!$B$16,Paramètres!$A$1:$I$89,3,0)*0.475*44/12</f>
        <v>2.139443868459802E-9</v>
      </c>
      <c r="FT152" s="22">
        <f t="shared" si="132"/>
        <v>16.612611171414322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5.6843418860808015E-14</v>
      </c>
      <c r="GA152" s="17">
        <f>FZ152*VLOOKUP('Données projet'!$B$17,Paramètres!$A$1:$I$89,3,0)*VLOOKUP('Données projet'!$B$17,Paramètres!$A$1:$I$89,5,0)</f>
        <v>5.1431925385259088E-14</v>
      </c>
      <c r="GB152" s="13">
        <f t="shared" si="157"/>
        <v>8.3482866290946129E-13</v>
      </c>
      <c r="GC152" s="20">
        <f t="shared" si="133"/>
        <v>1.5435705246133045E-12</v>
      </c>
      <c r="GD152" s="59">
        <f t="shared" si="134"/>
        <v>293.33333333333485</v>
      </c>
      <c r="GE152" s="59">
        <f ca="1">AVERAGE(OFFSET($GD$3,0,0,'Données projet'!$E$17+1,1))-AVERAGE(OFFSET($H$3,0,0,'Données projet'!$E$17+1,1))</f>
        <v>204.78565758021779</v>
      </c>
      <c r="GF152" s="59">
        <f t="shared" si="158"/>
        <v>287.25131613242439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1.99018432346651</v>
      </c>
      <c r="GM152" s="21">
        <f>EXP(-LN(2)/25)*GM151+(1-EXP(-LN(2)/25))/(LN(2)/25)*Calculateur!GH152*Calculateur!GJ152*VLOOKUP('Données projet'!$B$17,Paramètres!$A$1:$I$89,3,0)*0.475*44/12</f>
        <v>0.73934679952756166</v>
      </c>
      <c r="GN152" s="21">
        <f>EXP(-LN(2)/2)*GN151+(1-EXP(-LN(2)/2))/(LN(2)/2)*GH152*GK152*VLOOKUP('Données projet'!$B$17,Paramètres!$A$1:$I$89,3,0)*0.475*44/12</f>
        <v>3.062125971425268E-15</v>
      </c>
      <c r="GO152" s="21">
        <f t="shared" si="135"/>
        <v>2.7295311229940746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5.6843418860808015E-14</v>
      </c>
      <c r="GV152" s="17">
        <f>GU152*VLOOKUP('Données projet'!$B$18,Paramètres!$A$1:$I$89,3,0)*VLOOKUP('Données projet'!$B$18,Paramètres!$A$1:$I$89,5,0)</f>
        <v>4.4337866711430253E-14</v>
      </c>
      <c r="GW152" s="13">
        <f t="shared" si="159"/>
        <v>7.3222115536967035E-13</v>
      </c>
      <c r="GX152" s="20">
        <f t="shared" si="136"/>
        <v>1.3525069634579169E-12</v>
      </c>
      <c r="GY152" s="59">
        <f t="shared" si="137"/>
        <v>293.33333333333468</v>
      </c>
      <c r="GZ152" s="59">
        <f ca="1">AVERAGE(OFFSET($GY$3,0,0,'Données projet'!$E$18+1,1))-AVERAGE(OFFSET($H$3,0,0,'Données projet'!$E$18+1,1))</f>
        <v>288.82868507674738</v>
      </c>
      <c r="HA152" s="59">
        <f t="shared" si="160"/>
        <v>283.48738729114024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8.8183138804339372</v>
      </c>
      <c r="HH152" s="21">
        <f>EXP(-LN(2)/25)*HH151+(1-EXP(-LN(2)/25))/(LN(2)/25)*Calculateur!HC152*Calculateur!HE152*VLOOKUP('Données projet'!$B$18,Paramètres!$A$1:$I$89,3,0)*0.475*44/12</f>
        <v>4.6068645584689722</v>
      </c>
      <c r="HI152" s="21">
        <f>EXP(-LN(2)/2)*HI151+(1-EXP(-LN(2)/2))/(LN(2)/2)*HC152*HF152*VLOOKUP('Données projet'!$B$18,Paramètres!$A$1:$I$89,3,0)*0.475*44/12</f>
        <v>5.5257279794462632E-11</v>
      </c>
      <c r="HJ152" s="22">
        <f t="shared" si="138"/>
        <v>13.425178438958167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349.71285006949597</v>
      </c>
      <c r="T153" s="59">
        <f t="shared" si="142"/>
        <v>258.51550516456842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38.316867584413508</v>
      </c>
      <c r="AA153" s="21">
        <f>EXP(-LN(2)/25)*AA152+(1-EXP(-LN(2)/25))/(LN(2)/25)*Calculateur!V153*Calculateur!X153*VLOOKUP('Données projet'!$B$9,Paramètres!$A$1:$I$89,3,0)*0.475*44/12</f>
        <v>7.4298344863480281</v>
      </c>
      <c r="AB153" s="21">
        <f>EXP(-LN(2)/2)*AB152+(1-EXP(-LN(2)/2))/(LN(2)/2)*V153*Y153*VLOOKUP('Données projet'!$B$9,Paramètres!$A$1:$I$89,3,0)*0.475*44/12</f>
        <v>2.0581251825557762E-9</v>
      </c>
      <c r="AC153" s="22">
        <f t="shared" si="111"/>
        <v>45.746702072819659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2.5579538487363607E-13</v>
      </c>
      <c r="AJ153" s="13">
        <f>AI153*VLOOKUP('Données projet'!$B$10,Paramètres!$A$1:$I$89,3,0)*VLOOKUP('Données projet'!$B$10,Paramètres!$A$1:$I$89,5,0)</f>
        <v>2.4341488824575211E-13</v>
      </c>
      <c r="AK153" s="13">
        <f t="shared" si="143"/>
        <v>3.2970717324875541E-12</v>
      </c>
      <c r="AL153" s="20">
        <f t="shared" si="112"/>
        <v>6.1663475311105072E-12</v>
      </c>
      <c r="AM153" s="59">
        <f t="shared" si="113"/>
        <v>293.33333333333945</v>
      </c>
      <c r="AN153" s="59">
        <f ca="1">AVERAGE(OFFSET($AM$3,0,0,'Données projet'!$E$10+1,1))-AVERAGE(OFFSET($H$3,0,0,'Données projet'!$E$10+1,1))</f>
        <v>449.28947235329758</v>
      </c>
      <c r="AO153" s="59">
        <f t="shared" si="144"/>
        <v>289.36994109443964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79.95300346517601</v>
      </c>
      <c r="AV153" s="21">
        <f>EXP(-LN(2)/25)*AV152+(1-EXP(-LN(2)/25))/(LN(2)/25)*Calculateur!AQ153*Calculateur!AS153*VLOOKUP('Données projet'!$B$10,Paramètres!$A$1:$I$89,3,0)*0.475*44/12</f>
        <v>14.220121876721572</v>
      </c>
      <c r="AW153" s="21">
        <f>EXP(-LN(2)/2)*AW152+(1-EXP(-LN(2)/2))/(LN(2)/2)*AQ153*AT153*VLOOKUP('Données projet'!$B$10,Paramètres!$A$1:$I$89,3,0)*0.475*44/12</f>
        <v>6.9935976307104611E-3</v>
      </c>
      <c r="AX153" s="21">
        <f t="shared" si="114"/>
        <v>94.180118939528299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460.67892000000074</v>
      </c>
      <c r="BF153" s="13">
        <f t="shared" si="145"/>
        <v>103.97545705513664</v>
      </c>
      <c r="BG153" s="20">
        <f t="shared" si="115"/>
        <v>983.43970670436431</v>
      </c>
      <c r="BH153" s="59">
        <f t="shared" si="116"/>
        <v>1276.7730400376977</v>
      </c>
      <c r="BI153" s="59">
        <f ca="1">AVERAGE(OFFSET($BH$3,0,0,'Données projet'!$E$11+1,1))-AVERAGE(OFFSET($H$3,0,0,'Données projet'!$E$11+1,1))</f>
        <v>635.71275911100679</v>
      </c>
      <c r="BJ153" s="59">
        <f t="shared" si="146"/>
        <v>281.7776857269169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44.395490302307536</v>
      </c>
      <c r="BQ153" s="21">
        <f>EXP(-LN(2)/25)*BQ152+(1-EXP(-LN(2)/25))/(LN(2)/25)*Calculateur!BL153*Calculateur!BN153*VLOOKUP('Données projet'!$B$11,Paramètres!$A$1:$I$89,3,0)*0.475*44/12</f>
        <v>19.736312677382596</v>
      </c>
      <c r="BR153" s="21">
        <f>EXP(-LN(2)/2)*BR152+(1-EXP(-LN(2)/2))/(LN(2)/2)*BL153*BO153*VLOOKUP('Données projet'!$B$11,Paramètres!$A$1:$I$89,3,0)*0.475*44/12</f>
        <v>6.2328861542048741E-4</v>
      </c>
      <c r="BS153" s="22">
        <f t="shared" si="117"/>
        <v>64.132426268305551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7.5191666666666634</v>
      </c>
      <c r="BY153" s="12">
        <f>IF('Données projet'!$A$114&gt;35,BY152+BX153-CG152,IF(A153&lt;'Données projet'!$A$114,$BV$205^A153,IF(A153='Données projet'!$A$114,'Données projet'!$B$114,BY152+BX153-CG152)))</f>
        <v>364.0849999999997</v>
      </c>
      <c r="BZ153" s="13">
        <f>BY153*VLOOKUP('Données projet'!$B$12,Paramètres!$A$1:$I$89,3,0)*VLOOKUP('Données projet'!$B$12,Paramètres!$A$1:$I$89,5,0)</f>
        <v>414.61999799999973</v>
      </c>
      <c r="CA153" s="13">
        <f t="shared" si="147"/>
        <v>94.734424577852963</v>
      </c>
      <c r="CB153" s="20">
        <f t="shared" si="118"/>
        <v>887.12561932309336</v>
      </c>
      <c r="CC153" s="59">
        <f t="shared" si="119"/>
        <v>1180.4589526564266</v>
      </c>
      <c r="CD153" s="59">
        <f ca="1">AVERAGE(OFFSET($CC$3,0,0,'Données projet'!$E$12+1,1))-AVERAGE(OFFSET($H$3,0,0,'Données projet'!$E$12+1,1))</f>
        <v>593.28343396240075</v>
      </c>
      <c r="CE153" s="59">
        <f t="shared" si="148"/>
        <v>289.66477662068695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33.18762823985135</v>
      </c>
      <c r="CL153" s="21">
        <f>EXP(-LN(2)/25)*CL152+(1-EXP(-LN(2)/25))/(LN(2)/25)*Calculateur!CG153*Calculateur!CI153*VLOOKUP('Données projet'!$B$12,Paramètres!$A$1:$I$89,3,0)*0.475*44/12</f>
        <v>21.956170860627569</v>
      </c>
      <c r="CM153" s="21">
        <f>EXP(-LN(2)/2)*CM152+(1-EXP(-LN(2)/2))/(LN(2)/2)*CG153*CJ153*VLOOKUP('Données projet'!$B$12,Paramètres!$A$1:$I$89,3,0)*0.475*44/12</f>
        <v>0.82915927858770744</v>
      </c>
      <c r="CN153" s="22">
        <f t="shared" si="120"/>
        <v>55.972958379066625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2.2737367544323206E-13</v>
      </c>
      <c r="CU153" s="17">
        <f>CT153*VLOOKUP('Données projet'!$B$13,Paramètres!$A$1:$I$89,3,0)*VLOOKUP('Données projet'!$B$13,Paramètres!$A$1:$I$89,5,0)</f>
        <v>2.3765096557326618E-13</v>
      </c>
      <c r="CV153" s="13">
        <f t="shared" si="149"/>
        <v>3.2279907425805489E-12</v>
      </c>
      <c r="CW153" s="20">
        <f t="shared" si="121"/>
        <v>6.0359926417012276E-12</v>
      </c>
      <c r="CX153" s="59">
        <f t="shared" si="122"/>
        <v>293.33333333333934</v>
      </c>
      <c r="CY153" s="59">
        <f ca="1">AVERAGE(OFFSET($CX$3,0,0,'Données projet'!$E$13+1,1))-AVERAGE(OFFSET($H$3,0,0,'Données projet'!$E$13+1,1))</f>
        <v>260.65406541614402</v>
      </c>
      <c r="CZ153" s="59">
        <f t="shared" si="150"/>
        <v>277.63456890196886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5.4900208956386622</v>
      </c>
      <c r="DG153" s="21">
        <f>EXP(-LN(2)/25)*DG152+(1-EXP(-LN(2)/25))/(LN(2)/25)*Calculateur!DB153*Calculateur!DD153*VLOOKUP('Données projet'!$B$13,Paramètres!$A$1:$I$89,3,0)*0.475*44/12</f>
        <v>9.3860112822429667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14.87603217788163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2.2737367544323206E-13</v>
      </c>
      <c r="DP153" s="17">
        <f>DO153*VLOOKUP('Données projet'!$B$14,Paramètres!$A$1:$I$89,3,0)*VLOOKUP('Données projet'!$B$14,Paramètres!$A$1:$I$89,5,0)</f>
        <v>1.4897523215040565E-13</v>
      </c>
      <c r="DQ153" s="13">
        <f t="shared" si="151"/>
        <v>2.136562777003313E-12</v>
      </c>
      <c r="DR153" s="20">
        <f t="shared" si="124"/>
        <v>3.9806453659427267E-12</v>
      </c>
      <c r="DS153" s="59">
        <f t="shared" si="125"/>
        <v>293.33333333333729</v>
      </c>
      <c r="DT153" s="59">
        <f ca="1">AVERAGE(OFFSET($DS$3,0,0,'Données projet'!$E$14+1,1))-AVERAGE(OFFSET($H$3,0,0,'Données projet'!$E$14+1,1))</f>
        <v>181.4272795535777</v>
      </c>
      <c r="DU153" s="59">
        <f t="shared" si="152"/>
        <v>187.67131775419904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5.152010895457976</v>
      </c>
      <c r="EB153" s="21">
        <f>EXP(-LN(2)/25)*EB152+(1-EXP(-LN(2)/25))/(LN(2)/25)*Calculateur!DW153*Calculateur!DY153*VLOOKUP('Données projet'!$B$14,Paramètres!$A$1:$I$89,3,0)*0.475*44/12</f>
        <v>3.4184316667423706</v>
      </c>
      <c r="EC153" s="21">
        <f>EXP(-LN(2)/2)*EC152+(1-EXP(-LN(2)/2))/(LN(2)/2)*DW153*DZ153*VLOOKUP('Données projet'!$B$14,Paramètres!$A$1:$I$89,3,0)*0.475*44/12</f>
        <v>2.3368680520816187E-8</v>
      </c>
      <c r="ED153" s="22">
        <f t="shared" si="126"/>
        <v>8.5704425855690278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1.1368683772161603E-13</v>
      </c>
      <c r="EK153" s="17">
        <f>EJ153*VLOOKUP('Données projet'!$B$15,Paramètres!$A$1:$I$89,3,0)*VLOOKUP('Données projet'!$B$15,Paramètres!$A$1:$I$89,5,0)</f>
        <v>9.2222762759774927E-14</v>
      </c>
      <c r="EL153" s="13">
        <f t="shared" si="153"/>
        <v>1.3985662224947967E-12</v>
      </c>
      <c r="EM153" s="20">
        <f t="shared" si="127"/>
        <v>2.5964574826517121E-12</v>
      </c>
      <c r="EN153" s="59">
        <f t="shared" si="128"/>
        <v>293.33333333333593</v>
      </c>
      <c r="EO153" s="59">
        <f ca="1">AVERAGE(OFFSET($EN$3,0,0,'Données projet'!$E$15+1,1))-AVERAGE(OFFSET($H$3,0,0,'Données projet'!$E$15+1,1))</f>
        <v>159.68591355116837</v>
      </c>
      <c r="EP153" s="59">
        <f t="shared" si="154"/>
        <v>284.32631786390112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1.6511124386128126</v>
      </c>
      <c r="EW153" s="21">
        <f>EXP(-LN(2)/25)*EW152+(1-EXP(-LN(2)/25))/(LN(2)/25)*Calculateur!ER153*Calculateur!ET153*VLOOKUP('Données projet'!$B$15,Paramètres!$A$1:$I$89,3,0)*0.475*44/12</f>
        <v>0.91511512616912416</v>
      </c>
      <c r="EX153" s="21">
        <f>EXP(-LN(2)/2)*EX152+(1-EXP(-LN(2)/2))/(LN(2)/2)*ER153*EU153*VLOOKUP('Données projet'!$B$15,Paramètres!$A$1:$I$89,3,0)*0.475*44/12</f>
        <v>8.0996638270924436E-16</v>
      </c>
      <c r="EY153" s="22">
        <f t="shared" si="129"/>
        <v>2.5662275647819377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-1.3567387213697657E-13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299.10536994156814</v>
      </c>
      <c r="FK153" s="59">
        <f t="shared" si="156"/>
        <v>292.57799203101769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10.155816272869814</v>
      </c>
      <c r="FR153" s="21">
        <f>EXP(-LN(2)/25)*FR152+(1-EXP(-LN(2)/25))/(LN(2)/25)*Calculateur!FM153*Calculateur!FO153*VLOOKUP('Données projet'!$B$16,Paramètres!$A$1:$I$89,3,0)*0.475*44/12</f>
        <v>6.0826555035269383</v>
      </c>
      <c r="FS153" s="21">
        <f>EXP(-LN(2)/2)*FS152+(1-EXP(-LN(2)/2))/(LN(2)/2)*FM153*FP153*VLOOKUP('Données projet'!$B$16,Paramètres!$A$1:$I$89,3,0)*0.475*44/12</f>
        <v>1.512815267355906E-9</v>
      </c>
      <c r="FT153" s="22">
        <f t="shared" si="132"/>
        <v>16.238471777909567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5.6843418860808015E-14</v>
      </c>
      <c r="GA153" s="17">
        <f>FZ153*VLOOKUP('Données projet'!$B$17,Paramètres!$A$1:$I$89,3,0)*VLOOKUP('Données projet'!$B$17,Paramètres!$A$1:$I$89,5,0)</f>
        <v>5.1431925385259088E-14</v>
      </c>
      <c r="GB153" s="13">
        <f t="shared" si="157"/>
        <v>8.3482866290946129E-13</v>
      </c>
      <c r="GC153" s="20">
        <f t="shared" si="133"/>
        <v>1.5435705246133045E-12</v>
      </c>
      <c r="GD153" s="59">
        <f t="shared" si="134"/>
        <v>293.33333333333485</v>
      </c>
      <c r="GE153" s="59">
        <f ca="1">AVERAGE(OFFSET($GD$3,0,0,'Données projet'!$E$17+1,1))-AVERAGE(OFFSET($H$3,0,0,'Données projet'!$E$17+1,1))</f>
        <v>204.78565758021779</v>
      </c>
      <c r="GF153" s="59">
        <f t="shared" si="158"/>
        <v>287.25131613242439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1.9511580227759071</v>
      </c>
      <c r="GM153" s="21">
        <f>EXP(-LN(2)/25)*GM152+(1-EXP(-LN(2)/25))/(LN(2)/25)*Calculateur!GH153*Calculateur!GJ153*VLOOKUP('Données projet'!$B$17,Paramètres!$A$1:$I$89,3,0)*0.475*44/12</f>
        <v>0.71912932241392213</v>
      </c>
      <c r="GN153" s="21">
        <f>EXP(-LN(2)/2)*GN152+(1-EXP(-LN(2)/2))/(LN(2)/2)*GH153*GK153*VLOOKUP('Données projet'!$B$17,Paramètres!$A$1:$I$89,3,0)*0.475*44/12</f>
        <v>2.1652500392422512E-15</v>
      </c>
      <c r="GO153" s="21">
        <f t="shared" si="135"/>
        <v>2.6702873451898315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5.6843418860808015E-14</v>
      </c>
      <c r="GV153" s="17">
        <f>GU153*VLOOKUP('Données projet'!$B$18,Paramètres!$A$1:$I$89,3,0)*VLOOKUP('Données projet'!$B$18,Paramètres!$A$1:$I$89,5,0)</f>
        <v>4.4337866711430253E-14</v>
      </c>
      <c r="GW153" s="13">
        <f t="shared" si="159"/>
        <v>7.3222115536967035E-13</v>
      </c>
      <c r="GX153" s="20">
        <f t="shared" si="136"/>
        <v>1.3525069634579169E-12</v>
      </c>
      <c r="GY153" s="59">
        <f t="shared" si="137"/>
        <v>293.33333333333468</v>
      </c>
      <c r="GZ153" s="59">
        <f ca="1">AVERAGE(OFFSET($GY$3,0,0,'Données projet'!$E$18+1,1))-AVERAGE(OFFSET($H$3,0,0,'Données projet'!$E$18+1,1))</f>
        <v>288.82868507674738</v>
      </c>
      <c r="HA153" s="59">
        <f t="shared" si="160"/>
        <v>283.48738729114024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8.6453921238789988</v>
      </c>
      <c r="HH153" s="21">
        <f>EXP(-LN(2)/25)*HH152+(1-EXP(-LN(2)/25))/(LN(2)/25)*Calculateur!HC153*Calculateur!HE153*VLOOKUP('Données projet'!$B$18,Paramètres!$A$1:$I$89,3,0)*0.475*44/12</f>
        <v>4.4808896048531599</v>
      </c>
      <c r="HI153" s="21">
        <f>EXP(-LN(2)/2)*HI152+(1-EXP(-LN(2)/2))/(LN(2)/2)*HC153*HF153*VLOOKUP('Données projet'!$B$18,Paramètres!$A$1:$I$89,3,0)*0.475*44/12</f>
        <v>3.9072797252586921E-11</v>
      </c>
      <c r="HJ153" s="22">
        <f t="shared" si="138"/>
        <v>13.126281728771232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349.71285006949597</v>
      </c>
      <c r="T154" s="59">
        <f t="shared" si="142"/>
        <v>258.51550516456842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37.565497182064696</v>
      </c>
      <c r="AA154" s="21">
        <f>EXP(-LN(2)/25)*AA153+(1-EXP(-LN(2)/25))/(LN(2)/25)*Calculateur!V154*Calculateur!X154*VLOOKUP('Données projet'!$B$9,Paramètres!$A$1:$I$89,3,0)*0.475*44/12</f>
        <v>7.2266652716008268</v>
      </c>
      <c r="AB154" s="21">
        <f>EXP(-LN(2)/2)*AB153+(1-EXP(-LN(2)/2))/(LN(2)/2)*V154*Y154*VLOOKUP('Données projet'!$B$9,Paramètres!$A$1:$I$89,3,0)*0.475*44/12</f>
        <v>1.4553142731159904E-9</v>
      </c>
      <c r="AC154" s="22">
        <f t="shared" ref="AC154:AC203" si="163">SUM(Z154:AB154)</f>
        <v>44.792162455120838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2.5579538487363607E-13</v>
      </c>
      <c r="AJ154" s="13">
        <f>AI154*VLOOKUP('Données projet'!$B$10,Paramètres!$A$1:$I$89,3,0)*VLOOKUP('Données projet'!$B$10,Paramètres!$A$1:$I$89,5,0)</f>
        <v>2.4341488824575211E-13</v>
      </c>
      <c r="AK154" s="13">
        <f t="shared" ref="AK154:AK203" si="164">EXP(-1.0587+0.8836*LN(AJ154)+0.284)</f>
        <v>3.2970717324875541E-12</v>
      </c>
      <c r="AL154" s="20">
        <f t="shared" ref="AL154:AL203" si="165">(AJ154+AK154)*0.475*44/12</f>
        <v>6.1663475311105072E-12</v>
      </c>
      <c r="AM154" s="59">
        <f t="shared" si="113"/>
        <v>293.33333333333945</v>
      </c>
      <c r="AN154" s="59">
        <f ca="1">AVERAGE(OFFSET($AM$3,0,0,'Données projet'!$E$10+1,1))-AVERAGE(OFFSET($H$3,0,0,'Données projet'!$E$10+1,1))</f>
        <v>449.28947235329758</v>
      </c>
      <c r="AO154" s="59">
        <f t="shared" si="144"/>
        <v>289.36994109443964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78.385173833740723</v>
      </c>
      <c r="AV154" s="21">
        <f>EXP(-LN(2)/25)*AV153+(1-EXP(-LN(2)/25))/(LN(2)/25)*Calculateur!AQ154*Calculateur!AS154*VLOOKUP('Données projet'!$B$10,Paramètres!$A$1:$I$89,3,0)*0.475*44/12</f>
        <v>13.831271896198912</v>
      </c>
      <c r="AW154" s="21">
        <f>EXP(-LN(2)/2)*AW153+(1-EXP(-LN(2)/2))/(LN(2)/2)*AQ154*AT154*VLOOKUP('Données projet'!$B$10,Paramètres!$A$1:$I$89,3,0)*0.475*44/12</f>
        <v>4.9452203095655392E-3</v>
      </c>
      <c r="AX154" s="21">
        <f t="shared" ref="AX154:AX203" si="166">SUM(AU154:AW154)</f>
        <v>92.221390950249202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469.12522800000067</v>
      </c>
      <c r="BF154" s="13">
        <f t="shared" ref="BF154:BF203" si="167">EXP(-1.0587+0.8836*LN(BE154)+0.284)</f>
        <v>105.65811013888603</v>
      </c>
      <c r="BG154" s="20">
        <f t="shared" ref="BG154:BG203" si="168">(BE154+BF154)*0.475*44/12</f>
        <v>1001.0809805918944</v>
      </c>
      <c r="BH154" s="59">
        <f t="shared" si="116"/>
        <v>1294.4143139252278</v>
      </c>
      <c r="BI154" s="59">
        <f ca="1">AVERAGE(OFFSET($BH$3,0,0,'Données projet'!$E$11+1,1))-AVERAGE(OFFSET($H$3,0,0,'Données projet'!$E$11+1,1))</f>
        <v>635.71275911100679</v>
      </c>
      <c r="BJ154" s="59">
        <f t="shared" si="146"/>
        <v>281.7776857269169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43.524921816054579</v>
      </c>
      <c r="BQ154" s="21">
        <f>EXP(-LN(2)/25)*BQ153+(1-EXP(-LN(2)/25))/(LN(2)/25)*Calculateur!BL154*Calculateur!BN154*VLOOKUP('Données projet'!$B$11,Paramètres!$A$1:$I$89,3,0)*0.475*44/12</f>
        <v>19.196622169331992</v>
      </c>
      <c r="BR154" s="21">
        <f>EXP(-LN(2)/2)*BR153+(1-EXP(-LN(2)/2))/(LN(2)/2)*BL154*BO154*VLOOKUP('Données projet'!$B$11,Paramètres!$A$1:$I$89,3,0)*0.475*44/12</f>
        <v>4.4073160660020077E-4</v>
      </c>
      <c r="BS154" s="22">
        <f t="shared" ref="BS154:BS203" si="169">SUM(BP154:BR154)</f>
        <v>62.721984716993177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7.5191666666666634</v>
      </c>
      <c r="BY154" s="12">
        <f>IF('Données projet'!$A$114&gt;35,BY153+BX154-CG153,IF(A154&lt;'Données projet'!$A$114,$BV$205^A154,IF(A154='Données projet'!$A$114,'Données projet'!$B$114,BY153+BX154-CG153)))</f>
        <v>371.60416666666634</v>
      </c>
      <c r="BZ154" s="13">
        <f>BY154*VLOOKUP('Données projet'!$B$12,Paramètres!$A$1:$I$89,3,0)*VLOOKUP('Données projet'!$B$12,Paramètres!$A$1:$I$89,5,0)</f>
        <v>423.18282499999958</v>
      </c>
      <c r="CA154" s="13">
        <f t="shared" ref="CA154:CA203" si="170">EXP(-1.0587+0.8836*LN(BZ154)+0.284)</f>
        <v>96.461105569944294</v>
      </c>
      <c r="CB154" s="20">
        <f t="shared" ref="CB154:CB203" si="171">(BZ154+CA154)*0.475*44/12</f>
        <v>905.04651240931889</v>
      </c>
      <c r="CC154" s="59">
        <f t="shared" si="119"/>
        <v>1198.3798457426522</v>
      </c>
      <c r="CD154" s="59">
        <f ca="1">AVERAGE(OFFSET($CC$3,0,0,'Données projet'!$E$12+1,1))-AVERAGE(OFFSET($H$3,0,0,'Données projet'!$E$12+1,1))</f>
        <v>593.28343396240075</v>
      </c>
      <c r="CE154" s="59">
        <f t="shared" si="148"/>
        <v>289.66477662068695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32.536839092522314</v>
      </c>
      <c r="CL154" s="21">
        <f>EXP(-LN(2)/25)*CL153+(1-EXP(-LN(2)/25))/(LN(2)/25)*Calculateur!CG154*Calculateur!CI154*VLOOKUP('Données projet'!$B$12,Paramètres!$A$1:$I$89,3,0)*0.475*44/12</f>
        <v>21.355778213818866</v>
      </c>
      <c r="CM154" s="21">
        <f>EXP(-LN(2)/2)*CM153+(1-EXP(-LN(2)/2))/(LN(2)/2)*CG154*CJ154*VLOOKUP('Données projet'!$B$12,Paramètres!$A$1:$I$89,3,0)*0.475*44/12</f>
        <v>0.58630414857311364</v>
      </c>
      <c r="CN154" s="22">
        <f t="shared" ref="CN154:CN203" si="172">SUM(CK154:CM154)</f>
        <v>54.478921454914293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2.2737367544323206E-13</v>
      </c>
      <c r="CU154" s="17">
        <f>CT154*VLOOKUP('Données projet'!$B$13,Paramètres!$A$1:$I$89,3,0)*VLOOKUP('Données projet'!$B$13,Paramètres!$A$1:$I$89,5,0)</f>
        <v>2.3765096557326618E-13</v>
      </c>
      <c r="CV154" s="13">
        <f t="shared" ref="CV154:CV203" si="173">EXP(-1.0587+0.8836*LN(CU154)+0.284)</f>
        <v>3.2279907425805489E-12</v>
      </c>
      <c r="CW154" s="20">
        <f t="shared" ref="CW154:CW203" si="174">(CU154+CV154)*0.475*44/12</f>
        <v>6.0359926417012276E-12</v>
      </c>
      <c r="CX154" s="59">
        <f t="shared" si="122"/>
        <v>293.33333333333934</v>
      </c>
      <c r="CY154" s="59">
        <f ca="1">AVERAGE(OFFSET($CX$3,0,0,'Données projet'!$E$13+1,1))-AVERAGE(OFFSET($H$3,0,0,'Données projet'!$E$13+1,1))</f>
        <v>260.65406541614402</v>
      </c>
      <c r="CZ154" s="59">
        <f t="shared" si="150"/>
        <v>277.63456890196886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5.3823649344572893</v>
      </c>
      <c r="DG154" s="21">
        <f>EXP(-LN(2)/25)*DG153+(1-EXP(-LN(2)/25))/(LN(2)/25)*Calculateur!DB154*Calculateur!DD154*VLOOKUP('Données projet'!$B$13,Paramètres!$A$1:$I$89,3,0)*0.475*44/12</f>
        <v>9.1293503101411506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14.51171524459844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2.2737367544323206E-13</v>
      </c>
      <c r="DP154" s="17">
        <f>DO154*VLOOKUP('Données projet'!$B$14,Paramètres!$A$1:$I$89,3,0)*VLOOKUP('Données projet'!$B$14,Paramètres!$A$1:$I$89,5,0)</f>
        <v>1.4897523215040565E-13</v>
      </c>
      <c r="DQ154" s="13">
        <f t="shared" ref="DQ154:DQ203" si="176">EXP(-1.0587+0.8836*LN(DP154)+0.284)</f>
        <v>2.136562777003313E-12</v>
      </c>
      <c r="DR154" s="20">
        <f t="shared" ref="DR154:DR203" si="177">(DP154+DQ154)*0.475*44/12</f>
        <v>3.9806453659427267E-12</v>
      </c>
      <c r="DS154" s="59">
        <f t="shared" si="125"/>
        <v>293.33333333333729</v>
      </c>
      <c r="DT154" s="59">
        <f ca="1">AVERAGE(OFFSET($DS$3,0,0,'Données projet'!$E$14+1,1))-AVERAGE(OFFSET($H$3,0,0,'Données projet'!$E$14+1,1))</f>
        <v>181.4272795535777</v>
      </c>
      <c r="DU154" s="59">
        <f t="shared" si="152"/>
        <v>187.67131775419904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5.0509831042144038</v>
      </c>
      <c r="EB154" s="21">
        <f>EXP(-LN(2)/25)*EB153+(1-EXP(-LN(2)/25))/(LN(2)/25)*Calculateur!DW154*Calculateur!DY154*VLOOKUP('Données projet'!$B$14,Paramètres!$A$1:$I$89,3,0)*0.475*44/12</f>
        <v>3.324954473047792</v>
      </c>
      <c r="EC154" s="21">
        <f>EXP(-LN(2)/2)*EC153+(1-EXP(-LN(2)/2))/(LN(2)/2)*DW154*DZ154*VLOOKUP('Données projet'!$B$14,Paramètres!$A$1:$I$89,3,0)*0.475*44/12</f>
        <v>1.6524152463651107E-8</v>
      </c>
      <c r="ED154" s="22">
        <f t="shared" ref="ED154:ED203" si="178">SUM(EA154:EC154)</f>
        <v>8.3759375937863485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1.1368683772161603E-13</v>
      </c>
      <c r="EK154" s="17">
        <f>EJ154*VLOOKUP('Données projet'!$B$15,Paramètres!$A$1:$I$89,3,0)*VLOOKUP('Données projet'!$B$15,Paramètres!$A$1:$I$89,5,0)</f>
        <v>9.2222762759774927E-14</v>
      </c>
      <c r="EL154" s="13">
        <f t="shared" ref="EL154:EL203" si="179">EXP(-1.0587+0.8836*LN(EK154)+0.284)</f>
        <v>1.3985662224947967E-12</v>
      </c>
      <c r="EM154" s="20">
        <f t="shared" ref="EM154:EM203" si="180">(EK154+EL154)*0.475*44/12</f>
        <v>2.5964574826517121E-12</v>
      </c>
      <c r="EN154" s="59">
        <f t="shared" si="128"/>
        <v>293.33333333333593</v>
      </c>
      <c r="EO154" s="59">
        <f ca="1">AVERAGE(OFFSET($EN$3,0,0,'Données projet'!$E$15+1,1))-AVERAGE(OFFSET($H$3,0,0,'Données projet'!$E$15+1,1))</f>
        <v>159.68591355116837</v>
      </c>
      <c r="EP154" s="59">
        <f t="shared" si="154"/>
        <v>284.32631786390112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1.618735130770762</v>
      </c>
      <c r="EW154" s="21">
        <f>EXP(-LN(2)/25)*EW153+(1-EXP(-LN(2)/25))/(LN(2)/25)*Calculateur!ER154*Calculateur!ET154*VLOOKUP('Données projet'!$B$15,Paramètres!$A$1:$I$89,3,0)*0.475*44/12</f>
        <v>0.89009125492021646</v>
      </c>
      <c r="EX154" s="21">
        <f>EXP(-LN(2)/2)*EX153+(1-EXP(-LN(2)/2))/(LN(2)/2)*ER154*EU154*VLOOKUP('Données projet'!$B$15,Paramètres!$A$1:$I$89,3,0)*0.475*44/12</f>
        <v>5.7273272174684505E-16</v>
      </c>
      <c r="EY154" s="22">
        <f t="shared" ref="EY154:EY203" si="181">SUM(EV154:EX154)</f>
        <v>2.5088263856909792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-1.3567387213697657E-13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299.10536994156814</v>
      </c>
      <c r="FK154" s="59">
        <f t="shared" si="156"/>
        <v>292.57799203101769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9.9566669101951124</v>
      </c>
      <c r="FR154" s="21">
        <f>EXP(-LN(2)/25)*FR153+(1-EXP(-LN(2)/25))/(LN(2)/25)*Calculateur!FM154*Calculateur!FO154*VLOOKUP('Données projet'!$B$16,Paramètres!$A$1:$I$89,3,0)*0.475*44/12</f>
        <v>5.9163249689100432</v>
      </c>
      <c r="FS154" s="21">
        <f>EXP(-LN(2)/2)*FS153+(1-EXP(-LN(2)/2))/(LN(2)/2)*FM154*FP154*VLOOKUP('Données projet'!$B$16,Paramètres!$A$1:$I$89,3,0)*0.475*44/12</f>
        <v>1.069721934229901E-9</v>
      </c>
      <c r="FT154" s="22">
        <f t="shared" ref="FT154:FT203" si="184">SUM(FQ154:FS154)</f>
        <v>15.872991880174878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5.6843418860808015E-14</v>
      </c>
      <c r="GA154" s="17">
        <f>FZ154*VLOOKUP('Données projet'!$B$17,Paramètres!$A$1:$I$89,3,0)*VLOOKUP('Données projet'!$B$17,Paramètres!$A$1:$I$89,5,0)</f>
        <v>5.1431925385259088E-14</v>
      </c>
      <c r="GB154" s="13">
        <f t="shared" ref="GB154:GB203" si="185">EXP(-1.0587+0.8836*LN(GA154)+0.284)</f>
        <v>8.3482866290946129E-13</v>
      </c>
      <c r="GC154" s="20">
        <f t="shared" ref="GC154:GC203" si="186">(GA154+GB154)*0.475*44/12</f>
        <v>1.5435705246133045E-12</v>
      </c>
      <c r="GD154" s="59">
        <f t="shared" si="134"/>
        <v>293.33333333333485</v>
      </c>
      <c r="GE154" s="59">
        <f ca="1">AVERAGE(OFFSET($GD$3,0,0,'Données projet'!$E$17+1,1))-AVERAGE(OFFSET($H$3,0,0,'Données projet'!$E$17+1,1))</f>
        <v>204.78565758021779</v>
      </c>
      <c r="GF154" s="59">
        <f t="shared" si="158"/>
        <v>287.25131613242439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1.9128970040381539</v>
      </c>
      <c r="GM154" s="21">
        <f>EXP(-LN(2)/25)*GM153+(1-EXP(-LN(2)/25))/(LN(2)/25)*Calculateur!GH154*Calculateur!GJ154*VLOOKUP('Données projet'!$B$17,Paramètres!$A$1:$I$89,3,0)*0.475*44/12</f>
        <v>0.69946469327514593</v>
      </c>
      <c r="GN154" s="21">
        <f>EXP(-LN(2)/2)*GN153+(1-EXP(-LN(2)/2))/(LN(2)/2)*GH154*GK154*VLOOKUP('Données projet'!$B$17,Paramètres!$A$1:$I$89,3,0)*0.475*44/12</f>
        <v>1.531062985712634E-15</v>
      </c>
      <c r="GO154" s="21">
        <f t="shared" ref="GO154:GO203" si="187">SUM(GL154:GN154)</f>
        <v>2.6123616973133013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5.6843418860808015E-14</v>
      </c>
      <c r="GV154" s="17">
        <f>GU154*VLOOKUP('Données projet'!$B$18,Paramètres!$A$1:$I$89,3,0)*VLOOKUP('Données projet'!$B$18,Paramètres!$A$1:$I$89,5,0)</f>
        <v>4.4337866711430253E-14</v>
      </c>
      <c r="GW154" s="13">
        <f t="shared" ref="GW154:GW203" si="188">EXP(-1.0587+0.8836*LN(GV154)+0.284)</f>
        <v>7.3222115536967035E-13</v>
      </c>
      <c r="GX154" s="20">
        <f t="shared" ref="GX154:GX203" si="189">(GV154+GW154)*0.475*44/12</f>
        <v>1.3525069634579169E-12</v>
      </c>
      <c r="GY154" s="59">
        <f t="shared" si="137"/>
        <v>293.33333333333468</v>
      </c>
      <c r="GZ154" s="59">
        <f ca="1">AVERAGE(OFFSET($GY$3,0,0,'Données projet'!$E$18+1,1))-AVERAGE(OFFSET($H$3,0,0,'Données projet'!$E$18+1,1))</f>
        <v>288.82868507674738</v>
      </c>
      <c r="HA154" s="59">
        <f t="shared" si="160"/>
        <v>283.48738729114024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8.475861257498245</v>
      </c>
      <c r="HH154" s="21">
        <f>EXP(-LN(2)/25)*HH153+(1-EXP(-LN(2)/25))/(LN(2)/25)*Calculateur!HC154*Calculateur!HE154*VLOOKUP('Données projet'!$B$18,Paramètres!$A$1:$I$89,3,0)*0.475*44/12</f>
        <v>4.3583594429687071</v>
      </c>
      <c r="HI154" s="21">
        <f>EXP(-LN(2)/2)*HI153+(1-EXP(-LN(2)/2))/(LN(2)/2)*HC154*HF154*VLOOKUP('Données projet'!$B$18,Paramètres!$A$1:$I$89,3,0)*0.475*44/12</f>
        <v>2.7628639897231316E-11</v>
      </c>
      <c r="HJ154" s="22">
        <f t="shared" ref="HJ154:HJ203" si="190">SUM(HG154:HI154)</f>
        <v>12.834220700494582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349.71285006949597</v>
      </c>
      <c r="T155" s="59">
        <f t="shared" si="142"/>
        <v>258.51550516456842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36.828860695015251</v>
      </c>
      <c r="AA155" s="21">
        <f>EXP(-LN(2)/25)*AA154+(1-EXP(-LN(2)/25))/(LN(2)/25)*Calculateur!V155*Calculateur!X155*VLOOKUP('Données projet'!$B$9,Paramètres!$A$1:$I$89,3,0)*0.475*44/12</f>
        <v>7.0290517297150927</v>
      </c>
      <c r="AB155" s="21">
        <f>EXP(-LN(2)/2)*AB154+(1-EXP(-LN(2)/2))/(LN(2)/2)*V155*Y155*VLOOKUP('Données projet'!$B$9,Paramètres!$A$1:$I$89,3,0)*0.475*44/12</f>
        <v>1.0290625912778881E-9</v>
      </c>
      <c r="AC155" s="22">
        <f t="shared" si="163"/>
        <v>43.857912425759409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2.5579538487363607E-13</v>
      </c>
      <c r="AJ155" s="13">
        <f>AI155*VLOOKUP('Données projet'!$B$10,Paramètres!$A$1:$I$89,3,0)*VLOOKUP('Données projet'!$B$10,Paramètres!$A$1:$I$89,5,0)</f>
        <v>2.4341488824575211E-13</v>
      </c>
      <c r="AK155" s="13">
        <f t="shared" si="164"/>
        <v>3.2970717324875541E-12</v>
      </c>
      <c r="AL155" s="20">
        <f t="shared" si="165"/>
        <v>6.1663475311105072E-12</v>
      </c>
      <c r="AM155" s="59">
        <f t="shared" si="113"/>
        <v>293.33333333333945</v>
      </c>
      <c r="AN155" s="59">
        <f ca="1">AVERAGE(OFFSET($AM$3,0,0,'Données projet'!$E$10+1,1))-AVERAGE(OFFSET($H$3,0,0,'Données projet'!$E$10+1,1))</f>
        <v>449.28947235329758</v>
      </c>
      <c r="AO155" s="59">
        <f t="shared" si="144"/>
        <v>289.36994109443964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76.848088385096233</v>
      </c>
      <c r="AV155" s="21">
        <f>EXP(-LN(2)/25)*AV154+(1-EXP(-LN(2)/25))/(LN(2)/25)*Calculateur!AQ155*Calculateur!AS155*VLOOKUP('Données projet'!$B$10,Paramètres!$A$1:$I$89,3,0)*0.475*44/12</f>
        <v>13.453055038842376</v>
      </c>
      <c r="AW155" s="21">
        <f>EXP(-LN(2)/2)*AW154+(1-EXP(-LN(2)/2))/(LN(2)/2)*AQ155*AT155*VLOOKUP('Données projet'!$B$10,Paramètres!$A$1:$I$89,3,0)*0.475*44/12</f>
        <v>3.4967988153552306E-3</v>
      </c>
      <c r="AX155" s="21">
        <f t="shared" si="166"/>
        <v>90.30464022275396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477.57153600000072</v>
      </c>
      <c r="BF155" s="13">
        <f t="shared" si="167"/>
        <v>107.3372403617045</v>
      </c>
      <c r="BG155" s="20">
        <f t="shared" si="168"/>
        <v>1018.71611882997</v>
      </c>
      <c r="BH155" s="59">
        <f t="shared" si="116"/>
        <v>1312.0494521633034</v>
      </c>
      <c r="BI155" s="59">
        <f ca="1">AVERAGE(OFFSET($BH$3,0,0,'Données projet'!$E$11+1,1))-AVERAGE(OFFSET($H$3,0,0,'Données projet'!$E$11+1,1))</f>
        <v>635.71275911100679</v>
      </c>
      <c r="BJ155" s="59">
        <f t="shared" si="146"/>
        <v>281.7776857269169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42.6714246468227</v>
      </c>
      <c r="BQ155" s="21">
        <f>EXP(-LN(2)/25)*BQ154+(1-EXP(-LN(2)/25))/(LN(2)/25)*Calculateur!BL155*Calculateur!BN155*VLOOKUP('Données projet'!$B$11,Paramètres!$A$1:$I$89,3,0)*0.475*44/12</f>
        <v>18.671689526605125</v>
      </c>
      <c r="BR155" s="21">
        <f>EXP(-LN(2)/2)*BR154+(1-EXP(-LN(2)/2))/(LN(2)/2)*BL155*BO155*VLOOKUP('Données projet'!$B$11,Paramètres!$A$1:$I$89,3,0)*0.475*44/12</f>
        <v>3.1164430771024371E-4</v>
      </c>
      <c r="BS155" s="22">
        <f t="shared" si="169"/>
        <v>61.343425817735529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7.5191666666666634</v>
      </c>
      <c r="BY155" s="12">
        <f>IF('Données projet'!$A$114&gt;35,BY154+BX155-CG154,IF(A155&lt;'Données projet'!$A$114,$BV$205^A155,IF(A155='Données projet'!$A$114,'Données projet'!$B$114,BY154+BX155-CG154)))</f>
        <v>379.12333333333299</v>
      </c>
      <c r="BZ155" s="13">
        <f>BY155*VLOOKUP('Données projet'!$B$12,Paramètres!$A$1:$I$89,3,0)*VLOOKUP('Données projet'!$B$12,Paramètres!$A$1:$I$89,5,0)</f>
        <v>431.74565199999961</v>
      </c>
      <c r="CA155" s="13">
        <f t="shared" si="170"/>
        <v>98.183724241289511</v>
      </c>
      <c r="CB155" s="20">
        <f t="shared" si="171"/>
        <v>922.96033028691181</v>
      </c>
      <c r="CC155" s="59">
        <f t="shared" si="119"/>
        <v>1216.2936636202451</v>
      </c>
      <c r="CD155" s="59">
        <f ca="1">AVERAGE(OFFSET($CC$3,0,0,'Données projet'!$E$12+1,1))-AVERAGE(OFFSET($H$3,0,0,'Données projet'!$E$12+1,1))</f>
        <v>593.28343396240075</v>
      </c>
      <c r="CE155" s="59">
        <f t="shared" si="148"/>
        <v>289.66477662068695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31.898811523430215</v>
      </c>
      <c r="CL155" s="21">
        <f>EXP(-LN(2)/25)*CL154+(1-EXP(-LN(2)/25))/(LN(2)/25)*Calculateur!CG155*Calculateur!CI155*VLOOKUP('Données projet'!$B$12,Paramètres!$A$1:$I$89,3,0)*0.475*44/12</f>
        <v>20.771803335510423</v>
      </c>
      <c r="CM155" s="21">
        <f>EXP(-LN(2)/2)*CM154+(1-EXP(-LN(2)/2))/(LN(2)/2)*CG155*CJ155*VLOOKUP('Données projet'!$B$12,Paramètres!$A$1:$I$89,3,0)*0.475*44/12</f>
        <v>0.41457963929385372</v>
      </c>
      <c r="CN155" s="22">
        <f t="shared" si="172"/>
        <v>53.085194498234493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2.2737367544323206E-13</v>
      </c>
      <c r="CU155" s="17">
        <f>CT155*VLOOKUP('Données projet'!$B$13,Paramètres!$A$1:$I$89,3,0)*VLOOKUP('Données projet'!$B$13,Paramètres!$A$1:$I$89,5,0)</f>
        <v>2.3765096557326618E-13</v>
      </c>
      <c r="CV155" s="13">
        <f t="shared" si="173"/>
        <v>3.2279907425805489E-12</v>
      </c>
      <c r="CW155" s="20">
        <f t="shared" si="174"/>
        <v>6.0359926417012276E-12</v>
      </c>
      <c r="CX155" s="59">
        <f t="shared" si="122"/>
        <v>293.33333333333934</v>
      </c>
      <c r="CY155" s="59">
        <f ca="1">AVERAGE(OFFSET($CX$3,0,0,'Données projet'!$E$13+1,1))-AVERAGE(OFFSET($H$3,0,0,'Données projet'!$E$13+1,1))</f>
        <v>260.65406541614402</v>
      </c>
      <c r="CZ155" s="59">
        <f t="shared" si="150"/>
        <v>277.63456890196886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5.2768200410110309</v>
      </c>
      <c r="DG155" s="21">
        <f>EXP(-LN(2)/25)*DG154+(1-EXP(-LN(2)/25))/(LN(2)/25)*Calculateur!DB155*Calculateur!DD155*VLOOKUP('Données projet'!$B$13,Paramètres!$A$1:$I$89,3,0)*0.475*44/12</f>
        <v>8.8797077458186742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14.156527786829706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2.2737367544323206E-13</v>
      </c>
      <c r="DP155" s="17">
        <f>DO155*VLOOKUP('Données projet'!$B$14,Paramètres!$A$1:$I$89,3,0)*VLOOKUP('Données projet'!$B$14,Paramètres!$A$1:$I$89,5,0)</f>
        <v>1.4897523215040565E-13</v>
      </c>
      <c r="DQ155" s="13">
        <f t="shared" si="176"/>
        <v>2.136562777003313E-12</v>
      </c>
      <c r="DR155" s="20">
        <f t="shared" si="177"/>
        <v>3.9806453659427267E-12</v>
      </c>
      <c r="DS155" s="59">
        <f t="shared" si="125"/>
        <v>293.33333333333729</v>
      </c>
      <c r="DT155" s="59">
        <f ca="1">AVERAGE(OFFSET($DS$3,0,0,'Données projet'!$E$14+1,1))-AVERAGE(OFFSET($H$3,0,0,'Données projet'!$E$14+1,1))</f>
        <v>181.4272795535777</v>
      </c>
      <c r="DU155" s="59">
        <f t="shared" si="152"/>
        <v>187.67131775419904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4.9519364063362499</v>
      </c>
      <c r="EB155" s="21">
        <f>EXP(-LN(2)/25)*EB154+(1-EXP(-LN(2)/25))/(LN(2)/25)*Calculateur!DW155*Calculateur!DY155*VLOOKUP('Données projet'!$B$14,Paramètres!$A$1:$I$89,3,0)*0.475*44/12</f>
        <v>3.2340334181305437</v>
      </c>
      <c r="EC155" s="21">
        <f>EXP(-LN(2)/2)*EC154+(1-EXP(-LN(2)/2))/(LN(2)/2)*DW155*DZ155*VLOOKUP('Données projet'!$B$14,Paramètres!$A$1:$I$89,3,0)*0.475*44/12</f>
        <v>1.1684340260408093E-8</v>
      </c>
      <c r="ED155" s="22">
        <f t="shared" si="178"/>
        <v>8.1859698361511342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1.1368683772161603E-13</v>
      </c>
      <c r="EK155" s="17">
        <f>EJ155*VLOOKUP('Données projet'!$B$15,Paramètres!$A$1:$I$89,3,0)*VLOOKUP('Données projet'!$B$15,Paramètres!$A$1:$I$89,5,0)</f>
        <v>9.2222762759774927E-14</v>
      </c>
      <c r="EL155" s="13">
        <f t="shared" si="179"/>
        <v>1.3985662224947967E-12</v>
      </c>
      <c r="EM155" s="20">
        <f t="shared" si="180"/>
        <v>2.5964574826517121E-12</v>
      </c>
      <c r="EN155" s="59">
        <f t="shared" si="128"/>
        <v>293.33333333333593</v>
      </c>
      <c r="EO155" s="59">
        <f ca="1">AVERAGE(OFFSET($EN$3,0,0,'Données projet'!$E$15+1,1))-AVERAGE(OFFSET($H$3,0,0,'Données projet'!$E$15+1,1))</f>
        <v>159.68591355116837</v>
      </c>
      <c r="EP155" s="59">
        <f t="shared" si="154"/>
        <v>284.32631786390112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1.5869927221872864</v>
      </c>
      <c r="EW155" s="21">
        <f>EXP(-LN(2)/25)*EW154+(1-EXP(-LN(2)/25))/(LN(2)/25)*Calculateur!ER155*Calculateur!ET155*VLOOKUP('Données projet'!$B$15,Paramètres!$A$1:$I$89,3,0)*0.475*44/12</f>
        <v>0.86575166274655835</v>
      </c>
      <c r="EX155" s="21">
        <f>EXP(-LN(2)/2)*EX154+(1-EXP(-LN(2)/2))/(LN(2)/2)*ER155*EU155*VLOOKUP('Données projet'!$B$15,Paramètres!$A$1:$I$89,3,0)*0.475*44/12</f>
        <v>4.0498319135462218E-16</v>
      </c>
      <c r="EY155" s="22">
        <f t="shared" si="181"/>
        <v>2.4527443849338453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-1.3567387213697657E-13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299.10536994156814</v>
      </c>
      <c r="FK155" s="59">
        <f t="shared" si="156"/>
        <v>292.57799203101769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9.7614227450533466</v>
      </c>
      <c r="FR155" s="21">
        <f>EXP(-LN(2)/25)*FR154+(1-EXP(-LN(2)/25))/(LN(2)/25)*Calculateur!FM155*Calculateur!FO155*VLOOKUP('Données projet'!$B$16,Paramètres!$A$1:$I$89,3,0)*0.475*44/12</f>
        <v>5.7545427515091898</v>
      </c>
      <c r="FS155" s="21">
        <f>EXP(-LN(2)/2)*FS154+(1-EXP(-LN(2)/2))/(LN(2)/2)*FM155*FP155*VLOOKUP('Données projet'!$B$16,Paramètres!$A$1:$I$89,3,0)*0.475*44/12</f>
        <v>7.5640763367795299E-10</v>
      </c>
      <c r="FT155" s="22">
        <f t="shared" si="184"/>
        <v>15.515965497318945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5.6843418860808015E-14</v>
      </c>
      <c r="GA155" s="17">
        <f>FZ155*VLOOKUP('Données projet'!$B$17,Paramètres!$A$1:$I$89,3,0)*VLOOKUP('Données projet'!$B$17,Paramètres!$A$1:$I$89,5,0)</f>
        <v>5.1431925385259088E-14</v>
      </c>
      <c r="GB155" s="13">
        <f t="shared" si="185"/>
        <v>8.3482866290946129E-13</v>
      </c>
      <c r="GC155" s="20">
        <f t="shared" si="186"/>
        <v>1.5435705246133045E-12</v>
      </c>
      <c r="GD155" s="59">
        <f t="shared" si="134"/>
        <v>293.33333333333485</v>
      </c>
      <c r="GE155" s="59">
        <f ca="1">AVERAGE(OFFSET($GD$3,0,0,'Données projet'!$E$17+1,1))-AVERAGE(OFFSET($H$3,0,0,'Données projet'!$E$17+1,1))</f>
        <v>204.78565758021779</v>
      </c>
      <c r="GF155" s="59">
        <f t="shared" si="158"/>
        <v>287.25131613242439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1.875386260540931</v>
      </c>
      <c r="GM155" s="21">
        <f>EXP(-LN(2)/25)*GM154+(1-EXP(-LN(2)/25))/(LN(2)/25)*Calculateur!GH155*Calculateur!GJ155*VLOOKUP('Données projet'!$B$17,Paramètres!$A$1:$I$89,3,0)*0.475*44/12</f>
        <v>0.68033779445428755</v>
      </c>
      <c r="GN155" s="21">
        <f>EXP(-LN(2)/2)*GN154+(1-EXP(-LN(2)/2))/(LN(2)/2)*GH155*GK155*VLOOKUP('Données projet'!$B$17,Paramètres!$A$1:$I$89,3,0)*0.475*44/12</f>
        <v>1.0826250196211256E-15</v>
      </c>
      <c r="GO155" s="21">
        <f t="shared" si="187"/>
        <v>2.5557240549952196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5.6843418860808015E-14</v>
      </c>
      <c r="GV155" s="17">
        <f>GU155*VLOOKUP('Données projet'!$B$18,Paramètres!$A$1:$I$89,3,0)*VLOOKUP('Données projet'!$B$18,Paramètres!$A$1:$I$89,5,0)</f>
        <v>4.4337866711430253E-14</v>
      </c>
      <c r="GW155" s="13">
        <f t="shared" si="188"/>
        <v>7.3222115536967035E-13</v>
      </c>
      <c r="GX155" s="20">
        <f t="shared" si="189"/>
        <v>1.3525069634579169E-12</v>
      </c>
      <c r="GY155" s="59">
        <f t="shared" si="137"/>
        <v>293.33333333333468</v>
      </c>
      <c r="GZ155" s="59">
        <f ca="1">AVERAGE(OFFSET($GY$3,0,0,'Données projet'!$E$18+1,1))-AVERAGE(OFFSET($H$3,0,0,'Données projet'!$E$18+1,1))</f>
        <v>288.82868507674738</v>
      </c>
      <c r="HA155" s="59">
        <f t="shared" si="160"/>
        <v>283.48738729114024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8.3096547880036002</v>
      </c>
      <c r="HH155" s="21">
        <f>EXP(-LN(2)/25)*HH154+(1-EXP(-LN(2)/25))/(LN(2)/25)*Calculateur!HC155*Calculateur!HE155*VLOOKUP('Données projet'!$B$18,Paramètres!$A$1:$I$89,3,0)*0.475*44/12</f>
        <v>4.2391798748045657</v>
      </c>
      <c r="HI155" s="21">
        <f>EXP(-LN(2)/2)*HI154+(1-EXP(-LN(2)/2))/(LN(2)/2)*HC155*HF155*VLOOKUP('Données projet'!$B$18,Paramètres!$A$1:$I$89,3,0)*0.475*44/12</f>
        <v>1.9536398626293461E-11</v>
      </c>
      <c r="HJ155" s="22">
        <f t="shared" si="190"/>
        <v>12.548834662827701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349.71285006949597</v>
      </c>
      <c r="T156" s="59">
        <f t="shared" si="142"/>
        <v>258.51550516456842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36.106669200172952</v>
      </c>
      <c r="AA156" s="21">
        <f>EXP(-LN(2)/25)*AA155+(1-EXP(-LN(2)/25))/(LN(2)/25)*Calculateur!V156*Calculateur!X156*VLOOKUP('Données projet'!$B$9,Paramètres!$A$1:$I$89,3,0)*0.475*44/12</f>
        <v>6.836841940524268</v>
      </c>
      <c r="AB156" s="21">
        <f>EXP(-LN(2)/2)*AB155+(1-EXP(-LN(2)/2))/(LN(2)/2)*V156*Y156*VLOOKUP('Données projet'!$B$9,Paramètres!$A$1:$I$89,3,0)*0.475*44/12</f>
        <v>7.2765713655799521E-10</v>
      </c>
      <c r="AC156" s="22">
        <f t="shared" si="163"/>
        <v>42.943511141424878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2.5579538487363607E-13</v>
      </c>
      <c r="AJ156" s="13">
        <f>AI156*VLOOKUP('Données projet'!$B$10,Paramètres!$A$1:$I$89,3,0)*VLOOKUP('Données projet'!$B$10,Paramètres!$A$1:$I$89,5,0)</f>
        <v>2.4341488824575211E-13</v>
      </c>
      <c r="AK156" s="13">
        <f t="shared" si="164"/>
        <v>3.2970717324875541E-12</v>
      </c>
      <c r="AL156" s="20">
        <f t="shared" si="165"/>
        <v>6.1663475311105072E-12</v>
      </c>
      <c r="AM156" s="59">
        <f t="shared" si="113"/>
        <v>293.33333333333945</v>
      </c>
      <c r="AN156" s="59">
        <f ca="1">AVERAGE(OFFSET($AM$3,0,0,'Données projet'!$E$10+1,1))-AVERAGE(OFFSET($H$3,0,0,'Données projet'!$E$10+1,1))</f>
        <v>449.28947235329758</v>
      </c>
      <c r="AO156" s="59">
        <f t="shared" si="144"/>
        <v>289.36994109443964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75.341144244570117</v>
      </c>
      <c r="AV156" s="21">
        <f>EXP(-LN(2)/25)*AV155+(1-EXP(-LN(2)/25))/(LN(2)/25)*Calculateur!AQ156*Calculateur!AS156*VLOOKUP('Données projet'!$B$10,Paramètres!$A$1:$I$89,3,0)*0.475*44/12</f>
        <v>13.085180541339813</v>
      </c>
      <c r="AW156" s="21">
        <f>EXP(-LN(2)/2)*AW155+(1-EXP(-LN(2)/2))/(LN(2)/2)*AQ156*AT156*VLOOKUP('Données projet'!$B$10,Paramètres!$A$1:$I$89,3,0)*0.475*44/12</f>
        <v>2.4726101547827696E-3</v>
      </c>
      <c r="AX156" s="21">
        <f t="shared" si="166"/>
        <v>88.428797396064709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486.01784400000076</v>
      </c>
      <c r="BF156" s="13">
        <f t="shared" si="167"/>
        <v>109.01291721682281</v>
      </c>
      <c r="BG156" s="20">
        <f t="shared" si="168"/>
        <v>1036.3452424526342</v>
      </c>
      <c r="BH156" s="59">
        <f t="shared" si="116"/>
        <v>1329.6785757859675</v>
      </c>
      <c r="BI156" s="59">
        <f ca="1">AVERAGE(OFFSET($BH$3,0,0,'Données projet'!$E$11+1,1))-AVERAGE(OFFSET($H$3,0,0,'Données projet'!$E$11+1,1))</f>
        <v>635.71275911100679</v>
      </c>
      <c r="BJ156" s="59">
        <f t="shared" si="146"/>
        <v>281.7776857269169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41.834664036497585</v>
      </c>
      <c r="BQ156" s="21">
        <f>EXP(-LN(2)/25)*BQ155+(1-EXP(-LN(2)/25))/(LN(2)/25)*Calculateur!BL156*Calculateur!BN156*VLOOKUP('Données projet'!$B$11,Paramètres!$A$1:$I$89,3,0)*0.475*44/12</f>
        <v>18.161111194598629</v>
      </c>
      <c r="BR156" s="21">
        <f>EXP(-LN(2)/2)*BR155+(1-EXP(-LN(2)/2))/(LN(2)/2)*BL156*BO156*VLOOKUP('Données projet'!$B$11,Paramètres!$A$1:$I$89,3,0)*0.475*44/12</f>
        <v>2.2036580330010038E-4</v>
      </c>
      <c r="BS156" s="22">
        <f t="shared" si="169"/>
        <v>59.995995596899519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7.5191666666666634</v>
      </c>
      <c r="BY156" s="12">
        <f>IF('Données projet'!$A$114&gt;35,BY155+BX156-CG155,IF(A156&lt;'Données projet'!$A$114,$BV$205^A156,IF(A156='Données projet'!$A$114,'Données projet'!$B$114,BY155+BX156-CG155)))</f>
        <v>386.64249999999964</v>
      </c>
      <c r="BZ156" s="13">
        <f>BY156*VLOOKUP('Données projet'!$B$12,Paramètres!$A$1:$I$89,3,0)*VLOOKUP('Données projet'!$B$12,Paramètres!$A$1:$I$89,5,0)</f>
        <v>440.30847899999958</v>
      </c>
      <c r="CA156" s="13">
        <f t="shared" si="170"/>
        <v>99.902370446319125</v>
      </c>
      <c r="CB156" s="20">
        <f t="shared" si="171"/>
        <v>940.86722945233839</v>
      </c>
      <c r="CC156" s="59">
        <f t="shared" si="119"/>
        <v>1234.2005627856718</v>
      </c>
      <c r="CD156" s="59">
        <f ca="1">AVERAGE(OFFSET($CC$3,0,0,'Données projet'!$E$12+1,1))-AVERAGE(OFFSET($H$3,0,0,'Données projet'!$E$12+1,1))</f>
        <v>593.28343396240075</v>
      </c>
      <c r="CE156" s="59">
        <f t="shared" si="148"/>
        <v>289.66477662068695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31.273295285809624</v>
      </c>
      <c r="CL156" s="21">
        <f>EXP(-LN(2)/25)*CL155+(1-EXP(-LN(2)/25))/(LN(2)/25)*Calculateur!CG156*Calculateur!CI156*VLOOKUP('Données projet'!$B$12,Paramètres!$A$1:$I$89,3,0)*0.475*44/12</f>
        <v>20.203797280959229</v>
      </c>
      <c r="CM156" s="21">
        <f>EXP(-LN(2)/2)*CM155+(1-EXP(-LN(2)/2))/(LN(2)/2)*CG156*CJ156*VLOOKUP('Données projet'!$B$12,Paramètres!$A$1:$I$89,3,0)*0.475*44/12</f>
        <v>0.29315207428655682</v>
      </c>
      <c r="CN156" s="22">
        <f t="shared" si="172"/>
        <v>51.770244641055413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2.2737367544323206E-13</v>
      </c>
      <c r="CU156" s="17">
        <f>CT156*VLOOKUP('Données projet'!$B$13,Paramètres!$A$1:$I$89,3,0)*VLOOKUP('Données projet'!$B$13,Paramètres!$A$1:$I$89,5,0)</f>
        <v>2.3765096557326618E-13</v>
      </c>
      <c r="CV156" s="13">
        <f t="shared" si="173"/>
        <v>3.2279907425805489E-12</v>
      </c>
      <c r="CW156" s="20">
        <f t="shared" si="174"/>
        <v>6.0359926417012276E-12</v>
      </c>
      <c r="CX156" s="59">
        <f t="shared" si="122"/>
        <v>293.33333333333934</v>
      </c>
      <c r="CY156" s="59">
        <f ca="1">AVERAGE(OFFSET($CX$3,0,0,'Données projet'!$E$13+1,1))-AVERAGE(OFFSET($H$3,0,0,'Données projet'!$E$13+1,1))</f>
        <v>260.65406541614402</v>
      </c>
      <c r="CZ156" s="59">
        <f t="shared" si="150"/>
        <v>277.63456890196886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5.173344818549225</v>
      </c>
      <c r="DG156" s="21">
        <f>EXP(-LN(2)/25)*DG155+(1-EXP(-LN(2)/25))/(LN(2)/25)*Calculateur!DB156*Calculateur!DD156*VLOOKUP('Données projet'!$B$13,Paramètres!$A$1:$I$89,3,0)*0.475*44/12</f>
        <v>8.6368916705457277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13.810236489094953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2.2737367544323206E-13</v>
      </c>
      <c r="DP156" s="17">
        <f>DO156*VLOOKUP('Données projet'!$B$14,Paramètres!$A$1:$I$89,3,0)*VLOOKUP('Données projet'!$B$14,Paramètres!$A$1:$I$89,5,0)</f>
        <v>1.4897523215040565E-13</v>
      </c>
      <c r="DQ156" s="13">
        <f t="shared" si="176"/>
        <v>2.136562777003313E-12</v>
      </c>
      <c r="DR156" s="20">
        <f t="shared" si="177"/>
        <v>3.9806453659427267E-12</v>
      </c>
      <c r="DS156" s="59">
        <f t="shared" si="125"/>
        <v>293.33333333333729</v>
      </c>
      <c r="DT156" s="59">
        <f ca="1">AVERAGE(OFFSET($DS$3,0,0,'Données projet'!$E$14+1,1))-AVERAGE(OFFSET($H$3,0,0,'Données projet'!$E$14+1,1))</f>
        <v>181.4272795535777</v>
      </c>
      <c r="DU156" s="59">
        <f t="shared" si="152"/>
        <v>187.67131775419904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4.8548319537909661</v>
      </c>
      <c r="EB156" s="21">
        <f>EXP(-LN(2)/25)*EB155+(1-EXP(-LN(2)/25))/(LN(2)/25)*Calculateur!DW156*Calculateur!DY156*VLOOKUP('Données projet'!$B$14,Paramètres!$A$1:$I$89,3,0)*0.475*44/12</f>
        <v>3.145598604241338</v>
      </c>
      <c r="EC156" s="21">
        <f>EXP(-LN(2)/2)*EC155+(1-EXP(-LN(2)/2))/(LN(2)/2)*DW156*DZ156*VLOOKUP('Données projet'!$B$14,Paramètres!$A$1:$I$89,3,0)*0.475*44/12</f>
        <v>8.2620762318255533E-9</v>
      </c>
      <c r="ED156" s="22">
        <f t="shared" si="178"/>
        <v>8.00043056629438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1.1368683772161603E-13</v>
      </c>
      <c r="EK156" s="17">
        <f>EJ156*VLOOKUP('Données projet'!$B$15,Paramètres!$A$1:$I$89,3,0)*VLOOKUP('Données projet'!$B$15,Paramètres!$A$1:$I$89,5,0)</f>
        <v>9.2222762759774927E-14</v>
      </c>
      <c r="EL156" s="13">
        <f t="shared" si="179"/>
        <v>1.3985662224947967E-12</v>
      </c>
      <c r="EM156" s="20">
        <f t="shared" si="180"/>
        <v>2.5964574826517121E-12</v>
      </c>
      <c r="EN156" s="59">
        <f t="shared" si="128"/>
        <v>293.33333333333593</v>
      </c>
      <c r="EO156" s="59">
        <f ca="1">AVERAGE(OFFSET($EN$3,0,0,'Données projet'!$E$15+1,1))-AVERAGE(OFFSET($H$3,0,0,'Données projet'!$E$15+1,1))</f>
        <v>159.68591355116837</v>
      </c>
      <c r="EP156" s="59">
        <f t="shared" si="154"/>
        <v>284.32631786390112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1.5558727628751752</v>
      </c>
      <c r="EW156" s="21">
        <f>EXP(-LN(2)/25)*EW155+(1-EXP(-LN(2)/25))/(LN(2)/25)*Calculateur!ER156*Calculateur!ET156*VLOOKUP('Données projet'!$B$15,Paramètres!$A$1:$I$89,3,0)*0.475*44/12</f>
        <v>0.84207763800085245</v>
      </c>
      <c r="EX156" s="21">
        <f>EXP(-LN(2)/2)*EX155+(1-EXP(-LN(2)/2))/(LN(2)/2)*ER156*EU156*VLOOKUP('Données projet'!$B$15,Paramètres!$A$1:$I$89,3,0)*0.475*44/12</f>
        <v>2.8636636087342253E-16</v>
      </c>
      <c r="EY156" s="22">
        <f t="shared" si="181"/>
        <v>2.3979504008760282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-1.3567387213697657E-13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299.10536994156814</v>
      </c>
      <c r="FK156" s="59">
        <f t="shared" si="156"/>
        <v>292.57799203101769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9.5700071989028288</v>
      </c>
      <c r="FR156" s="21">
        <f>EXP(-LN(2)/25)*FR155+(1-EXP(-LN(2)/25))/(LN(2)/25)*Calculateur!FM156*Calculateur!FO156*VLOOKUP('Données projet'!$B$16,Paramètres!$A$1:$I$89,3,0)*0.475*44/12</f>
        <v>5.5971844773509201</v>
      </c>
      <c r="FS156" s="21">
        <f>EXP(-LN(2)/2)*FS155+(1-EXP(-LN(2)/2))/(LN(2)/2)*FM156*FP156*VLOOKUP('Données projet'!$B$16,Paramètres!$A$1:$I$89,3,0)*0.475*44/12</f>
        <v>5.348609671149505E-10</v>
      </c>
      <c r="FT156" s="22">
        <f t="shared" si="184"/>
        <v>15.16719167678861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5.6843418860808015E-14</v>
      </c>
      <c r="GA156" s="17">
        <f>FZ156*VLOOKUP('Données projet'!$B$17,Paramètres!$A$1:$I$89,3,0)*VLOOKUP('Données projet'!$B$17,Paramètres!$A$1:$I$89,5,0)</f>
        <v>5.1431925385259088E-14</v>
      </c>
      <c r="GB156" s="13">
        <f t="shared" si="185"/>
        <v>8.3482866290946129E-13</v>
      </c>
      <c r="GC156" s="20">
        <f t="shared" si="186"/>
        <v>1.5435705246133045E-12</v>
      </c>
      <c r="GD156" s="59">
        <f t="shared" si="134"/>
        <v>293.33333333333485</v>
      </c>
      <c r="GE156" s="59">
        <f ca="1">AVERAGE(OFFSET($GD$3,0,0,'Données projet'!$E$17+1,1))-AVERAGE(OFFSET($H$3,0,0,'Données projet'!$E$17+1,1))</f>
        <v>204.78565758021779</v>
      </c>
      <c r="GF156" s="59">
        <f t="shared" si="158"/>
        <v>287.25131613242439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1.8386110798443942</v>
      </c>
      <c r="GM156" s="21">
        <f>EXP(-LN(2)/25)*GM155+(1-EXP(-LN(2)/25))/(LN(2)/25)*Calculateur!GH156*Calculateur!GJ156*VLOOKUP('Données projet'!$B$17,Paramètres!$A$1:$I$89,3,0)*0.475*44/12</f>
        <v>0.66173392168752543</v>
      </c>
      <c r="GN156" s="21">
        <f>EXP(-LN(2)/2)*GN155+(1-EXP(-LN(2)/2))/(LN(2)/2)*GH156*GK156*VLOOKUP('Données projet'!$B$17,Paramètres!$A$1:$I$89,3,0)*0.475*44/12</f>
        <v>7.65531492856317E-16</v>
      </c>
      <c r="GO156" s="21">
        <f t="shared" si="187"/>
        <v>2.5003450015319206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5.6843418860808015E-14</v>
      </c>
      <c r="GV156" s="17">
        <f>GU156*VLOOKUP('Données projet'!$B$18,Paramètres!$A$1:$I$89,3,0)*VLOOKUP('Données projet'!$B$18,Paramètres!$A$1:$I$89,5,0)</f>
        <v>4.4337866711430253E-14</v>
      </c>
      <c r="GW156" s="13">
        <f t="shared" si="188"/>
        <v>7.3222115536967035E-13</v>
      </c>
      <c r="GX156" s="20">
        <f t="shared" si="189"/>
        <v>1.3525069634579169E-12</v>
      </c>
      <c r="GY156" s="59">
        <f t="shared" si="137"/>
        <v>293.33333333333468</v>
      </c>
      <c r="GZ156" s="59">
        <f ca="1">AVERAGE(OFFSET($GY$3,0,0,'Données projet'!$E$18+1,1))-AVERAGE(OFFSET($H$3,0,0,'Données projet'!$E$18+1,1))</f>
        <v>288.82868507674738</v>
      </c>
      <c r="HA156" s="59">
        <f t="shared" si="160"/>
        <v>283.48738729114024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8.1467075259998083</v>
      </c>
      <c r="HH156" s="21">
        <f>EXP(-LN(2)/25)*HH155+(1-EXP(-LN(2)/25))/(LN(2)/25)*Calculateur!HC156*Calculateur!HE156*VLOOKUP('Données projet'!$B$18,Paramètres!$A$1:$I$89,3,0)*0.475*44/12</f>
        <v>4.1232592781992539</v>
      </c>
      <c r="HI156" s="21">
        <f>EXP(-LN(2)/2)*HI155+(1-EXP(-LN(2)/2))/(LN(2)/2)*HC156*HF156*VLOOKUP('Données projet'!$B$18,Paramètres!$A$1:$I$89,3,0)*0.475*44/12</f>
        <v>1.3814319948615658E-11</v>
      </c>
      <c r="HJ156" s="22">
        <f t="shared" si="190"/>
        <v>12.269966804212876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349.71285006949597</v>
      </c>
      <c r="T157" s="59">
        <f t="shared" si="142"/>
        <v>258.51550516456842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35.398639440051191</v>
      </c>
      <c r="AA157" s="21">
        <f>EXP(-LN(2)/25)*AA156+(1-EXP(-LN(2)/25))/(LN(2)/25)*Calculateur!V157*Calculateur!X157*VLOOKUP('Données projet'!$B$9,Paramètres!$A$1:$I$89,3,0)*0.475*44/12</f>
        <v>6.6498881381267401</v>
      </c>
      <c r="AB157" s="21">
        <f>EXP(-LN(2)/2)*AB156+(1-EXP(-LN(2)/2))/(LN(2)/2)*V157*Y157*VLOOKUP('Données projet'!$B$9,Paramètres!$A$1:$I$89,3,0)*0.475*44/12</f>
        <v>5.1453129563894404E-10</v>
      </c>
      <c r="AC157" s="22">
        <f t="shared" si="163"/>
        <v>42.048527578692465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2.5579538487363607E-13</v>
      </c>
      <c r="AJ157" s="13">
        <f>AI157*VLOOKUP('Données projet'!$B$10,Paramètres!$A$1:$I$89,3,0)*VLOOKUP('Données projet'!$B$10,Paramètres!$A$1:$I$89,5,0)</f>
        <v>2.4341488824575211E-13</v>
      </c>
      <c r="AK157" s="13">
        <f t="shared" si="164"/>
        <v>3.2970717324875541E-12</v>
      </c>
      <c r="AL157" s="20">
        <f t="shared" si="165"/>
        <v>6.1663475311105072E-12</v>
      </c>
      <c r="AM157" s="59">
        <f t="shared" si="113"/>
        <v>293.33333333333945</v>
      </c>
      <c r="AN157" s="59">
        <f ca="1">AVERAGE(OFFSET($AM$3,0,0,'Données projet'!$E$10+1,1))-AVERAGE(OFFSET($H$3,0,0,'Données projet'!$E$10+1,1))</f>
        <v>449.28947235329758</v>
      </c>
      <c r="AO157" s="59">
        <f t="shared" si="144"/>
        <v>289.36994109443964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73.863750359494546</v>
      </c>
      <c r="AV157" s="21">
        <f>EXP(-LN(2)/25)*AV156+(1-EXP(-LN(2)/25))/(LN(2)/25)*Calculateur!AQ157*Calculateur!AS157*VLOOKUP('Données projet'!$B$10,Paramètres!$A$1:$I$89,3,0)*0.475*44/12</f>
        <v>12.727365591317138</v>
      </c>
      <c r="AW157" s="21">
        <f>EXP(-LN(2)/2)*AW156+(1-EXP(-LN(2)/2))/(LN(2)/2)*AQ157*AT157*VLOOKUP('Données projet'!$B$10,Paramètres!$A$1:$I$89,3,0)*0.475*44/12</f>
        <v>1.7483994076776153E-3</v>
      </c>
      <c r="AX157" s="21">
        <f t="shared" si="166"/>
        <v>86.592864350219358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494.46415200000081</v>
      </c>
      <c r="BF157" s="13">
        <f t="shared" si="167"/>
        <v>110.68520764370523</v>
      </c>
      <c r="BG157" s="20">
        <f t="shared" si="168"/>
        <v>1053.9684680461214</v>
      </c>
      <c r="BH157" s="59">
        <f t="shared" si="116"/>
        <v>1347.3018013794547</v>
      </c>
      <c r="BI157" s="59">
        <f ca="1">AVERAGE(OFFSET($BH$3,0,0,'Données projet'!$E$11+1,1))-AVERAGE(OFFSET($H$3,0,0,'Données projet'!$E$11+1,1))</f>
        <v>635.71275911100679</v>
      </c>
      <c r="BJ157" s="59">
        <f t="shared" si="146"/>
        <v>281.7776857269169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54.143075455710473</v>
      </c>
      <c r="BQ157" s="21">
        <f>EXP(-LN(2)/25)*BQ156+(1-EXP(-LN(2)/25))/(LN(2)/25)*Calculateur!BL157*Calculateur!BN157*VLOOKUP('Données projet'!$B$11,Paramètres!$A$1:$I$89,3,0)*0.475*44/12</f>
        <v>22.895322941669175</v>
      </c>
      <c r="BR157" s="21">
        <f>EXP(-LN(2)/2)*BR156+(1-EXP(-LN(2)/2))/(LN(2)/2)*BL157*BO157*VLOOKUP('Données projet'!$B$11,Paramètres!$A$1:$I$89,3,0)*0.475*44/12</f>
        <v>1.5582215385512185E-4</v>
      </c>
      <c r="BS157" s="22">
        <f t="shared" si="169"/>
        <v>77.038554219533509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7.5191666666666634</v>
      </c>
      <c r="BY157" s="12">
        <f>IF('Données projet'!$A$114&gt;35,BY156+BX157-CG156,IF(A157&lt;'Données projet'!$A$114,$BV$205^A157,IF(A157='Données projet'!$A$114,'Données projet'!$B$114,BY156+BX157-CG156)))</f>
        <v>394.16166666666629</v>
      </c>
      <c r="BZ157" s="13">
        <f>BY157*VLOOKUP('Données projet'!$B$12,Paramètres!$A$1:$I$89,3,0)*VLOOKUP('Données projet'!$B$12,Paramètres!$A$1:$I$89,5,0)</f>
        <v>448.87130599999961</v>
      </c>
      <c r="CA157" s="13">
        <f t="shared" si="170"/>
        <v>101.6171303446886</v>
      </c>
      <c r="CB157" s="20">
        <f t="shared" si="171"/>
        <v>958.76735996699881</v>
      </c>
      <c r="CC157" s="59">
        <f t="shared" si="119"/>
        <v>1252.1006933003321</v>
      </c>
      <c r="CD157" s="59">
        <f ca="1">AVERAGE(OFFSET($CC$3,0,0,'Données projet'!$E$12+1,1))-AVERAGE(OFFSET($H$3,0,0,'Données projet'!$E$12+1,1))</f>
        <v>593.28343396240075</v>
      </c>
      <c r="CE157" s="59">
        <f t="shared" si="148"/>
        <v>289.66477662068695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30.660045040081538</v>
      </c>
      <c r="CL157" s="21">
        <f>EXP(-LN(2)/25)*CL156+(1-EXP(-LN(2)/25))/(LN(2)/25)*Calculateur!CG157*Calculateur!CI157*VLOOKUP('Données projet'!$B$12,Paramètres!$A$1:$I$89,3,0)*0.475*44/12</f>
        <v>19.651323381839877</v>
      </c>
      <c r="CM157" s="21">
        <f>EXP(-LN(2)/2)*CM156+(1-EXP(-LN(2)/2))/(LN(2)/2)*CG157*CJ157*VLOOKUP('Données projet'!$B$12,Paramètres!$A$1:$I$89,3,0)*0.475*44/12</f>
        <v>0.20728981964692686</v>
      </c>
      <c r="CN157" s="22">
        <f t="shared" si="172"/>
        <v>50.518658241568339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2.2737367544323206E-13</v>
      </c>
      <c r="CU157" s="17">
        <f>CT157*VLOOKUP('Données projet'!$B$13,Paramètres!$A$1:$I$89,3,0)*VLOOKUP('Données projet'!$B$13,Paramètres!$A$1:$I$89,5,0)</f>
        <v>2.3765096557326618E-13</v>
      </c>
      <c r="CV157" s="13">
        <f t="shared" si="173"/>
        <v>3.2279907425805489E-12</v>
      </c>
      <c r="CW157" s="20">
        <f t="shared" si="174"/>
        <v>6.0359926417012276E-12</v>
      </c>
      <c r="CX157" s="59">
        <f t="shared" si="122"/>
        <v>293.33333333333934</v>
      </c>
      <c r="CY157" s="59">
        <f ca="1">AVERAGE(OFFSET($CX$3,0,0,'Données projet'!$E$13+1,1))-AVERAGE(OFFSET($H$3,0,0,'Données projet'!$E$13+1,1))</f>
        <v>260.65406541614402</v>
      </c>
      <c r="CZ157" s="59">
        <f t="shared" si="150"/>
        <v>277.63456890196886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5.0718986820862417</v>
      </c>
      <c r="DG157" s="21">
        <f>EXP(-LN(2)/25)*DG156+(1-EXP(-LN(2)/25))/(LN(2)/25)*Calculateur!DB157*Calculateur!DD157*VLOOKUP('Données projet'!$B$13,Paramètres!$A$1:$I$89,3,0)*0.475*44/12</f>
        <v>8.4007154136202615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13.472614095706504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2.2737367544323206E-13</v>
      </c>
      <c r="DP157" s="17">
        <f>DO157*VLOOKUP('Données projet'!$B$14,Paramètres!$A$1:$I$89,3,0)*VLOOKUP('Données projet'!$B$14,Paramètres!$A$1:$I$89,5,0)</f>
        <v>1.4897523215040565E-13</v>
      </c>
      <c r="DQ157" s="13">
        <f t="shared" si="176"/>
        <v>2.136562777003313E-12</v>
      </c>
      <c r="DR157" s="20">
        <f t="shared" si="177"/>
        <v>3.9806453659427267E-12</v>
      </c>
      <c r="DS157" s="59">
        <f t="shared" si="125"/>
        <v>293.33333333333729</v>
      </c>
      <c r="DT157" s="59">
        <f ca="1">AVERAGE(OFFSET($DS$3,0,0,'Données projet'!$E$14+1,1))-AVERAGE(OFFSET($H$3,0,0,'Données projet'!$E$14+1,1))</f>
        <v>181.4272795535777</v>
      </c>
      <c r="DU157" s="59">
        <f t="shared" si="152"/>
        <v>187.67131775419904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4.7596316603322277</v>
      </c>
      <c r="EB157" s="21">
        <f>EXP(-LN(2)/25)*EB156+(1-EXP(-LN(2)/25))/(LN(2)/25)*Calculateur!DW157*Calculateur!DY157*VLOOKUP('Données projet'!$B$14,Paramètres!$A$1:$I$89,3,0)*0.475*44/12</f>
        <v>3.0595820449885172</v>
      </c>
      <c r="EC157" s="21">
        <f>EXP(-LN(2)/2)*EC156+(1-EXP(-LN(2)/2))/(LN(2)/2)*DW157*DZ157*VLOOKUP('Données projet'!$B$14,Paramètres!$A$1:$I$89,3,0)*0.475*44/12</f>
        <v>5.8421701302040467E-9</v>
      </c>
      <c r="ED157" s="22">
        <f t="shared" si="178"/>
        <v>7.8192137111629156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9.2222762759774927E-14</v>
      </c>
      <c r="EL157" s="13">
        <f t="shared" si="179"/>
        <v>1.3985662224947967E-12</v>
      </c>
      <c r="EM157" s="20">
        <f t="shared" si="180"/>
        <v>2.5964574826517121E-12</v>
      </c>
      <c r="EN157" s="59">
        <f t="shared" si="128"/>
        <v>293.33333333333593</v>
      </c>
      <c r="EO157" s="59">
        <f ca="1">AVERAGE(OFFSET($EN$3,0,0,'Données projet'!$E$15+1,1))-AVERAGE(OFFSET($H$3,0,0,'Données projet'!$E$15+1,1))</f>
        <v>159.68591355116837</v>
      </c>
      <c r="EP157" s="59">
        <f t="shared" si="154"/>
        <v>284.32631786390112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1.5253630469838735</v>
      </c>
      <c r="EW157" s="21">
        <f>EXP(-LN(2)/25)*EW156+(1-EXP(-LN(2)/25))/(LN(2)/25)*Calculateur!ER157*Calculateur!ET157*VLOOKUP('Données projet'!$B$15,Paramètres!$A$1:$I$89,3,0)*0.475*44/12</f>
        <v>0.81905098070678073</v>
      </c>
      <c r="EX157" s="21">
        <f>EXP(-LN(2)/2)*EX156+(1-EXP(-LN(2)/2))/(LN(2)/2)*ER157*EU157*VLOOKUP('Données projet'!$B$15,Paramètres!$A$1:$I$89,3,0)*0.475*44/12</f>
        <v>2.0249159567731109E-16</v>
      </c>
      <c r="EY157" s="22">
        <f t="shared" si="181"/>
        <v>2.3444140276906542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-1.3567387213697657E-13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299.10536994156814</v>
      </c>
      <c r="FK157" s="59">
        <f t="shared" si="156"/>
        <v>292.57799203101769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9.3823451948603669</v>
      </c>
      <c r="FR157" s="21">
        <f>EXP(-LN(2)/25)*FR156+(1-EXP(-LN(2)/25))/(LN(2)/25)*Calculateur!FM157*Calculateur!FO157*VLOOKUP('Données projet'!$B$16,Paramètres!$A$1:$I$89,3,0)*0.475*44/12</f>
        <v>5.4441291734746198</v>
      </c>
      <c r="FS157" s="21">
        <f>EXP(-LN(2)/2)*FS156+(1-EXP(-LN(2)/2))/(LN(2)/2)*FM157*FP157*VLOOKUP('Données projet'!$B$16,Paramètres!$A$1:$I$89,3,0)*0.475*44/12</f>
        <v>3.7820381683897649E-10</v>
      </c>
      <c r="FT157" s="22">
        <f t="shared" si="184"/>
        <v>14.826474368713191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5.6843418860808015E-14</v>
      </c>
      <c r="GA157" s="17">
        <f>FZ157*VLOOKUP('Données projet'!$B$17,Paramètres!$A$1:$I$89,3,0)*VLOOKUP('Données projet'!$B$17,Paramètres!$A$1:$I$89,5,0)</f>
        <v>5.1431925385259088E-14</v>
      </c>
      <c r="GB157" s="13">
        <f t="shared" si="185"/>
        <v>8.3482866290946129E-13</v>
      </c>
      <c r="GC157" s="20">
        <f t="shared" si="186"/>
        <v>1.5435705246133045E-12</v>
      </c>
      <c r="GD157" s="59">
        <f t="shared" si="134"/>
        <v>293.33333333333485</v>
      </c>
      <c r="GE157" s="59">
        <f ca="1">AVERAGE(OFFSET($GD$3,0,0,'Données projet'!$E$17+1,1))-AVERAGE(OFFSET($H$3,0,0,'Données projet'!$E$17+1,1))</f>
        <v>204.78565758021779</v>
      </c>
      <c r="GF157" s="59">
        <f t="shared" si="158"/>
        <v>287.25131613242439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1.8025570380106712</v>
      </c>
      <c r="GM157" s="21">
        <f>EXP(-LN(2)/25)*GM156+(1-EXP(-LN(2)/25))/(LN(2)/25)*Calculateur!GH157*Calculateur!GJ157*VLOOKUP('Données projet'!$B$17,Paramètres!$A$1:$I$89,3,0)*0.475*44/12</f>
        <v>0.64363877279990556</v>
      </c>
      <c r="GN157" s="21">
        <f>EXP(-LN(2)/2)*GN156+(1-EXP(-LN(2)/2))/(LN(2)/2)*GH157*GK157*VLOOKUP('Données projet'!$B$17,Paramètres!$A$1:$I$89,3,0)*0.475*44/12</f>
        <v>5.413125098105628E-16</v>
      </c>
      <c r="GO157" s="21">
        <f t="shared" si="187"/>
        <v>2.4461958108105772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5.6843418860808015E-14</v>
      </c>
      <c r="GV157" s="17">
        <f>GU157*VLOOKUP('Données projet'!$B$18,Paramètres!$A$1:$I$89,3,0)*VLOOKUP('Données projet'!$B$18,Paramètres!$A$1:$I$89,5,0)</f>
        <v>4.4337866711430253E-14</v>
      </c>
      <c r="GW157" s="13">
        <f t="shared" si="188"/>
        <v>7.3222115536967035E-13</v>
      </c>
      <c r="GX157" s="20">
        <f t="shared" si="189"/>
        <v>1.3525069634579169E-12</v>
      </c>
      <c r="GY157" s="59">
        <f t="shared" si="137"/>
        <v>293.33333333333468</v>
      </c>
      <c r="GZ157" s="59">
        <f ca="1">AVERAGE(OFFSET($GY$3,0,0,'Données projet'!$E$18+1,1))-AVERAGE(OFFSET($H$3,0,0,'Données projet'!$E$18+1,1))</f>
        <v>288.82868507674738</v>
      </c>
      <c r="HA157" s="59">
        <f t="shared" si="160"/>
        <v>283.48738729114024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7.9869555604158951</v>
      </c>
      <c r="HH157" s="21">
        <f>EXP(-LN(2)/25)*HH156+(1-EXP(-LN(2)/25))/(LN(2)/25)*Calculateur!HC157*Calculateur!HE157*VLOOKUP('Données projet'!$B$18,Paramètres!$A$1:$I$89,3,0)*0.475*44/12</f>
        <v>4.0105085364041138</v>
      </c>
      <c r="HI157" s="21">
        <f>EXP(-LN(2)/2)*HI156+(1-EXP(-LN(2)/2))/(LN(2)/2)*HC157*HF157*VLOOKUP('Données projet'!$B$18,Paramètres!$A$1:$I$89,3,0)*0.475*44/12</f>
        <v>9.7681993131467304E-12</v>
      </c>
      <c r="HJ157" s="22">
        <f t="shared" si="190"/>
        <v>11.997464096829777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349.71285006949597</v>
      </c>
      <c r="T158" s="59">
        <f t="shared" si="142"/>
        <v>258.51550516456842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34.704493711669905</v>
      </c>
      <c r="AA158" s="21">
        <f>EXP(-LN(2)/25)*AA157+(1-EXP(-LN(2)/25))/(LN(2)/25)*Calculateur!V158*Calculateur!X158*VLOOKUP('Données projet'!$B$9,Paramètres!$A$1:$I$89,3,0)*0.475*44/12</f>
        <v>6.4680465972872456</v>
      </c>
      <c r="AB158" s="21">
        <f>EXP(-LN(2)/2)*AB157+(1-EXP(-LN(2)/2))/(LN(2)/2)*V158*Y158*VLOOKUP('Données projet'!$B$9,Paramètres!$A$1:$I$89,3,0)*0.475*44/12</f>
        <v>3.638285682789976E-10</v>
      </c>
      <c r="AC158" s="22">
        <f t="shared" si="163"/>
        <v>41.172540309320979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2.5579538487363607E-13</v>
      </c>
      <c r="AJ158" s="13">
        <f>AI158*VLOOKUP('Données projet'!$B$10,Paramètres!$A$1:$I$89,3,0)*VLOOKUP('Données projet'!$B$10,Paramètres!$A$1:$I$89,5,0)</f>
        <v>2.4341488824575211E-13</v>
      </c>
      <c r="AK158" s="13">
        <f t="shared" si="164"/>
        <v>3.2970717324875541E-12</v>
      </c>
      <c r="AL158" s="20">
        <f t="shared" si="165"/>
        <v>6.1663475311105072E-12</v>
      </c>
      <c r="AM158" s="59">
        <f t="shared" si="113"/>
        <v>293.33333333333945</v>
      </c>
      <c r="AN158" s="59">
        <f ca="1">AVERAGE(OFFSET($AM$3,0,0,'Données projet'!$E$10+1,1))-AVERAGE(OFFSET($H$3,0,0,'Données projet'!$E$10+1,1))</f>
        <v>449.28947235329758</v>
      </c>
      <c r="AO158" s="59">
        <f t="shared" si="144"/>
        <v>289.36994109443964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72.415327267384015</v>
      </c>
      <c r="AV158" s="21">
        <f>EXP(-LN(2)/25)*AV157+(1-EXP(-LN(2)/25))/(LN(2)/25)*Calculateur!AQ158*Calculateur!AS158*VLOOKUP('Données projet'!$B$10,Paramètres!$A$1:$I$89,3,0)*0.475*44/12</f>
        <v>12.379335109919504</v>
      </c>
      <c r="AW158" s="21">
        <f>EXP(-LN(2)/2)*AW157+(1-EXP(-LN(2)/2))/(LN(2)/2)*AQ158*AT158*VLOOKUP('Données projet'!$B$10,Paramètres!$A$1:$I$89,3,0)*0.475*44/12</f>
        <v>1.2363050773913848E-3</v>
      </c>
      <c r="AX158" s="21">
        <f t="shared" si="166"/>
        <v>84.795898682380923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447.81085440000084</v>
      </c>
      <c r="BF158" s="13">
        <f t="shared" si="167"/>
        <v>101.40497625718913</v>
      </c>
      <c r="BG158" s="20">
        <f t="shared" si="168"/>
        <v>956.55090506127237</v>
      </c>
      <c r="BH158" s="59">
        <f t="shared" si="116"/>
        <v>1249.8842383946057</v>
      </c>
      <c r="BI158" s="59">
        <f ca="1">AVERAGE(OFFSET($BH$3,0,0,'Données projet'!$E$11+1,1))-AVERAGE(OFFSET($H$3,0,0,'Données projet'!$E$11+1,1))</f>
        <v>635.71275911100679</v>
      </c>
      <c r="BJ158" s="59">
        <f t="shared" si="146"/>
        <v>281.7776857269169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53.081362770039171</v>
      </c>
      <c r="BQ158" s="21">
        <f>EXP(-LN(2)/25)*BQ157+(1-EXP(-LN(2)/25))/(LN(2)/25)*Calculateur!BL158*Calculateur!BN158*VLOOKUP('Données projet'!$B$11,Paramètres!$A$1:$I$89,3,0)*0.475*44/12</f>
        <v>22.269249131816526</v>
      </c>
      <c r="BR158" s="21">
        <f>EXP(-LN(2)/2)*BR157+(1-EXP(-LN(2)/2))/(LN(2)/2)*BL158*BO158*VLOOKUP('Données projet'!$B$11,Paramètres!$A$1:$I$89,3,0)*0.475*44/12</f>
        <v>1.1018290165005019E-4</v>
      </c>
      <c r="BS158" s="22">
        <f t="shared" si="169"/>
        <v>75.350722084757351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7.5191666666666634</v>
      </c>
      <c r="BY158" s="12">
        <f>IF('Données projet'!$A$114&gt;35,BY157+BX158-CG157,IF(A158&lt;'Données projet'!$A$114,$BV$205^A158,IF(A158='Données projet'!$A$114,'Données projet'!$B$114,BY157+BX158-CG157)))</f>
        <v>401.68083333333294</v>
      </c>
      <c r="BZ158" s="13">
        <f>BY158*VLOOKUP('Données projet'!$B$12,Paramètres!$A$1:$I$89,3,0)*VLOOKUP('Données projet'!$B$12,Paramètres!$A$1:$I$89,5,0)</f>
        <v>457.43413299999958</v>
      </c>
      <c r="CA158" s="13">
        <f t="shared" si="170"/>
        <v>103.32808662074075</v>
      </c>
      <c r="CB158" s="20">
        <f t="shared" si="171"/>
        <v>976.66086583945616</v>
      </c>
      <c r="CC158" s="59">
        <f t="shared" si="119"/>
        <v>1269.9941991727894</v>
      </c>
      <c r="CD158" s="59">
        <f ca="1">AVERAGE(OFFSET($CC$3,0,0,'Données projet'!$E$12+1,1))-AVERAGE(OFFSET($H$3,0,0,'Données projet'!$E$12+1,1))</f>
        <v>593.28343396240075</v>
      </c>
      <c r="CE158" s="59">
        <f t="shared" si="148"/>
        <v>289.66477662068695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30.058820257626465</v>
      </c>
      <c r="CL158" s="21">
        <f>EXP(-LN(2)/25)*CL157+(1-EXP(-LN(2)/25))/(LN(2)/25)*Calculateur!CG158*Calculateur!CI158*VLOOKUP('Données projet'!$B$12,Paramètres!$A$1:$I$89,3,0)*0.475*44/12</f>
        <v>19.113956910545284</v>
      </c>
      <c r="CM158" s="21">
        <f>EXP(-LN(2)/2)*CM157+(1-EXP(-LN(2)/2))/(LN(2)/2)*CG158*CJ158*VLOOKUP('Données projet'!$B$12,Paramètres!$A$1:$I$89,3,0)*0.475*44/12</f>
        <v>0.14657603714327841</v>
      </c>
      <c r="CN158" s="22">
        <f t="shared" si="172"/>
        <v>49.319353205315025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2.2737367544323206E-13</v>
      </c>
      <c r="CU158" s="17">
        <f>CT158*VLOOKUP('Données projet'!$B$13,Paramètres!$A$1:$I$89,3,0)*VLOOKUP('Données projet'!$B$13,Paramètres!$A$1:$I$89,5,0)</f>
        <v>2.3765096557326618E-13</v>
      </c>
      <c r="CV158" s="13">
        <f t="shared" si="173"/>
        <v>3.2279907425805489E-12</v>
      </c>
      <c r="CW158" s="20">
        <f t="shared" si="174"/>
        <v>6.0359926417012276E-12</v>
      </c>
      <c r="CX158" s="59">
        <f t="shared" si="122"/>
        <v>293.33333333333934</v>
      </c>
      <c r="CY158" s="59">
        <f ca="1">AVERAGE(OFFSET($CX$3,0,0,'Données projet'!$E$13+1,1))-AVERAGE(OFFSET($H$3,0,0,'Données projet'!$E$13+1,1))</f>
        <v>260.65406541614402</v>
      </c>
      <c r="CZ158" s="59">
        <f t="shared" si="150"/>
        <v>277.63456890196886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4.9724418424832635</v>
      </c>
      <c r="DG158" s="21">
        <f>EXP(-LN(2)/25)*DG157+(1-EXP(-LN(2)/25))/(LN(2)/25)*Calculateur!DB158*Calculateur!DD158*VLOOKUP('Données projet'!$B$13,Paramètres!$A$1:$I$89,3,0)*0.475*44/12</f>
        <v>8.1709974088603925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13.143439251343656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2.2737367544323206E-13</v>
      </c>
      <c r="DP158" s="17">
        <f>DO158*VLOOKUP('Données projet'!$B$14,Paramètres!$A$1:$I$89,3,0)*VLOOKUP('Données projet'!$B$14,Paramètres!$A$1:$I$89,5,0)</f>
        <v>1.4897523215040565E-13</v>
      </c>
      <c r="DQ158" s="13">
        <f t="shared" si="176"/>
        <v>2.136562777003313E-12</v>
      </c>
      <c r="DR158" s="20">
        <f t="shared" si="177"/>
        <v>3.9806453659427267E-12</v>
      </c>
      <c r="DS158" s="59">
        <f t="shared" si="125"/>
        <v>293.33333333333729</v>
      </c>
      <c r="DT158" s="59">
        <f ca="1">AVERAGE(OFFSET($DS$3,0,0,'Données projet'!$E$14+1,1))-AVERAGE(OFFSET($H$3,0,0,'Données projet'!$E$14+1,1))</f>
        <v>181.4272795535777</v>
      </c>
      <c r="DU158" s="59">
        <f t="shared" si="152"/>
        <v>187.67131775419904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4.666298186561769</v>
      </c>
      <c r="EB158" s="21">
        <f>EXP(-LN(2)/25)*EB157+(1-EXP(-LN(2)/25))/(LN(2)/25)*Calculateur!DW158*Calculateur!DY158*VLOOKUP('Données projet'!$B$14,Paramètres!$A$1:$I$89,3,0)*0.475*44/12</f>
        <v>2.975917613071879</v>
      </c>
      <c r="EC158" s="21">
        <f>EXP(-LN(2)/2)*EC157+(1-EXP(-LN(2)/2))/(LN(2)/2)*DW158*DZ158*VLOOKUP('Données projet'!$B$14,Paramètres!$A$1:$I$89,3,0)*0.475*44/12</f>
        <v>4.1310381159127767E-9</v>
      </c>
      <c r="ED158" s="22">
        <f t="shared" si="178"/>
        <v>7.6422158037646861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9.2222762759774927E-14</v>
      </c>
      <c r="EL158" s="13">
        <f t="shared" si="179"/>
        <v>1.3985662224947967E-12</v>
      </c>
      <c r="EM158" s="20">
        <f t="shared" si="180"/>
        <v>2.5964574826517121E-12</v>
      </c>
      <c r="EN158" s="59">
        <f t="shared" si="128"/>
        <v>293.33333333333593</v>
      </c>
      <c r="EO158" s="59">
        <f ca="1">AVERAGE(OFFSET($EN$3,0,0,'Données projet'!$E$15+1,1))-AVERAGE(OFFSET($H$3,0,0,'Données projet'!$E$15+1,1))</f>
        <v>159.68591355116837</v>
      </c>
      <c r="EP158" s="59">
        <f t="shared" si="154"/>
        <v>284.32631786390112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1.495451608012111</v>
      </c>
      <c r="EW158" s="21">
        <f>EXP(-LN(2)/25)*EW157+(1-EXP(-LN(2)/25))/(LN(2)/25)*Calculateur!ER158*Calculateur!ET158*VLOOKUP('Données projet'!$B$15,Paramètres!$A$1:$I$89,3,0)*0.475*44/12</f>
        <v>0.79665398856733471</v>
      </c>
      <c r="EX158" s="21">
        <f>EXP(-LN(2)/2)*EX157+(1-EXP(-LN(2)/2))/(LN(2)/2)*ER158*EU158*VLOOKUP('Données projet'!$B$15,Paramètres!$A$1:$I$89,3,0)*0.475*44/12</f>
        <v>1.4318318043671126E-16</v>
      </c>
      <c r="EY158" s="22">
        <f t="shared" si="181"/>
        <v>2.2921055965794457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-1.3567387213697657E-13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299.10536994156814</v>
      </c>
      <c r="FK158" s="59">
        <f t="shared" si="156"/>
        <v>292.57799203101769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9.1983631282546572</v>
      </c>
      <c r="FR158" s="21">
        <f>EXP(-LN(2)/25)*FR157+(1-EXP(-LN(2)/25))/(LN(2)/25)*Calculateur!FM158*Calculateur!FO158*VLOOKUP('Données projet'!$B$16,Paramètres!$A$1:$I$89,3,0)*0.475*44/12</f>
        <v>5.2952591749316458</v>
      </c>
      <c r="FS158" s="21">
        <f>EXP(-LN(2)/2)*FS157+(1-EXP(-LN(2)/2))/(LN(2)/2)*FM158*FP158*VLOOKUP('Données projet'!$B$16,Paramètres!$A$1:$I$89,3,0)*0.475*44/12</f>
        <v>2.6743048355747525E-10</v>
      </c>
      <c r="FT158" s="22">
        <f t="shared" si="184"/>
        <v>14.493622303453733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5.6843418860808015E-14</v>
      </c>
      <c r="GA158" s="17">
        <f>FZ158*VLOOKUP('Données projet'!$B$17,Paramètres!$A$1:$I$89,3,0)*VLOOKUP('Données projet'!$B$17,Paramètres!$A$1:$I$89,5,0)</f>
        <v>5.1431925385259088E-14</v>
      </c>
      <c r="GB158" s="13">
        <f t="shared" si="185"/>
        <v>8.3482866290946129E-13</v>
      </c>
      <c r="GC158" s="20">
        <f t="shared" si="186"/>
        <v>1.5435705246133045E-12</v>
      </c>
      <c r="GD158" s="59">
        <f t="shared" si="134"/>
        <v>293.33333333333485</v>
      </c>
      <c r="GE158" s="59">
        <f ca="1">AVERAGE(OFFSET($GD$3,0,0,'Données projet'!$E$17+1,1))-AVERAGE(OFFSET($H$3,0,0,'Données projet'!$E$17+1,1))</f>
        <v>204.78565758021779</v>
      </c>
      <c r="GF158" s="59">
        <f t="shared" si="158"/>
        <v>287.25131613242439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1.7672099939465133</v>
      </c>
      <c r="GM158" s="21">
        <f>EXP(-LN(2)/25)*GM157+(1-EXP(-LN(2)/25))/(LN(2)/25)*Calculateur!GH158*Calculateur!GJ158*VLOOKUP('Données projet'!$B$17,Paramètres!$A$1:$I$89,3,0)*0.475*44/12</f>
        <v>0.6260384367102001</v>
      </c>
      <c r="GN158" s="21">
        <f>EXP(-LN(2)/2)*GN157+(1-EXP(-LN(2)/2))/(LN(2)/2)*GH158*GK158*VLOOKUP('Données projet'!$B$17,Paramètres!$A$1:$I$89,3,0)*0.475*44/12</f>
        <v>3.827657464281585E-16</v>
      </c>
      <c r="GO158" s="21">
        <f t="shared" si="187"/>
        <v>2.3932484306567141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5.6843418860808015E-14</v>
      </c>
      <c r="GV158" s="17">
        <f>GU158*VLOOKUP('Données projet'!$B$18,Paramètres!$A$1:$I$89,3,0)*VLOOKUP('Données projet'!$B$18,Paramètres!$A$1:$I$89,5,0)</f>
        <v>4.4337866711430253E-14</v>
      </c>
      <c r="GW158" s="13">
        <f t="shared" si="188"/>
        <v>7.3222115536967035E-13</v>
      </c>
      <c r="GX158" s="20">
        <f t="shared" si="189"/>
        <v>1.3525069634579169E-12</v>
      </c>
      <c r="GY158" s="59">
        <f t="shared" si="137"/>
        <v>293.33333333333468</v>
      </c>
      <c r="GZ158" s="59">
        <f ca="1">AVERAGE(OFFSET($GY$3,0,0,'Données projet'!$E$18+1,1))-AVERAGE(OFFSET($H$3,0,0,'Données projet'!$E$18+1,1))</f>
        <v>288.82868507674738</v>
      </c>
      <c r="HA158" s="59">
        <f t="shared" si="160"/>
        <v>283.48738729114024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7.830336233438004</v>
      </c>
      <c r="HH158" s="21">
        <f>EXP(-LN(2)/25)*HH157+(1-EXP(-LN(2)/25))/(LN(2)/25)*Calculateur!HC158*Calculateur!HE158*VLOOKUP('Données projet'!$B$18,Paramètres!$A$1:$I$89,3,0)*0.475*44/12</f>
        <v>3.9008409695726654</v>
      </c>
      <c r="HI158" s="21">
        <f>EXP(-LN(2)/2)*HI157+(1-EXP(-LN(2)/2))/(LN(2)/2)*HC158*HF158*VLOOKUP('Données projet'!$B$18,Paramètres!$A$1:$I$89,3,0)*0.475*44/12</f>
        <v>6.907159974307829E-12</v>
      </c>
      <c r="HJ158" s="22">
        <f t="shared" si="190"/>
        <v>11.731177203017577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349.71285006949597</v>
      </c>
      <c r="T159" s="59">
        <f t="shared" si="142"/>
        <v>258.51550516456842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34.02395975763509</v>
      </c>
      <c r="AA159" s="21">
        <f>EXP(-LN(2)/25)*AA158+(1-EXP(-LN(2)/25))/(LN(2)/25)*Calculateur!V159*Calculateur!X159*VLOOKUP('Données projet'!$B$9,Paramètres!$A$1:$I$89,3,0)*0.475*44/12</f>
        <v>6.2911775229446381</v>
      </c>
      <c r="AB159" s="21">
        <f>EXP(-LN(2)/2)*AB158+(1-EXP(-LN(2)/2))/(LN(2)/2)*V159*Y159*VLOOKUP('Données projet'!$B$9,Paramètres!$A$1:$I$89,3,0)*0.475*44/12</f>
        <v>2.5726564781947202E-10</v>
      </c>
      <c r="AC159" s="22">
        <f t="shared" si="163"/>
        <v>40.315137280836993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2.5579538487363607E-13</v>
      </c>
      <c r="AJ159" s="13">
        <f>AI159*VLOOKUP('Données projet'!$B$10,Paramètres!$A$1:$I$89,3,0)*VLOOKUP('Données projet'!$B$10,Paramètres!$A$1:$I$89,5,0)</f>
        <v>2.4341488824575211E-13</v>
      </c>
      <c r="AK159" s="13">
        <f t="shared" si="164"/>
        <v>3.2970717324875541E-12</v>
      </c>
      <c r="AL159" s="20">
        <f t="shared" si="165"/>
        <v>6.1663475311105072E-12</v>
      </c>
      <c r="AM159" s="59">
        <f t="shared" si="113"/>
        <v>293.33333333333945</v>
      </c>
      <c r="AN159" s="59">
        <f ca="1">AVERAGE(OFFSET($AM$3,0,0,'Données projet'!$E$10+1,1))-AVERAGE(OFFSET($H$3,0,0,'Données projet'!$E$10+1,1))</f>
        <v>449.28947235329758</v>
      </c>
      <c r="AO159" s="59">
        <f t="shared" si="144"/>
        <v>289.36994109443964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70.995306868658929</v>
      </c>
      <c r="AV159" s="21">
        <f>EXP(-LN(2)/25)*AV158+(1-EXP(-LN(2)/25))/(LN(2)/25)*Calculateur!AQ159*Calculateur!AS159*VLOOKUP('Données projet'!$B$10,Paramètres!$A$1:$I$89,3,0)*0.475*44/12</f>
        <v>12.040821540337815</v>
      </c>
      <c r="AW159" s="21">
        <f>EXP(-LN(2)/2)*AW158+(1-EXP(-LN(2)/2))/(LN(2)/2)*AQ159*AT159*VLOOKUP('Données projet'!$B$10,Paramètres!$A$1:$I$89,3,0)*0.475*44/12</f>
        <v>8.7419970383880764E-4</v>
      </c>
      <c r="AX159" s="21">
        <f t="shared" si="166"/>
        <v>83.03700260870059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456.39559680000082</v>
      </c>
      <c r="BF159" s="13">
        <f t="shared" si="167"/>
        <v>103.12077454694855</v>
      </c>
      <c r="BG159" s="20">
        <f t="shared" si="168"/>
        <v>974.49101342927031</v>
      </c>
      <c r="BH159" s="59">
        <f t="shared" si="116"/>
        <v>1267.8243467626037</v>
      </c>
      <c r="BI159" s="59">
        <f ca="1">AVERAGE(OFFSET($BH$3,0,0,'Données projet'!$E$11+1,1))-AVERAGE(OFFSET($H$3,0,0,'Données projet'!$E$11+1,1))</f>
        <v>635.71275911100679</v>
      </c>
      <c r="BJ159" s="59">
        <f t="shared" si="146"/>
        <v>281.7776857269169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52.040469622553083</v>
      </c>
      <c r="BQ159" s="21">
        <f>EXP(-LN(2)/25)*BQ158+(1-EXP(-LN(2)/25))/(LN(2)/25)*Calculateur!BL159*Calculateur!BN159*VLOOKUP('Données projet'!$B$11,Paramètres!$A$1:$I$89,3,0)*0.475*44/12</f>
        <v>21.660295343218088</v>
      </c>
      <c r="BR159" s="21">
        <f>EXP(-LN(2)/2)*BR158+(1-EXP(-LN(2)/2))/(LN(2)/2)*BL159*BO159*VLOOKUP('Données projet'!$B$11,Paramètres!$A$1:$I$89,3,0)*0.475*44/12</f>
        <v>7.7911076927560926E-5</v>
      </c>
      <c r="BS159" s="22">
        <f t="shared" si="169"/>
        <v>73.7008428768481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409.2</v>
      </c>
      <c r="BW159" s="12">
        <f>VLOOKUP(A159,'Données projet'!$A$113:$I$133,9,0)</f>
        <v>7.5191666666666634</v>
      </c>
      <c r="BX159" s="12">
        <f t="array" ref="BX159">INDEX(BW:BW,MIN(IF(ISNUMBER(BW159:BW355),ROW(BW159:BW355),"")))</f>
        <v>7.5191666666666634</v>
      </c>
      <c r="BY159" s="12">
        <f>IF('Données projet'!$A$114&gt;35,BY158+BX159-CG158,IF(A159&lt;'Données projet'!$A$114,$BV$205^A159,IF(A159='Données projet'!$A$114,'Données projet'!$B$114,BY158+BX159-CG158)))</f>
        <v>409.19999999999959</v>
      </c>
      <c r="BZ159" s="13">
        <f>BY159*VLOOKUP('Données projet'!$B$12,Paramètres!$A$1:$I$89,3,0)*VLOOKUP('Données projet'!$B$12,Paramètres!$A$1:$I$89,5,0)</f>
        <v>465.99695999999949</v>
      </c>
      <c r="CA159" s="13">
        <f t="shared" si="170"/>
        <v>105.03531868607018</v>
      </c>
      <c r="CB159" s="20">
        <f t="shared" si="171"/>
        <v>994.54788537823799</v>
      </c>
      <c r="CC159" s="59">
        <f t="shared" si="119"/>
        <v>1287.8812187115714</v>
      </c>
      <c r="CD159" s="59">
        <f ca="1">AVERAGE(OFFSET($CC$3,0,0,'Données projet'!$E$12+1,1))-AVERAGE(OFFSET($H$3,0,0,'Données projet'!$E$12+1,1))</f>
        <v>593.28343396240075</v>
      </c>
      <c r="CE159" s="59">
        <f t="shared" si="148"/>
        <v>289.66477662068695</v>
      </c>
      <c r="CF159" s="15">
        <f>IF(ISNA(VLOOKUP(A159,'Données projet'!$A$113:$I$133,3,0)),0,VLOOKUP(A159,'Données projet'!$A$113:$I$133,3,0))</f>
        <v>11</v>
      </c>
      <c r="CG159" s="15">
        <f>IF(ISNA(VLOOKUP(A159,'Données projet'!$A$113:$I$133,4,0)),0,VLOOKUP(A159,'Données projet'!$A$113:$I$133,4,0))</f>
        <v>65.69</v>
      </c>
      <c r="CH159" s="16">
        <f>IF(ISNA(VLOOKUP(A159,'Données projet'!$A$113:$I$133,5,0)),0%,VLOOKUP(A159,'Données projet'!$A$113:$I$133,5,0)*VLOOKUP('Données projet'!$B$12,Paramètres!$A$1:$I$89,7,0))</f>
        <v>0.215</v>
      </c>
      <c r="CI159" s="16">
        <f>IF(ISNA(VLOOKUP(A159,'Données projet'!$A$113:$I$133,6,0)),0%,VLOOKUP(A159,'Données projet'!$A$113:$I$133,6,0)*VLOOKUP('Données projet'!$B$12,Paramètres!$A$1:$I$89,7,0))</f>
        <v>8.6000000000000007E-2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47.249406988988127</v>
      </c>
      <c r="CL159" s="21">
        <f>EXP(-LN(2)/25)*CL158+(1-EXP(-LN(2)/25))/(LN(2)/25)*Calculateur!CG159*Calculateur!CI159*VLOOKUP('Données projet'!$B$12,Paramètres!$A$1:$I$89,3,0)*0.475*44/12</f>
        <v>25.675290810367677</v>
      </c>
      <c r="CM159" s="21">
        <f>EXP(-LN(2)/2)*CM158+(1-EXP(-LN(2)/2))/(LN(2)/2)*CG159*CJ159*VLOOKUP('Données projet'!$B$12,Paramètres!$A$1:$I$89,3,0)*0.475*44/12</f>
        <v>0.10364490982346343</v>
      </c>
      <c r="CN159" s="22">
        <f t="shared" si="172"/>
        <v>73.02834270917927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2.2737367544323206E-13</v>
      </c>
      <c r="CU159" s="17">
        <f>CT159*VLOOKUP('Données projet'!$B$13,Paramètres!$A$1:$I$89,3,0)*VLOOKUP('Données projet'!$B$13,Paramètres!$A$1:$I$89,5,0)</f>
        <v>2.3765096557326618E-13</v>
      </c>
      <c r="CV159" s="13">
        <f t="shared" si="173"/>
        <v>3.2279907425805489E-12</v>
      </c>
      <c r="CW159" s="20">
        <f t="shared" si="174"/>
        <v>6.0359926417012276E-12</v>
      </c>
      <c r="CX159" s="59">
        <f t="shared" si="122"/>
        <v>293.33333333333934</v>
      </c>
      <c r="CY159" s="59">
        <f ca="1">AVERAGE(OFFSET($CX$3,0,0,'Données projet'!$E$13+1,1))-AVERAGE(OFFSET($H$3,0,0,'Données projet'!$E$13+1,1))</f>
        <v>260.65406541614402</v>
      </c>
      <c r="CZ159" s="59">
        <f t="shared" si="150"/>
        <v>277.63456890196886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4.8749352908422177</v>
      </c>
      <c r="DG159" s="21">
        <f>EXP(-LN(2)/25)*DG158+(1-EXP(-LN(2)/25))/(LN(2)/25)*Calculateur!DB159*Calculateur!DD159*VLOOKUP('Données projet'!$B$13,Paramètres!$A$1:$I$89,3,0)*0.475*44/12</f>
        <v>7.9475610550210263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12.822496345863243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2.2737367544323206E-13</v>
      </c>
      <c r="DP159" s="17">
        <f>DO159*VLOOKUP('Données projet'!$B$14,Paramètres!$A$1:$I$89,3,0)*VLOOKUP('Données projet'!$B$14,Paramètres!$A$1:$I$89,5,0)</f>
        <v>1.4897523215040565E-13</v>
      </c>
      <c r="DQ159" s="13">
        <f t="shared" si="176"/>
        <v>2.136562777003313E-12</v>
      </c>
      <c r="DR159" s="20">
        <f t="shared" si="177"/>
        <v>3.9806453659427267E-12</v>
      </c>
      <c r="DS159" s="59">
        <f t="shared" si="125"/>
        <v>293.33333333333729</v>
      </c>
      <c r="DT159" s="59">
        <f ca="1">AVERAGE(OFFSET($DS$3,0,0,'Données projet'!$E$14+1,1))-AVERAGE(OFFSET($H$3,0,0,'Données projet'!$E$14+1,1))</f>
        <v>181.4272795535777</v>
      </c>
      <c r="DU159" s="59">
        <f t="shared" si="152"/>
        <v>187.67131775419904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4.5747949252841513</v>
      </c>
      <c r="EB159" s="21">
        <f>EXP(-LN(2)/25)*EB158+(1-EXP(-LN(2)/25))/(LN(2)/25)*Calculateur!DW159*Calculateur!DY159*VLOOKUP('Données projet'!$B$14,Paramètres!$A$1:$I$89,3,0)*0.475*44/12</f>
        <v>2.8945409894457228</v>
      </c>
      <c r="EC159" s="21">
        <f>EXP(-LN(2)/2)*EC158+(1-EXP(-LN(2)/2))/(LN(2)/2)*DW159*DZ159*VLOOKUP('Données projet'!$B$14,Paramètres!$A$1:$I$89,3,0)*0.475*44/12</f>
        <v>2.9210850651020234E-9</v>
      </c>
      <c r="ED159" s="22">
        <f t="shared" si="178"/>
        <v>7.4693359176509588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9.2222762759774927E-14</v>
      </c>
      <c r="EL159" s="13">
        <f t="shared" si="179"/>
        <v>1.3985662224947967E-12</v>
      </c>
      <c r="EM159" s="20">
        <f t="shared" si="180"/>
        <v>2.5964574826517121E-12</v>
      </c>
      <c r="EN159" s="59">
        <f t="shared" si="128"/>
        <v>293.33333333333593</v>
      </c>
      <c r="EO159" s="59">
        <f ca="1">AVERAGE(OFFSET($EN$3,0,0,'Données projet'!$E$15+1,1))-AVERAGE(OFFSET($H$3,0,0,'Données projet'!$E$15+1,1))</f>
        <v>159.68591355116837</v>
      </c>
      <c r="EP159" s="59">
        <f t="shared" si="154"/>
        <v>284.32631786390112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1.4661267141144085</v>
      </c>
      <c r="EW159" s="21">
        <f>EXP(-LN(2)/25)*EW158+(1-EXP(-LN(2)/25))/(LN(2)/25)*Calculateur!ER159*Calculateur!ET159*VLOOKUP('Données projet'!$B$15,Paramètres!$A$1:$I$89,3,0)*0.475*44/12</f>
        <v>0.77486944335574848</v>
      </c>
      <c r="EX159" s="21">
        <f>EXP(-LN(2)/2)*EX158+(1-EXP(-LN(2)/2))/(LN(2)/2)*ER159*EU159*VLOOKUP('Données projet'!$B$15,Paramètres!$A$1:$I$89,3,0)*0.475*44/12</f>
        <v>1.0124579783865554E-16</v>
      </c>
      <c r="EY159" s="22">
        <f t="shared" si="181"/>
        <v>2.2409961574701569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-1.3567387213697657E-13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299.10536994156814</v>
      </c>
      <c r="FK159" s="59">
        <f t="shared" si="156"/>
        <v>292.57799203101769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9.0179888377571054</v>
      </c>
      <c r="FR159" s="21">
        <f>EXP(-LN(2)/25)*FR158+(1-EXP(-LN(2)/25))/(LN(2)/25)*Calculateur!FM159*Calculateur!FO159*VLOOKUP('Données projet'!$B$16,Paramètres!$A$1:$I$89,3,0)*0.475*44/12</f>
        <v>5.1504600343275628</v>
      </c>
      <c r="FS159" s="21">
        <f>EXP(-LN(2)/2)*FS158+(1-EXP(-LN(2)/2))/(LN(2)/2)*FM159*FP159*VLOOKUP('Données projet'!$B$16,Paramètres!$A$1:$I$89,3,0)*0.475*44/12</f>
        <v>1.8910190841948825E-10</v>
      </c>
      <c r="FT159" s="22">
        <f t="shared" si="184"/>
        <v>14.168448872273769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5.6843418860808015E-14</v>
      </c>
      <c r="GA159" s="17">
        <f>FZ159*VLOOKUP('Données projet'!$B$17,Paramètres!$A$1:$I$89,3,0)*VLOOKUP('Données projet'!$B$17,Paramètres!$A$1:$I$89,5,0)</f>
        <v>5.1431925385259088E-14</v>
      </c>
      <c r="GB159" s="13">
        <f t="shared" si="185"/>
        <v>8.3482866290946129E-13</v>
      </c>
      <c r="GC159" s="20">
        <f t="shared" si="186"/>
        <v>1.5435705246133045E-12</v>
      </c>
      <c r="GD159" s="59">
        <f t="shared" si="134"/>
        <v>293.33333333333485</v>
      </c>
      <c r="GE159" s="59">
        <f ca="1">AVERAGE(OFFSET($GD$3,0,0,'Données projet'!$E$17+1,1))-AVERAGE(OFFSET($H$3,0,0,'Données projet'!$E$17+1,1))</f>
        <v>204.78565758021779</v>
      </c>
      <c r="GF159" s="59">
        <f t="shared" si="158"/>
        <v>287.25131613242439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1.7325560838568856</v>
      </c>
      <c r="GM159" s="21">
        <f>EXP(-LN(2)/25)*GM158+(1-EXP(-LN(2)/25))/(LN(2)/25)*Calculateur!GH159*Calculateur!GJ159*VLOOKUP('Données projet'!$B$17,Paramètres!$A$1:$I$89,3,0)*0.475*44/12</f>
        <v>0.60891938273642909</v>
      </c>
      <c r="GN159" s="21">
        <f>EXP(-LN(2)/2)*GN158+(1-EXP(-LN(2)/2))/(LN(2)/2)*GH159*GK159*VLOOKUP('Données projet'!$B$17,Paramètres!$A$1:$I$89,3,0)*0.475*44/12</f>
        <v>2.706562549052814E-16</v>
      </c>
      <c r="GO159" s="21">
        <f t="shared" si="187"/>
        <v>2.3414754665933151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5.6843418860808015E-14</v>
      </c>
      <c r="GV159" s="17">
        <f>GU159*VLOOKUP('Données projet'!$B$18,Paramètres!$A$1:$I$89,3,0)*VLOOKUP('Données projet'!$B$18,Paramètres!$A$1:$I$89,5,0)</f>
        <v>4.4337866711430253E-14</v>
      </c>
      <c r="GW159" s="13">
        <f t="shared" si="188"/>
        <v>7.3222115536967035E-13</v>
      </c>
      <c r="GX159" s="20">
        <f t="shared" si="189"/>
        <v>1.3525069634579169E-12</v>
      </c>
      <c r="GY159" s="59">
        <f t="shared" si="137"/>
        <v>293.33333333333468</v>
      </c>
      <c r="GZ159" s="59">
        <f ca="1">AVERAGE(OFFSET($GY$3,0,0,'Données projet'!$E$18+1,1))-AVERAGE(OFFSET($H$3,0,0,'Données projet'!$E$18+1,1))</f>
        <v>288.82868507674738</v>
      </c>
      <c r="HA159" s="59">
        <f t="shared" si="160"/>
        <v>283.48738729114024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7.6767881159337934</v>
      </c>
      <c r="HH159" s="21">
        <f>EXP(-LN(2)/25)*HH158+(1-EXP(-LN(2)/25))/(LN(2)/25)*Calculateur!HC159*Calculateur!HE159*VLOOKUP('Données projet'!$B$18,Paramètres!$A$1:$I$89,3,0)*0.475*44/12</f>
        <v>3.7941722681233898</v>
      </c>
      <c r="HI159" s="21">
        <f>EXP(-LN(2)/2)*HI158+(1-EXP(-LN(2)/2))/(LN(2)/2)*HC159*HF159*VLOOKUP('Données projet'!$B$18,Paramètres!$A$1:$I$89,3,0)*0.475*44/12</f>
        <v>4.8840996565733652E-12</v>
      </c>
      <c r="HJ159" s="22">
        <f t="shared" si="190"/>
        <v>11.470960384062067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349.71285006949597</v>
      </c>
      <c r="T160" s="59">
        <f t="shared" si="142"/>
        <v>258.51550516456842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33.356770659354176</v>
      </c>
      <c r="AA160" s="21">
        <f>EXP(-LN(2)/25)*AA159+(1-EXP(-LN(2)/25))/(LN(2)/25)*Calculateur!V160*Calculateur!X160*VLOOKUP('Données projet'!$B$9,Paramètres!$A$1:$I$89,3,0)*0.475*44/12</f>
        <v>6.1191449427410696</v>
      </c>
      <c r="AB160" s="21">
        <f>EXP(-LN(2)/2)*AB159+(1-EXP(-LN(2)/2))/(LN(2)/2)*V160*Y160*VLOOKUP('Données projet'!$B$9,Paramètres!$A$1:$I$89,3,0)*0.475*44/12</f>
        <v>1.819142841394988E-10</v>
      </c>
      <c r="AC160" s="22">
        <f t="shared" si="163"/>
        <v>39.475915602277155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2.5579538487363607E-13</v>
      </c>
      <c r="AJ160" s="13">
        <f>AI160*VLOOKUP('Données projet'!$B$10,Paramètres!$A$1:$I$89,3,0)*VLOOKUP('Données projet'!$B$10,Paramètres!$A$1:$I$89,5,0)</f>
        <v>2.4341488824575211E-13</v>
      </c>
      <c r="AK160" s="13">
        <f t="shared" si="164"/>
        <v>3.2970717324875541E-12</v>
      </c>
      <c r="AL160" s="20">
        <f t="shared" si="165"/>
        <v>6.1663475311105072E-12</v>
      </c>
      <c r="AM160" s="59">
        <f t="shared" si="113"/>
        <v>293.33333333333945</v>
      </c>
      <c r="AN160" s="59">
        <f ca="1">AVERAGE(OFFSET($AM$3,0,0,'Données projet'!$E$10+1,1))-AVERAGE(OFFSET($H$3,0,0,'Données projet'!$E$10+1,1))</f>
        <v>449.28947235329758</v>
      </c>
      <c r="AO160" s="59">
        <f t="shared" si="144"/>
        <v>289.36994109443964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69.603132203825922</v>
      </c>
      <c r="AV160" s="21">
        <f>EXP(-LN(2)/25)*AV159+(1-EXP(-LN(2)/25))/(LN(2)/25)*Calculateur!AQ160*Calculateur!AS160*VLOOKUP('Données projet'!$B$10,Paramètres!$A$1:$I$89,3,0)*0.475*44/12</f>
        <v>11.711564642117992</v>
      </c>
      <c r="AW160" s="21">
        <f>EXP(-LN(2)/2)*AW159+(1-EXP(-LN(2)/2))/(LN(2)/2)*AQ160*AT160*VLOOKUP('Données projet'!$B$10,Paramètres!$A$1:$I$89,3,0)*0.475*44/12</f>
        <v>6.181525386956924E-4</v>
      </c>
      <c r="AX160" s="21">
        <f t="shared" si="166"/>
        <v>81.315314998482606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464.98033920000091</v>
      </c>
      <c r="BF160" s="13">
        <f t="shared" si="167"/>
        <v>104.83282002515982</v>
      </c>
      <c r="BG160" s="20">
        <f t="shared" si="168"/>
        <v>992.4245856504881</v>
      </c>
      <c r="BH160" s="59">
        <f t="shared" si="116"/>
        <v>1285.7579189838214</v>
      </c>
      <c r="BI160" s="59">
        <f ca="1">AVERAGE(OFFSET($BH$3,0,0,'Données projet'!$E$11+1,1))-AVERAGE(OFFSET($H$3,0,0,'Données projet'!$E$11+1,1))</f>
        <v>635.71275911100679</v>
      </c>
      <c r="BJ160" s="59">
        <f t="shared" si="146"/>
        <v>281.7776857269169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51.019987754807069</v>
      </c>
      <c r="BQ160" s="21">
        <f>EXP(-LN(2)/25)*BQ159+(1-EXP(-LN(2)/25))/(LN(2)/25)*Calculateur!BL160*Calculateur!BN160*VLOOKUP('Données projet'!$B$11,Paramètres!$A$1:$I$89,3,0)*0.475*44/12</f>
        <v>21.067993427992363</v>
      </c>
      <c r="BR160" s="21">
        <f>EXP(-LN(2)/2)*BR159+(1-EXP(-LN(2)/2))/(LN(2)/2)*BL160*BO160*VLOOKUP('Données projet'!$B$11,Paramètres!$A$1:$I$89,3,0)*0.475*44/12</f>
        <v>5.5091450825025096E-5</v>
      </c>
      <c r="BS160" s="22">
        <f t="shared" si="169"/>
        <v>72.088036274250257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7.6783333333333319</v>
      </c>
      <c r="BY160" s="12">
        <f>IF('Données projet'!$A$114&gt;35,BY159+BX160-CG159,IF(A160&lt;'Données projet'!$A$114,$BV$205^A160,IF(A160='Données projet'!$A$114,'Données projet'!$B$114,BY159+BX160-CG159)))</f>
        <v>351.18833333333293</v>
      </c>
      <c r="BZ160" s="13">
        <f>BY160*VLOOKUP('Données projet'!$B$12,Paramètres!$A$1:$I$89,3,0)*VLOOKUP('Données projet'!$B$12,Paramètres!$A$1:$I$89,5,0)</f>
        <v>399.93327399999959</v>
      </c>
      <c r="CA160" s="13">
        <f t="shared" si="170"/>
        <v>91.763137417414484</v>
      </c>
      <c r="CB160" s="20">
        <f t="shared" si="171"/>
        <v>856.37124988532958</v>
      </c>
      <c r="CC160" s="59">
        <f t="shared" si="119"/>
        <v>1149.7045832186629</v>
      </c>
      <c r="CD160" s="59">
        <f ca="1">AVERAGE(OFFSET($CC$3,0,0,'Données projet'!$E$12+1,1))-AVERAGE(OFFSET($H$3,0,0,'Données projet'!$E$12+1,1))</f>
        <v>593.28343396240075</v>
      </c>
      <c r="CE160" s="59">
        <f t="shared" si="148"/>
        <v>289.66477662068695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46.322874937226665</v>
      </c>
      <c r="CL160" s="21">
        <f>EXP(-LN(2)/25)*CL159+(1-EXP(-LN(2)/25))/(LN(2)/25)*Calculateur!CG160*Calculateur!CI160*VLOOKUP('Données projet'!$B$12,Paramètres!$A$1:$I$89,3,0)*0.475*44/12</f>
        <v>24.973198632953313</v>
      </c>
      <c r="CM160" s="21">
        <f>EXP(-LN(2)/2)*CM159+(1-EXP(-LN(2)/2))/(LN(2)/2)*CG160*CJ160*VLOOKUP('Données projet'!$B$12,Paramètres!$A$1:$I$89,3,0)*0.475*44/12</f>
        <v>7.3288018571639205E-2</v>
      </c>
      <c r="CN160" s="22">
        <f t="shared" si="172"/>
        <v>71.369361588751616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2.2737367544323206E-13</v>
      </c>
      <c r="CU160" s="17">
        <f>CT160*VLOOKUP('Données projet'!$B$13,Paramètres!$A$1:$I$89,3,0)*VLOOKUP('Données projet'!$B$13,Paramètres!$A$1:$I$89,5,0)</f>
        <v>2.3765096557326618E-13</v>
      </c>
      <c r="CV160" s="13">
        <f t="shared" si="173"/>
        <v>3.2279907425805489E-12</v>
      </c>
      <c r="CW160" s="20">
        <f t="shared" si="174"/>
        <v>6.0359926417012276E-12</v>
      </c>
      <c r="CX160" s="59">
        <f t="shared" si="122"/>
        <v>293.33333333333934</v>
      </c>
      <c r="CY160" s="59">
        <f ca="1">AVERAGE(OFFSET($CX$3,0,0,'Données projet'!$E$13+1,1))-AVERAGE(OFFSET($H$3,0,0,'Données projet'!$E$13+1,1))</f>
        <v>260.65406541614402</v>
      </c>
      <c r="CZ160" s="59">
        <f t="shared" si="150"/>
        <v>277.63456890196886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4.7793407832057291</v>
      </c>
      <c r="DG160" s="21">
        <f>EXP(-LN(2)/25)*DG159+(1-EXP(-LN(2)/25))/(LN(2)/25)*Calculateur!DB160*Calculateur!DD160*VLOOKUP('Données projet'!$B$13,Paramètres!$A$1:$I$89,3,0)*0.475*44/12</f>
        <v>7.730234580027405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12.509575363233134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2.2737367544323206E-13</v>
      </c>
      <c r="DP160" s="17">
        <f>DO160*VLOOKUP('Données projet'!$B$14,Paramètres!$A$1:$I$89,3,0)*VLOOKUP('Données projet'!$B$14,Paramètres!$A$1:$I$89,5,0)</f>
        <v>1.4897523215040565E-13</v>
      </c>
      <c r="DQ160" s="13">
        <f t="shared" si="176"/>
        <v>2.136562777003313E-12</v>
      </c>
      <c r="DR160" s="20">
        <f t="shared" si="177"/>
        <v>3.9806453659427267E-12</v>
      </c>
      <c r="DS160" s="59">
        <f t="shared" si="125"/>
        <v>293.33333333333729</v>
      </c>
      <c r="DT160" s="59">
        <f ca="1">AVERAGE(OFFSET($DS$3,0,0,'Données projet'!$E$14+1,1))-AVERAGE(OFFSET($H$3,0,0,'Données projet'!$E$14+1,1))</f>
        <v>181.4272795535777</v>
      </c>
      <c r="DU160" s="59">
        <f t="shared" si="152"/>
        <v>187.67131775419904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4.4850859871487092</v>
      </c>
      <c r="EB160" s="21">
        <f>EXP(-LN(2)/25)*EB159+(1-EXP(-LN(2)/25))/(LN(2)/25)*Calculateur!DW160*Calculateur!DY160*VLOOKUP('Données projet'!$B$14,Paramètres!$A$1:$I$89,3,0)*0.475*44/12</f>
        <v>2.8153896138720342</v>
      </c>
      <c r="EC160" s="21">
        <f>EXP(-LN(2)/2)*EC159+(1-EXP(-LN(2)/2))/(LN(2)/2)*DW160*DZ160*VLOOKUP('Données projet'!$B$14,Paramètres!$A$1:$I$89,3,0)*0.475*44/12</f>
        <v>2.0655190579563883E-9</v>
      </c>
      <c r="ED160" s="22">
        <f t="shared" si="178"/>
        <v>7.3004756030862623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9.2222762759774927E-14</v>
      </c>
      <c r="EL160" s="13">
        <f t="shared" si="179"/>
        <v>1.3985662224947967E-12</v>
      </c>
      <c r="EM160" s="20">
        <f t="shared" si="180"/>
        <v>2.5964574826517121E-12</v>
      </c>
      <c r="EN160" s="59">
        <f t="shared" si="128"/>
        <v>293.33333333333593</v>
      </c>
      <c r="EO160" s="59">
        <f ca="1">AVERAGE(OFFSET($EN$3,0,0,'Données projet'!$E$15+1,1))-AVERAGE(OFFSET($H$3,0,0,'Données projet'!$E$15+1,1))</f>
        <v>159.68591355116837</v>
      </c>
      <c r="EP160" s="59">
        <f t="shared" si="154"/>
        <v>284.32631786390112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1.4373768634996209</v>
      </c>
      <c r="EW160" s="21">
        <f>EXP(-LN(2)/25)*EW159+(1-EXP(-LN(2)/25))/(LN(2)/25)*Calculateur!ER160*Calculateur!ET160*VLOOKUP('Données projet'!$B$15,Paramètres!$A$1:$I$89,3,0)*0.475*44/12</f>
        <v>0.75368059767857254</v>
      </c>
      <c r="EX160" s="21">
        <f>EXP(-LN(2)/2)*EX159+(1-EXP(-LN(2)/2))/(LN(2)/2)*ER160*EU160*VLOOKUP('Données projet'!$B$15,Paramètres!$A$1:$I$89,3,0)*0.475*44/12</f>
        <v>7.1591590218355632E-17</v>
      </c>
      <c r="EY160" s="22">
        <f t="shared" si="181"/>
        <v>2.1910574611781932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-1.3567387213697657E-13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299.10536994156814</v>
      </c>
      <c r="FK160" s="59">
        <f t="shared" si="156"/>
        <v>292.57799203101769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8.8411515770787563</v>
      </c>
      <c r="FR160" s="21">
        <f>EXP(-LN(2)/25)*FR159+(1-EXP(-LN(2)/25))/(LN(2)/25)*Calculateur!FM160*Calculateur!FO160*VLOOKUP('Données projet'!$B$16,Paramètres!$A$1:$I$89,3,0)*0.475*44/12</f>
        <v>5.009620433837954</v>
      </c>
      <c r="FS160" s="21">
        <f>EXP(-LN(2)/2)*FS159+(1-EXP(-LN(2)/2))/(LN(2)/2)*FM160*FP160*VLOOKUP('Données projet'!$B$16,Paramètres!$A$1:$I$89,3,0)*0.475*44/12</f>
        <v>1.3371524177873762E-10</v>
      </c>
      <c r="FT160" s="22">
        <f t="shared" si="184"/>
        <v>13.850772011050426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5.6843418860808015E-14</v>
      </c>
      <c r="GA160" s="17">
        <f>FZ160*VLOOKUP('Données projet'!$B$17,Paramètres!$A$1:$I$89,3,0)*VLOOKUP('Données projet'!$B$17,Paramètres!$A$1:$I$89,5,0)</f>
        <v>5.1431925385259088E-14</v>
      </c>
      <c r="GB160" s="13">
        <f t="shared" si="185"/>
        <v>8.3482866290946129E-13</v>
      </c>
      <c r="GC160" s="20">
        <f t="shared" si="186"/>
        <v>1.5435705246133045E-12</v>
      </c>
      <c r="GD160" s="59">
        <f t="shared" si="134"/>
        <v>293.33333333333485</v>
      </c>
      <c r="GE160" s="59">
        <f ca="1">AVERAGE(OFFSET($GD$3,0,0,'Données projet'!$E$17+1,1))-AVERAGE(OFFSET($H$3,0,0,'Données projet'!$E$17+1,1))</f>
        <v>204.78565758021779</v>
      </c>
      <c r="GF160" s="59">
        <f t="shared" si="158"/>
        <v>287.25131613242439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1.6985817158073173</v>
      </c>
      <c r="GM160" s="21">
        <f>EXP(-LN(2)/25)*GM159+(1-EXP(-LN(2)/25))/(LN(2)/25)*Calculateur!GH160*Calculateur!GJ160*VLOOKUP('Données projet'!$B$17,Paramètres!$A$1:$I$89,3,0)*0.475*44/12</f>
        <v>0.59226845019382279</v>
      </c>
      <c r="GN160" s="21">
        <f>EXP(-LN(2)/2)*GN159+(1-EXP(-LN(2)/2))/(LN(2)/2)*GH160*GK160*VLOOKUP('Données projet'!$B$17,Paramètres!$A$1:$I$89,3,0)*0.475*44/12</f>
        <v>1.9138287321407925E-16</v>
      </c>
      <c r="GO160" s="21">
        <f t="shared" si="187"/>
        <v>2.2908501660011402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5.6843418860808015E-14</v>
      </c>
      <c r="GV160" s="17">
        <f>GU160*VLOOKUP('Données projet'!$B$18,Paramètres!$A$1:$I$89,3,0)*VLOOKUP('Données projet'!$B$18,Paramètres!$A$1:$I$89,5,0)</f>
        <v>4.4337866711430253E-14</v>
      </c>
      <c r="GW160" s="13">
        <f t="shared" si="188"/>
        <v>7.3222115536967035E-13</v>
      </c>
      <c r="GX160" s="20">
        <f t="shared" si="189"/>
        <v>1.3525069634579169E-12</v>
      </c>
      <c r="GY160" s="59">
        <f t="shared" si="137"/>
        <v>293.33333333333468</v>
      </c>
      <c r="GZ160" s="59">
        <f ca="1">AVERAGE(OFFSET($GY$3,0,0,'Données projet'!$E$18+1,1))-AVERAGE(OFFSET($H$3,0,0,'Données projet'!$E$18+1,1))</f>
        <v>288.82868507674738</v>
      </c>
      <c r="HA160" s="59">
        <f t="shared" si="160"/>
        <v>283.48738729114024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7.5262509833587359</v>
      </c>
      <c r="HH160" s="21">
        <f>EXP(-LN(2)/25)*HH159+(1-EXP(-LN(2)/25))/(LN(2)/25)*Calculateur!HC160*Calculateur!HE160*VLOOKUP('Données projet'!$B$18,Paramètres!$A$1:$I$89,3,0)*0.475*44/12</f>
        <v>3.6904204279247077</v>
      </c>
      <c r="HI160" s="21">
        <f>EXP(-LN(2)/2)*HI159+(1-EXP(-LN(2)/2))/(LN(2)/2)*HC160*HF160*VLOOKUP('Données projet'!$B$18,Paramètres!$A$1:$I$89,3,0)*0.475*44/12</f>
        <v>3.4535799871539145E-12</v>
      </c>
      <c r="HJ160" s="22">
        <f t="shared" si="190"/>
        <v>11.216671411286896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349.71285006949597</v>
      </c>
      <c r="T161" s="59">
        <f t="shared" si="142"/>
        <v>258.51550516456842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32.702664732345376</v>
      </c>
      <c r="AA161" s="21">
        <f>EXP(-LN(2)/25)*AA160+(1-EXP(-LN(2)/25))/(LN(2)/25)*Calculateur!V161*Calculateur!X161*VLOOKUP('Données projet'!$B$9,Paramètres!$A$1:$I$89,3,0)*0.475*44/12</f>
        <v>5.9518166024899681</v>
      </c>
      <c r="AB161" s="21">
        <f>EXP(-LN(2)/2)*AB160+(1-EXP(-LN(2)/2))/(LN(2)/2)*V161*Y161*VLOOKUP('Données projet'!$B$9,Paramètres!$A$1:$I$89,3,0)*0.475*44/12</f>
        <v>1.2863282390973601E-10</v>
      </c>
      <c r="AC161" s="22">
        <f t="shared" si="163"/>
        <v>38.654481334963975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2.5579538487363607E-13</v>
      </c>
      <c r="AJ161" s="13">
        <f>AI161*VLOOKUP('Données projet'!$B$10,Paramètres!$A$1:$I$89,3,0)*VLOOKUP('Données projet'!$B$10,Paramètres!$A$1:$I$89,5,0)</f>
        <v>2.4341488824575211E-13</v>
      </c>
      <c r="AK161" s="13">
        <f t="shared" si="164"/>
        <v>3.2970717324875541E-12</v>
      </c>
      <c r="AL161" s="20">
        <f t="shared" si="165"/>
        <v>6.1663475311105072E-12</v>
      </c>
      <c r="AM161" s="59">
        <f t="shared" si="113"/>
        <v>293.33333333333945</v>
      </c>
      <c r="AN161" s="59">
        <f ca="1">AVERAGE(OFFSET($AM$3,0,0,'Données projet'!$E$10+1,1))-AVERAGE(OFFSET($H$3,0,0,'Données projet'!$E$10+1,1))</f>
        <v>449.28947235329758</v>
      </c>
      <c r="AO161" s="59">
        <f t="shared" si="144"/>
        <v>289.36994109443964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68.238257235027589</v>
      </c>
      <c r="AV161" s="21">
        <f>EXP(-LN(2)/25)*AV160+(1-EXP(-LN(2)/25))/(LN(2)/25)*Calculateur!AQ161*Calculateur!AS161*VLOOKUP('Données projet'!$B$10,Paramètres!$A$1:$I$89,3,0)*0.475*44/12</f>
        <v>11.391311291094858</v>
      </c>
      <c r="AW161" s="21">
        <f>EXP(-LN(2)/2)*AW160+(1-EXP(-LN(2)/2))/(LN(2)/2)*AQ161*AT161*VLOOKUP('Données projet'!$B$10,Paramètres!$A$1:$I$89,3,0)*0.475*44/12</f>
        <v>4.3709985191940382E-4</v>
      </c>
      <c r="AX161" s="21">
        <f t="shared" si="166"/>
        <v>79.630005625974377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473.56508160000089</v>
      </c>
      <c r="BF161" s="13">
        <f t="shared" si="167"/>
        <v>106.54118996921356</v>
      </c>
      <c r="BG161" s="20">
        <f t="shared" si="168"/>
        <v>1010.3517563163817</v>
      </c>
      <c r="BH161" s="59">
        <f t="shared" si="116"/>
        <v>1303.6850896497151</v>
      </c>
      <c r="BI161" s="59">
        <f ca="1">AVERAGE(OFFSET($BH$3,0,0,'Données projet'!$E$11+1,1))-AVERAGE(OFFSET($H$3,0,0,'Données projet'!$E$11+1,1))</f>
        <v>635.71275911100679</v>
      </c>
      <c r="BJ161" s="59">
        <f t="shared" si="146"/>
        <v>281.7776857269169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50.019516914055075</v>
      </c>
      <c r="BQ161" s="21">
        <f>EXP(-LN(2)/25)*BQ160+(1-EXP(-LN(2)/25))/(LN(2)/25)*Calculateur!BL161*Calculateur!BN161*VLOOKUP('Données projet'!$B$11,Paramètres!$A$1:$I$89,3,0)*0.475*44/12</f>
        <v>20.491888039786289</v>
      </c>
      <c r="BR161" s="21">
        <f>EXP(-LN(2)/2)*BR160+(1-EXP(-LN(2)/2))/(LN(2)/2)*BL161*BO161*VLOOKUP('Données projet'!$B$11,Paramètres!$A$1:$I$89,3,0)*0.475*44/12</f>
        <v>3.8955538463780463E-5</v>
      </c>
      <c r="BS161" s="22">
        <f t="shared" si="169"/>
        <v>70.511443909379821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7.6783333333333319</v>
      </c>
      <c r="BY161" s="12">
        <f>IF('Données projet'!$A$114&gt;35,BY160+BX161-CG160,IF(A161&lt;'Données projet'!$A$114,$BV$205^A161,IF(A161='Données projet'!$A$114,'Données projet'!$B$114,BY160+BX161-CG160)))</f>
        <v>358.86666666666628</v>
      </c>
      <c r="BZ161" s="13">
        <f>BY161*VLOOKUP('Données projet'!$B$12,Paramètres!$A$1:$I$89,3,0)*VLOOKUP('Données projet'!$B$12,Paramètres!$A$1:$I$89,5,0)</f>
        <v>408.67735999999957</v>
      </c>
      <c r="CA161" s="13">
        <f t="shared" si="170"/>
        <v>93.533663431059196</v>
      </c>
      <c r="CB161" s="20">
        <f t="shared" si="171"/>
        <v>874.68419914242725</v>
      </c>
      <c r="CC161" s="59">
        <f t="shared" si="119"/>
        <v>1168.0175324757606</v>
      </c>
      <c r="CD161" s="59">
        <f ca="1">AVERAGE(OFFSET($CC$3,0,0,'Données projet'!$E$12+1,1))-AVERAGE(OFFSET($H$3,0,0,'Données projet'!$E$12+1,1))</f>
        <v>593.28343396240075</v>
      </c>
      <c r="CE161" s="59">
        <f t="shared" si="148"/>
        <v>289.66477662068695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45.414511613871497</v>
      </c>
      <c r="CL161" s="21">
        <f>EXP(-LN(2)/25)*CL160+(1-EXP(-LN(2)/25))/(LN(2)/25)*Calculateur!CG161*Calculateur!CI161*VLOOKUP('Données projet'!$B$12,Paramètres!$A$1:$I$89,3,0)*0.475*44/12</f>
        <v>24.290305203051766</v>
      </c>
      <c r="CM161" s="21">
        <f>EXP(-LN(2)/2)*CM160+(1-EXP(-LN(2)/2))/(LN(2)/2)*CG161*CJ161*VLOOKUP('Données projet'!$B$12,Paramètres!$A$1:$I$89,3,0)*0.475*44/12</f>
        <v>5.1822454911731715E-2</v>
      </c>
      <c r="CN161" s="22">
        <f t="shared" si="172"/>
        <v>69.756639271834985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2.2737367544323206E-13</v>
      </c>
      <c r="CU161" s="17">
        <f>CT161*VLOOKUP('Données projet'!$B$13,Paramètres!$A$1:$I$89,3,0)*VLOOKUP('Données projet'!$B$13,Paramètres!$A$1:$I$89,5,0)</f>
        <v>2.3765096557326618E-13</v>
      </c>
      <c r="CV161" s="13">
        <f t="shared" si="173"/>
        <v>3.2279907425805489E-12</v>
      </c>
      <c r="CW161" s="20">
        <f t="shared" si="174"/>
        <v>6.0359926417012276E-12</v>
      </c>
      <c r="CX161" s="59">
        <f t="shared" si="122"/>
        <v>293.33333333333934</v>
      </c>
      <c r="CY161" s="59">
        <f ca="1">AVERAGE(OFFSET($CX$3,0,0,'Données projet'!$E$13+1,1))-AVERAGE(OFFSET($H$3,0,0,'Données projet'!$E$13+1,1))</f>
        <v>260.65406541614402</v>
      </c>
      <c r="CZ161" s="59">
        <f t="shared" si="150"/>
        <v>277.63456890196886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4.6856208255570992</v>
      </c>
      <c r="DG161" s="21">
        <f>EXP(-LN(2)/25)*DG160+(1-EXP(-LN(2)/25))/(LN(2)/25)*Calculateur!DB161*Calculateur!DD161*VLOOKUP('Données projet'!$B$13,Paramètres!$A$1:$I$89,3,0)*0.475*44/12</f>
        <v>7.5188509089211868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12.204471734478286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2.2737367544323206E-13</v>
      </c>
      <c r="DP161" s="17">
        <f>DO161*VLOOKUP('Données projet'!$B$14,Paramètres!$A$1:$I$89,3,0)*VLOOKUP('Données projet'!$B$14,Paramètres!$A$1:$I$89,5,0)</f>
        <v>1.4897523215040565E-13</v>
      </c>
      <c r="DQ161" s="13">
        <f t="shared" si="176"/>
        <v>2.136562777003313E-12</v>
      </c>
      <c r="DR161" s="20">
        <f t="shared" si="177"/>
        <v>3.9806453659427267E-12</v>
      </c>
      <c r="DS161" s="59">
        <f t="shared" si="125"/>
        <v>293.33333333333729</v>
      </c>
      <c r="DT161" s="59">
        <f ca="1">AVERAGE(OFFSET($DS$3,0,0,'Données projet'!$E$14+1,1))-AVERAGE(OFFSET($H$3,0,0,'Données projet'!$E$14+1,1))</f>
        <v>181.4272795535777</v>
      </c>
      <c r="DU161" s="59">
        <f t="shared" si="152"/>
        <v>187.67131775419904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4.3971361865730536</v>
      </c>
      <c r="EB161" s="21">
        <f>EXP(-LN(2)/25)*EB160+(1-EXP(-LN(2)/25))/(LN(2)/25)*Calculateur!DW161*Calculateur!DY161*VLOOKUP('Données projet'!$B$14,Paramètres!$A$1:$I$89,3,0)*0.475*44/12</f>
        <v>2.7384026368257985</v>
      </c>
      <c r="EC161" s="21">
        <f>EXP(-LN(2)/2)*EC160+(1-EXP(-LN(2)/2))/(LN(2)/2)*DW161*DZ161*VLOOKUP('Données projet'!$B$14,Paramètres!$A$1:$I$89,3,0)*0.475*44/12</f>
        <v>1.4605425325510117E-9</v>
      </c>
      <c r="ED161" s="22">
        <f t="shared" si="178"/>
        <v>7.1355388248593945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9.2222762759774927E-14</v>
      </c>
      <c r="EL161" s="13">
        <f t="shared" si="179"/>
        <v>1.3985662224947967E-12</v>
      </c>
      <c r="EM161" s="20">
        <f t="shared" si="180"/>
        <v>2.5964574826517121E-12</v>
      </c>
      <c r="EN161" s="59">
        <f t="shared" si="128"/>
        <v>293.33333333333593</v>
      </c>
      <c r="EO161" s="59">
        <f ca="1">AVERAGE(OFFSET($EN$3,0,0,'Données projet'!$E$15+1,1))-AVERAGE(OFFSET($H$3,0,0,'Données projet'!$E$15+1,1))</f>
        <v>159.68591355116837</v>
      </c>
      <c r="EP161" s="59">
        <f t="shared" si="154"/>
        <v>284.32631786390112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1.4091907799197119</v>
      </c>
      <c r="EW161" s="21">
        <f>EXP(-LN(2)/25)*EW160+(1-EXP(-LN(2)/25))/(LN(2)/25)*Calculateur!ER161*Calculateur!ET161*VLOOKUP('Données projet'!$B$15,Paramètres!$A$1:$I$89,3,0)*0.475*44/12</f>
        <v>0.73307116210071188</v>
      </c>
      <c r="EX161" s="21">
        <f>EXP(-LN(2)/2)*EX160+(1-EXP(-LN(2)/2))/(LN(2)/2)*ER161*EU161*VLOOKUP('Données projet'!$B$15,Paramètres!$A$1:$I$89,3,0)*0.475*44/12</f>
        <v>5.0622898919327772E-17</v>
      </c>
      <c r="EY161" s="22">
        <f t="shared" si="181"/>
        <v>2.1422619420204239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-1.3567387213697657E-13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299.10536994156814</v>
      </c>
      <c r="FK161" s="59">
        <f t="shared" si="156"/>
        <v>292.57799203101769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8.6677819872222326</v>
      </c>
      <c r="FR161" s="21">
        <f>EXP(-LN(2)/25)*FR160+(1-EXP(-LN(2)/25))/(LN(2)/25)*Calculateur!FM161*Calculateur!FO161*VLOOKUP('Données projet'!$B$16,Paramètres!$A$1:$I$89,3,0)*0.475*44/12</f>
        <v>4.8726320996301657</v>
      </c>
      <c r="FS161" s="21">
        <f>EXP(-LN(2)/2)*FS160+(1-EXP(-LN(2)/2))/(LN(2)/2)*FM161*FP161*VLOOKUP('Données projet'!$B$16,Paramètres!$A$1:$I$89,3,0)*0.475*44/12</f>
        <v>9.4550954209744124E-11</v>
      </c>
      <c r="FT161" s="22">
        <f t="shared" si="184"/>
        <v>13.540414086946948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5.6843418860808015E-14</v>
      </c>
      <c r="GA161" s="17">
        <f>FZ161*VLOOKUP('Données projet'!$B$17,Paramètres!$A$1:$I$89,3,0)*VLOOKUP('Données projet'!$B$17,Paramètres!$A$1:$I$89,5,0)</f>
        <v>5.1431925385259088E-14</v>
      </c>
      <c r="GB161" s="13">
        <f t="shared" si="185"/>
        <v>8.3482866290946129E-13</v>
      </c>
      <c r="GC161" s="20">
        <f t="shared" si="186"/>
        <v>1.5435705246133045E-12</v>
      </c>
      <c r="GD161" s="59">
        <f t="shared" si="134"/>
        <v>293.33333333333485</v>
      </c>
      <c r="GE161" s="59">
        <f ca="1">AVERAGE(OFFSET($GD$3,0,0,'Données projet'!$E$17+1,1))-AVERAGE(OFFSET($H$3,0,0,'Données projet'!$E$17+1,1))</f>
        <v>204.78565758021779</v>
      </c>
      <c r="GF161" s="59">
        <f t="shared" si="158"/>
        <v>287.25131613242439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1.6652735643928827</v>
      </c>
      <c r="GM161" s="21">
        <f>EXP(-LN(2)/25)*GM160+(1-EXP(-LN(2)/25))/(LN(2)/25)*Calculateur!GH161*Calculateur!GJ161*VLOOKUP('Données projet'!$B$17,Paramètres!$A$1:$I$89,3,0)*0.475*44/12</f>
        <v>0.57607283827722855</v>
      </c>
      <c r="GN161" s="21">
        <f>EXP(-LN(2)/2)*GN160+(1-EXP(-LN(2)/2))/(LN(2)/2)*GH161*GK161*VLOOKUP('Données projet'!$B$17,Paramètres!$A$1:$I$89,3,0)*0.475*44/12</f>
        <v>1.353281274526407E-16</v>
      </c>
      <c r="GO161" s="21">
        <f t="shared" si="187"/>
        <v>2.2413464026701111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5.6843418860808015E-14</v>
      </c>
      <c r="GV161" s="17">
        <f>GU161*VLOOKUP('Données projet'!$B$18,Paramètres!$A$1:$I$89,3,0)*VLOOKUP('Données projet'!$B$18,Paramètres!$A$1:$I$89,5,0)</f>
        <v>4.4337866711430253E-14</v>
      </c>
      <c r="GW161" s="13">
        <f t="shared" si="188"/>
        <v>7.3222115536967035E-13</v>
      </c>
      <c r="GX161" s="20">
        <f t="shared" si="189"/>
        <v>1.3525069634579169E-12</v>
      </c>
      <c r="GY161" s="59">
        <f t="shared" si="137"/>
        <v>293.33333333333468</v>
      </c>
      <c r="GZ161" s="59">
        <f ca="1">AVERAGE(OFFSET($GY$3,0,0,'Données projet'!$E$18+1,1))-AVERAGE(OFFSET($H$3,0,0,'Données projet'!$E$18+1,1))</f>
        <v>288.82868507674738</v>
      </c>
      <c r="HA161" s="59">
        <f t="shared" si="160"/>
        <v>283.48738729114024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7.3786657921348908</v>
      </c>
      <c r="HH161" s="21">
        <f>EXP(-LN(2)/25)*HH160+(1-EXP(-LN(2)/25))/(LN(2)/25)*Calculateur!HC161*Calculateur!HE161*VLOOKUP('Données projet'!$B$18,Paramètres!$A$1:$I$89,3,0)*0.475*44/12</f>
        <v>3.589505687252331</v>
      </c>
      <c r="HI161" s="21">
        <f>EXP(-LN(2)/2)*HI160+(1-EXP(-LN(2)/2))/(LN(2)/2)*HC161*HF161*VLOOKUP('Données projet'!$B$18,Paramètres!$A$1:$I$89,3,0)*0.475*44/12</f>
        <v>2.4420498282866826E-12</v>
      </c>
      <c r="HJ161" s="22">
        <f t="shared" si="190"/>
        <v>10.968171479389664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349.71285006949597</v>
      </c>
      <c r="T162" s="59">
        <f t="shared" si="142"/>
        <v>258.51550516456842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32.061385423600001</v>
      </c>
      <c r="AA162" s="21">
        <f>EXP(-LN(2)/25)*AA161+(1-EXP(-LN(2)/25))/(LN(2)/25)*Calculateur!V162*Calculateur!X162*VLOOKUP('Données projet'!$B$9,Paramètres!$A$1:$I$89,3,0)*0.475*44/12</f>
        <v>5.7890638645024479</v>
      </c>
      <c r="AB162" s="21">
        <f>EXP(-LN(2)/2)*AB161+(1-EXP(-LN(2)/2))/(LN(2)/2)*V162*Y162*VLOOKUP('Données projet'!$B$9,Paramètres!$A$1:$I$89,3,0)*0.475*44/12</f>
        <v>9.0957142069749401E-11</v>
      </c>
      <c r="AC162" s="22">
        <f t="shared" si="163"/>
        <v>37.850449288193403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2.5579538487363607E-13</v>
      </c>
      <c r="AJ162" s="13">
        <f>AI162*VLOOKUP('Données projet'!$B$10,Paramètres!$A$1:$I$89,3,0)*VLOOKUP('Données projet'!$B$10,Paramètres!$A$1:$I$89,5,0)</f>
        <v>2.4341488824575211E-13</v>
      </c>
      <c r="AK162" s="13">
        <f t="shared" si="164"/>
        <v>3.2970717324875541E-12</v>
      </c>
      <c r="AL162" s="20">
        <f t="shared" si="165"/>
        <v>6.1663475311105072E-12</v>
      </c>
      <c r="AM162" s="59">
        <f t="shared" si="113"/>
        <v>293.33333333333945</v>
      </c>
      <c r="AN162" s="59">
        <f ca="1">AVERAGE(OFFSET($AM$3,0,0,'Données projet'!$E$10+1,1))-AVERAGE(OFFSET($H$3,0,0,'Données projet'!$E$10+1,1))</f>
        <v>449.28947235329758</v>
      </c>
      <c r="AO162" s="59">
        <f t="shared" si="144"/>
        <v>289.36994109443964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66.900146631875856</v>
      </c>
      <c r="AV162" s="21">
        <f>EXP(-LN(2)/25)*AV161+(1-EXP(-LN(2)/25))/(LN(2)/25)*Calculateur!AQ162*Calculateur!AS162*VLOOKUP('Données projet'!$B$10,Paramètres!$A$1:$I$89,3,0)*0.475*44/12</f>
        <v>11.079815284796844</v>
      </c>
      <c r="AW162" s="21">
        <f>EXP(-LN(2)/2)*AW161+(1-EXP(-LN(2)/2))/(LN(2)/2)*AQ162*AT162*VLOOKUP('Données projet'!$B$10,Paramètres!$A$1:$I$89,3,0)*0.475*44/12</f>
        <v>3.090762693478462E-4</v>
      </c>
      <c r="AX162" s="21">
        <f t="shared" si="166"/>
        <v>77.980270992942039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482.14982400000099</v>
      </c>
      <c r="BF162" s="13">
        <f t="shared" si="167"/>
        <v>108.24595869432409</v>
      </c>
      <c r="BG162" s="20">
        <f t="shared" si="168"/>
        <v>1028.272654859283</v>
      </c>
      <c r="BH162" s="59">
        <f t="shared" si="116"/>
        <v>1321.6059881926162</v>
      </c>
      <c r="BI162" s="59">
        <f ca="1">AVERAGE(OFFSET($BH$3,0,0,'Données projet'!$E$11+1,1))-AVERAGE(OFFSET($H$3,0,0,'Données projet'!$E$11+1,1))</f>
        <v>635.71275911100679</v>
      </c>
      <c r="BJ162" s="59">
        <f t="shared" si="146"/>
        <v>281.7776857269169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49.038664696263268</v>
      </c>
      <c r="BQ162" s="21">
        <f>EXP(-LN(2)/25)*BQ161+(1-EXP(-LN(2)/25))/(LN(2)/25)*Calculateur!BL162*Calculateur!BN162*VLOOKUP('Données projet'!$B$11,Paramètres!$A$1:$I$89,3,0)*0.475*44/12</f>
        <v>19.931536283716778</v>
      </c>
      <c r="BR162" s="21">
        <f>EXP(-LN(2)/2)*BR161+(1-EXP(-LN(2)/2))/(LN(2)/2)*BL162*BO162*VLOOKUP('Données projet'!$B$11,Paramètres!$A$1:$I$89,3,0)*0.475*44/12</f>
        <v>2.7545725412512548E-5</v>
      </c>
      <c r="BS162" s="22">
        <f t="shared" si="169"/>
        <v>68.970228525705465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7.6783333333333319</v>
      </c>
      <c r="BY162" s="12">
        <f>IF('Données projet'!$A$114&gt;35,BY161+BX162-CG161,IF(A162&lt;'Données projet'!$A$114,$BV$205^A162,IF(A162='Données projet'!$A$114,'Données projet'!$B$114,BY161+BX162-CG161)))</f>
        <v>366.54499999999962</v>
      </c>
      <c r="BZ162" s="13">
        <f>BY162*VLOOKUP('Données projet'!$B$12,Paramètres!$A$1:$I$89,3,0)*VLOOKUP('Données projet'!$B$12,Paramètres!$A$1:$I$89,5,0)</f>
        <v>417.42144599999961</v>
      </c>
      <c r="CA162" s="13">
        <f t="shared" si="170"/>
        <v>95.299785078044607</v>
      </c>
      <c r="CB162" s="20">
        <f t="shared" si="171"/>
        <v>892.98947746092699</v>
      </c>
      <c r="CC162" s="59">
        <f t="shared" si="119"/>
        <v>1186.3228107942602</v>
      </c>
      <c r="CD162" s="59">
        <f ca="1">AVERAGE(OFFSET($CC$3,0,0,'Données projet'!$E$12+1,1))-AVERAGE(OFFSET($H$3,0,0,'Données projet'!$E$12+1,1))</f>
        <v>593.28343396240075</v>
      </c>
      <c r="CE162" s="59">
        <f t="shared" si="148"/>
        <v>289.66477662068695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44.523960741240401</v>
      </c>
      <c r="CL162" s="21">
        <f>EXP(-LN(2)/25)*CL161+(1-EXP(-LN(2)/25))/(LN(2)/25)*Calculateur!CG162*Calculateur!CI162*VLOOKUP('Données projet'!$B$12,Paramètres!$A$1:$I$89,3,0)*0.475*44/12</f>
        <v>23.626085529902682</v>
      </c>
      <c r="CM162" s="21">
        <f>EXP(-LN(2)/2)*CM161+(1-EXP(-LN(2)/2))/(LN(2)/2)*CG162*CJ162*VLOOKUP('Données projet'!$B$12,Paramètres!$A$1:$I$89,3,0)*0.475*44/12</f>
        <v>3.6644009285819602E-2</v>
      </c>
      <c r="CN162" s="22">
        <f t="shared" si="172"/>
        <v>68.186690280428905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2.2737367544323206E-13</v>
      </c>
      <c r="CU162" s="17">
        <f>CT162*VLOOKUP('Données projet'!$B$13,Paramètres!$A$1:$I$89,3,0)*VLOOKUP('Données projet'!$B$13,Paramètres!$A$1:$I$89,5,0)</f>
        <v>2.3765096557326618E-13</v>
      </c>
      <c r="CV162" s="13">
        <f t="shared" si="173"/>
        <v>3.2279907425805489E-12</v>
      </c>
      <c r="CW162" s="20">
        <f t="shared" si="174"/>
        <v>6.0359926417012276E-12</v>
      </c>
      <c r="CX162" s="59">
        <f t="shared" si="122"/>
        <v>293.33333333333934</v>
      </c>
      <c r="CY162" s="59">
        <f ca="1">AVERAGE(OFFSET($CX$3,0,0,'Données projet'!$E$13+1,1))-AVERAGE(OFFSET($H$3,0,0,'Données projet'!$E$13+1,1))</f>
        <v>260.65406541614402</v>
      </c>
      <c r="CZ162" s="59">
        <f t="shared" si="150"/>
        <v>277.63456890196886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4.5937386591144289</v>
      </c>
      <c r="DG162" s="21">
        <f>EXP(-LN(2)/25)*DG161+(1-EXP(-LN(2)/25))/(LN(2)/25)*Calculateur!DB162*Calculateur!DD162*VLOOKUP('Données projet'!$B$13,Paramètres!$A$1:$I$89,3,0)*0.475*44/12</f>
        <v>7.3132475354175526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11.906986194531981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2.2737367544323206E-13</v>
      </c>
      <c r="DP162" s="17">
        <f>DO162*VLOOKUP('Données projet'!$B$14,Paramètres!$A$1:$I$89,3,0)*VLOOKUP('Données projet'!$B$14,Paramètres!$A$1:$I$89,5,0)</f>
        <v>1.4897523215040565E-13</v>
      </c>
      <c r="DQ162" s="13">
        <f t="shared" si="176"/>
        <v>2.136562777003313E-12</v>
      </c>
      <c r="DR162" s="20">
        <f t="shared" si="177"/>
        <v>3.9806453659427267E-12</v>
      </c>
      <c r="DS162" s="59">
        <f t="shared" si="125"/>
        <v>293.33333333333729</v>
      </c>
      <c r="DT162" s="59">
        <f ca="1">AVERAGE(OFFSET($DS$3,0,0,'Données projet'!$E$14+1,1))-AVERAGE(OFFSET($H$3,0,0,'Données projet'!$E$14+1,1))</f>
        <v>181.4272795535777</v>
      </c>
      <c r="DU162" s="59">
        <f t="shared" si="152"/>
        <v>187.67131775419904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4.3109110279426055</v>
      </c>
      <c r="EB162" s="21">
        <f>EXP(-LN(2)/25)*EB161+(1-EXP(-LN(2)/25))/(LN(2)/25)*Calculateur!DW162*Calculateur!DY162*VLOOKUP('Données projet'!$B$14,Paramètres!$A$1:$I$89,3,0)*0.475*44/12</f>
        <v>2.6635208727154609</v>
      </c>
      <c r="EC162" s="21">
        <f>EXP(-LN(2)/2)*EC161+(1-EXP(-LN(2)/2))/(LN(2)/2)*DW162*DZ162*VLOOKUP('Données projet'!$B$14,Paramètres!$A$1:$I$89,3,0)*0.475*44/12</f>
        <v>1.0327595289781942E-9</v>
      </c>
      <c r="ED162" s="22">
        <f t="shared" si="178"/>
        <v>6.9744319016908261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9.2222762759774927E-14</v>
      </c>
      <c r="EL162" s="13">
        <f t="shared" si="179"/>
        <v>1.3985662224947967E-12</v>
      </c>
      <c r="EM162" s="20">
        <f t="shared" si="180"/>
        <v>2.5964574826517121E-12</v>
      </c>
      <c r="EN162" s="59">
        <f t="shared" si="128"/>
        <v>293.33333333333593</v>
      </c>
      <c r="EO162" s="59">
        <f ca="1">AVERAGE(OFFSET($EN$3,0,0,'Données projet'!$E$15+1,1))-AVERAGE(OFFSET($H$3,0,0,'Données projet'!$E$15+1,1))</f>
        <v>159.68591355116837</v>
      </c>
      <c r="EP162" s="59">
        <f t="shared" si="154"/>
        <v>284.32631786390112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1.3815574082469915</v>
      </c>
      <c r="EW162" s="21">
        <f>EXP(-LN(2)/25)*EW161+(1-EXP(-LN(2)/25))/(LN(2)/25)*Calculateur!ER162*Calculateur!ET162*VLOOKUP('Données projet'!$B$15,Paramètres!$A$1:$I$89,3,0)*0.475*44/12</f>
        <v>0.713025292622531</v>
      </c>
      <c r="EX162" s="21">
        <f>EXP(-LN(2)/2)*EX161+(1-EXP(-LN(2)/2))/(LN(2)/2)*ER162*EU162*VLOOKUP('Données projet'!$B$15,Paramètres!$A$1:$I$89,3,0)*0.475*44/12</f>
        <v>3.5795795109177816E-17</v>
      </c>
      <c r="EY162" s="22">
        <f t="shared" si="181"/>
        <v>2.0945827008695224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-1.3567387213697657E-13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299.10536994156814</v>
      </c>
      <c r="FK162" s="59">
        <f t="shared" si="156"/>
        <v>292.57799203101769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8.4978120692777868</v>
      </c>
      <c r="FR162" s="21">
        <f>EXP(-LN(2)/25)*FR161+(1-EXP(-LN(2)/25))/(LN(2)/25)*Calculateur!FM162*Calculateur!FO162*VLOOKUP('Données projet'!$B$16,Paramètres!$A$1:$I$89,3,0)*0.475*44/12</f>
        <v>4.7393897186251932</v>
      </c>
      <c r="FS162" s="21">
        <f>EXP(-LN(2)/2)*FS161+(1-EXP(-LN(2)/2))/(LN(2)/2)*FM162*FP162*VLOOKUP('Données projet'!$B$16,Paramètres!$A$1:$I$89,3,0)*0.475*44/12</f>
        <v>6.6857620889368812E-11</v>
      </c>
      <c r="FT162" s="22">
        <f t="shared" si="184"/>
        <v>13.237201787969836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5.6843418860808015E-14</v>
      </c>
      <c r="GA162" s="17">
        <f>FZ162*VLOOKUP('Données projet'!$B$17,Paramètres!$A$1:$I$89,3,0)*VLOOKUP('Données projet'!$B$17,Paramètres!$A$1:$I$89,5,0)</f>
        <v>5.1431925385259088E-14</v>
      </c>
      <c r="GB162" s="13">
        <f t="shared" si="185"/>
        <v>8.3482866290946129E-13</v>
      </c>
      <c r="GC162" s="20">
        <f t="shared" si="186"/>
        <v>1.5435705246133045E-12</v>
      </c>
      <c r="GD162" s="59">
        <f t="shared" si="134"/>
        <v>293.33333333333485</v>
      </c>
      <c r="GE162" s="59">
        <f ca="1">AVERAGE(OFFSET($GD$3,0,0,'Données projet'!$E$17+1,1))-AVERAGE(OFFSET($H$3,0,0,'Données projet'!$E$17+1,1))</f>
        <v>204.78565758021779</v>
      </c>
      <c r="GF162" s="59">
        <f t="shared" si="158"/>
        <v>287.25131613242439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1.6326185655117189</v>
      </c>
      <c r="GM162" s="21">
        <f>EXP(-LN(2)/25)*GM161+(1-EXP(-LN(2)/25))/(LN(2)/25)*Calculateur!GH162*Calculateur!GJ162*VLOOKUP('Données projet'!$B$17,Paramètres!$A$1:$I$89,3,0)*0.475*44/12</f>
        <v>0.56032009622018375</v>
      </c>
      <c r="GN162" s="21">
        <f>EXP(-LN(2)/2)*GN161+(1-EXP(-LN(2)/2))/(LN(2)/2)*GH162*GK162*VLOOKUP('Données projet'!$B$17,Paramètres!$A$1:$I$89,3,0)*0.475*44/12</f>
        <v>9.5691436607039625E-17</v>
      </c>
      <c r="GO162" s="21">
        <f t="shared" si="187"/>
        <v>2.1929386617319029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5.6843418860808015E-14</v>
      </c>
      <c r="GV162" s="17">
        <f>GU162*VLOOKUP('Données projet'!$B$18,Paramètres!$A$1:$I$89,3,0)*VLOOKUP('Données projet'!$B$18,Paramètres!$A$1:$I$89,5,0)</f>
        <v>4.4337866711430253E-14</v>
      </c>
      <c r="GW162" s="13">
        <f t="shared" si="188"/>
        <v>7.3222115536967035E-13</v>
      </c>
      <c r="GX162" s="20">
        <f t="shared" si="189"/>
        <v>1.3525069634579169E-12</v>
      </c>
      <c r="GY162" s="59">
        <f t="shared" si="137"/>
        <v>293.33333333333468</v>
      </c>
      <c r="GZ162" s="59">
        <f ca="1">AVERAGE(OFFSET($GY$3,0,0,'Données projet'!$E$18+1,1))-AVERAGE(OFFSET($H$3,0,0,'Données projet'!$E$18+1,1))</f>
        <v>288.82868507674738</v>
      </c>
      <c r="HA162" s="59">
        <f t="shared" si="160"/>
        <v>283.48738729114024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7.2339746564928671</v>
      </c>
      <c r="HH162" s="21">
        <f>EXP(-LN(2)/25)*HH161+(1-EXP(-LN(2)/25))/(LN(2)/25)*Calculateur!HC162*Calculateur!HE162*VLOOKUP('Données projet'!$B$18,Paramètres!$A$1:$I$89,3,0)*0.475*44/12</f>
        <v>3.4913504654705156</v>
      </c>
      <c r="HI162" s="21">
        <f>EXP(-LN(2)/2)*HI161+(1-EXP(-LN(2)/2))/(LN(2)/2)*HC162*HF162*VLOOKUP('Données projet'!$B$18,Paramètres!$A$1:$I$89,3,0)*0.475*44/12</f>
        <v>1.7267899935769572E-12</v>
      </c>
      <c r="HJ162" s="22">
        <f t="shared" si="190"/>
        <v>10.72532512196511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349.71285006949597</v>
      </c>
      <c r="T163" s="59">
        <f t="shared" si="142"/>
        <v>258.51550516456842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31.432681210957366</v>
      </c>
      <c r="AA163" s="21">
        <f>EXP(-LN(2)/25)*AA162+(1-EXP(-LN(2)/25))/(LN(2)/25)*Calculateur!V163*Calculateur!X163*VLOOKUP('Données projet'!$B$9,Paramètres!$A$1:$I$89,3,0)*0.475*44/12</f>
        <v>5.6307616086939909</v>
      </c>
      <c r="AB163" s="21">
        <f>EXP(-LN(2)/2)*AB162+(1-EXP(-LN(2)/2))/(LN(2)/2)*V163*Y163*VLOOKUP('Données projet'!$B$9,Paramètres!$A$1:$I$89,3,0)*0.475*44/12</f>
        <v>6.4316411954868005E-11</v>
      </c>
      <c r="AC163" s="22">
        <f t="shared" si="163"/>
        <v>37.063442819715675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2.5579538487363607E-13</v>
      </c>
      <c r="AJ163" s="13">
        <f>AI163*VLOOKUP('Données projet'!$B$10,Paramètres!$A$1:$I$89,3,0)*VLOOKUP('Données projet'!$B$10,Paramètres!$A$1:$I$89,5,0)</f>
        <v>2.4341488824575211E-13</v>
      </c>
      <c r="AK163" s="13">
        <f t="shared" si="164"/>
        <v>3.2970717324875541E-12</v>
      </c>
      <c r="AL163" s="20">
        <f t="shared" si="165"/>
        <v>6.1663475311105072E-12</v>
      </c>
      <c r="AM163" s="59">
        <f t="shared" si="113"/>
        <v>293.33333333333945</v>
      </c>
      <c r="AN163" s="59">
        <f ca="1">AVERAGE(OFFSET($AM$3,0,0,'Données projet'!$E$10+1,1))-AVERAGE(OFFSET($H$3,0,0,'Données projet'!$E$10+1,1))</f>
        <v>449.28947235329758</v>
      </c>
      <c r="AO163" s="59">
        <f t="shared" si="144"/>
        <v>289.36994109443964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65.588275561485048</v>
      </c>
      <c r="AV163" s="21">
        <f>EXP(-LN(2)/25)*AV162+(1-EXP(-LN(2)/25))/(LN(2)/25)*Calculateur!AQ163*Calculateur!AS163*VLOOKUP('Données projet'!$B$10,Paramètres!$A$1:$I$89,3,0)*0.475*44/12</f>
        <v>10.776837153171911</v>
      </c>
      <c r="AW163" s="21">
        <f>EXP(-LN(2)/2)*AW162+(1-EXP(-LN(2)/2))/(LN(2)/2)*AQ163*AT163*VLOOKUP('Données projet'!$B$10,Paramètres!$A$1:$I$89,3,0)*0.475*44/12</f>
        <v>2.1854992595970191E-4</v>
      </c>
      <c r="AX163" s="21">
        <f t="shared" si="166"/>
        <v>76.36533126458292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490.73456640000109</v>
      </c>
      <c r="BF163" s="13">
        <f t="shared" si="167"/>
        <v>109.94719771775897</v>
      </c>
      <c r="BG163" s="20">
        <f t="shared" si="168"/>
        <v>1046.1874058384321</v>
      </c>
      <c r="BH163" s="59">
        <f t="shared" si="116"/>
        <v>1339.5207391717654</v>
      </c>
      <c r="BI163" s="59">
        <f ca="1">AVERAGE(OFFSET($BH$3,0,0,'Données projet'!$E$11+1,1))-AVERAGE(OFFSET($H$3,0,0,'Données projet'!$E$11+1,1))</f>
        <v>635.71275911100679</v>
      </c>
      <c r="BJ163" s="59">
        <f t="shared" si="146"/>
        <v>281.7776857269169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48.077046392201581</v>
      </c>
      <c r="BQ163" s="21">
        <f>EXP(-LN(2)/25)*BQ162+(1-EXP(-LN(2)/25))/(LN(2)/25)*Calculateur!BL163*Calculateur!BN163*VLOOKUP('Données projet'!$B$11,Paramètres!$A$1:$I$89,3,0)*0.475*44/12</f>
        <v>19.386507375884602</v>
      </c>
      <c r="BR163" s="21">
        <f>EXP(-LN(2)/2)*BR162+(1-EXP(-LN(2)/2))/(LN(2)/2)*BL163*BO163*VLOOKUP('Données projet'!$B$11,Paramètres!$A$1:$I$89,3,0)*0.475*44/12</f>
        <v>1.9477769231890232E-5</v>
      </c>
      <c r="BS163" s="22">
        <f t="shared" si="169"/>
        <v>67.463573245855414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7.6783333333333319</v>
      </c>
      <c r="BY163" s="12">
        <f>IF('Données projet'!$A$114&gt;35,BY162+BX163-CG162,IF(A163&lt;'Données projet'!$A$114,$BV$205^A163,IF(A163='Données projet'!$A$114,'Données projet'!$B$114,BY162+BX163-CG162)))</f>
        <v>374.22333333333296</v>
      </c>
      <c r="BZ163" s="13">
        <f>BY163*VLOOKUP('Données projet'!$B$12,Paramètres!$A$1:$I$89,3,0)*VLOOKUP('Données projet'!$B$12,Paramètres!$A$1:$I$89,5,0)</f>
        <v>426.16553199999959</v>
      </c>
      <c r="CA163" s="13">
        <f t="shared" si="170"/>
        <v>97.061605249450551</v>
      </c>
      <c r="CB163" s="20">
        <f t="shared" si="171"/>
        <v>911.28726404279223</v>
      </c>
      <c r="CC163" s="59">
        <f t="shared" si="119"/>
        <v>1204.6205973761255</v>
      </c>
      <c r="CD163" s="59">
        <f ca="1">AVERAGE(OFFSET($CC$3,0,0,'Données projet'!$E$12+1,1))-AVERAGE(OFFSET($H$3,0,0,'Données projet'!$E$12+1,1))</f>
        <v>593.28343396240075</v>
      </c>
      <c r="CE163" s="59">
        <f t="shared" si="148"/>
        <v>289.66477662068695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43.650873028039207</v>
      </c>
      <c r="CL163" s="21">
        <f>EXP(-LN(2)/25)*CL162+(1-EXP(-LN(2)/25))/(LN(2)/25)*Calculateur!CG163*Calculateur!CI163*VLOOKUP('Données projet'!$B$12,Paramètres!$A$1:$I$89,3,0)*0.475*44/12</f>
        <v>22.980028978645652</v>
      </c>
      <c r="CM163" s="21">
        <f>EXP(-LN(2)/2)*CM162+(1-EXP(-LN(2)/2))/(LN(2)/2)*CG163*CJ163*VLOOKUP('Données projet'!$B$12,Paramètres!$A$1:$I$89,3,0)*0.475*44/12</f>
        <v>2.5911227455865857E-2</v>
      </c>
      <c r="CN163" s="22">
        <f t="shared" si="172"/>
        <v>66.656813234140728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2.2737367544323206E-13</v>
      </c>
      <c r="CU163" s="17">
        <f>CT163*VLOOKUP('Données projet'!$B$13,Paramètres!$A$1:$I$89,3,0)*VLOOKUP('Données projet'!$B$13,Paramètres!$A$1:$I$89,5,0)</f>
        <v>2.3765096557326618E-13</v>
      </c>
      <c r="CV163" s="13">
        <f t="shared" si="173"/>
        <v>3.2279907425805489E-12</v>
      </c>
      <c r="CW163" s="20">
        <f t="shared" si="174"/>
        <v>6.0359926417012276E-12</v>
      </c>
      <c r="CX163" s="59">
        <f t="shared" si="122"/>
        <v>293.33333333333934</v>
      </c>
      <c r="CY163" s="59">
        <f ca="1">AVERAGE(OFFSET($CX$3,0,0,'Données projet'!$E$13+1,1))-AVERAGE(OFFSET($H$3,0,0,'Données projet'!$E$13+1,1))</f>
        <v>260.65406541614402</v>
      </c>
      <c r="CZ163" s="59">
        <f t="shared" si="150"/>
        <v>277.63456890196886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4.5036582459131118</v>
      </c>
      <c r="DG163" s="21">
        <f>EXP(-LN(2)/25)*DG162+(1-EXP(-LN(2)/25))/(LN(2)/25)*Calculateur!DB163*Calculateur!DD163*VLOOKUP('Données projet'!$B$13,Paramètres!$A$1:$I$89,3,0)*0.475*44/12</f>
        <v>7.113266396974586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11.616924642887698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2.2737367544323206E-13</v>
      </c>
      <c r="DP163" s="17">
        <f>DO163*VLOOKUP('Données projet'!$B$14,Paramètres!$A$1:$I$89,3,0)*VLOOKUP('Données projet'!$B$14,Paramètres!$A$1:$I$89,5,0)</f>
        <v>1.4897523215040565E-13</v>
      </c>
      <c r="DQ163" s="13">
        <f t="shared" si="176"/>
        <v>2.136562777003313E-12</v>
      </c>
      <c r="DR163" s="20">
        <f t="shared" si="177"/>
        <v>3.9806453659427267E-12</v>
      </c>
      <c r="DS163" s="59">
        <f t="shared" si="125"/>
        <v>293.33333333333729</v>
      </c>
      <c r="DT163" s="59">
        <f ca="1">AVERAGE(OFFSET($DS$3,0,0,'Données projet'!$E$14+1,1))-AVERAGE(OFFSET($H$3,0,0,'Données projet'!$E$14+1,1))</f>
        <v>181.4272795535777</v>
      </c>
      <c r="DU163" s="59">
        <f t="shared" si="152"/>
        <v>187.67131775419904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4.2263766920807466</v>
      </c>
      <c r="EB163" s="21">
        <f>EXP(-LN(2)/25)*EB162+(1-EXP(-LN(2)/25))/(LN(2)/25)*Calculateur!DW163*Calculateur!DY163*VLOOKUP('Données projet'!$B$14,Paramètres!$A$1:$I$89,3,0)*0.475*44/12</f>
        <v>2.5906867543825816</v>
      </c>
      <c r="EC163" s="21">
        <f>EXP(-LN(2)/2)*EC162+(1-EXP(-LN(2)/2))/(LN(2)/2)*DW163*DZ163*VLOOKUP('Données projet'!$B$14,Paramètres!$A$1:$I$89,3,0)*0.475*44/12</f>
        <v>7.3027126627550584E-10</v>
      </c>
      <c r="ED163" s="22">
        <f t="shared" si="178"/>
        <v>6.8170634471935987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9.2222762759774927E-14</v>
      </c>
      <c r="EL163" s="13">
        <f t="shared" si="179"/>
        <v>1.3985662224947967E-12</v>
      </c>
      <c r="EM163" s="20">
        <f t="shared" si="180"/>
        <v>2.5964574826517121E-12</v>
      </c>
      <c r="EN163" s="59">
        <f t="shared" si="128"/>
        <v>293.33333333333593</v>
      </c>
      <c r="EO163" s="59">
        <f ca="1">AVERAGE(OFFSET($EN$3,0,0,'Données projet'!$E$15+1,1))-AVERAGE(OFFSET($H$3,0,0,'Données projet'!$E$15+1,1))</f>
        <v>159.68591355116837</v>
      </c>
      <c r="EP163" s="59">
        <f t="shared" si="154"/>
        <v>284.32631786390112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1.3544659101380805</v>
      </c>
      <c r="EW163" s="21">
        <f>EXP(-LN(2)/25)*EW162+(1-EXP(-LN(2)/25))/(LN(2)/25)*Calculateur!ER163*Calculateur!ET163*VLOOKUP('Données projet'!$B$15,Paramètres!$A$1:$I$89,3,0)*0.475*44/12</f>
        <v>0.69352757849939739</v>
      </c>
      <c r="EX163" s="21">
        <f>EXP(-LN(2)/2)*EX162+(1-EXP(-LN(2)/2))/(LN(2)/2)*ER163*EU163*VLOOKUP('Données projet'!$B$15,Paramètres!$A$1:$I$89,3,0)*0.475*44/12</f>
        <v>2.5311449459663886E-17</v>
      </c>
      <c r="EY163" s="22">
        <f t="shared" si="181"/>
        <v>2.047993488637478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-1.3567387213697657E-13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299.10536994156814</v>
      </c>
      <c r="FK163" s="59">
        <f t="shared" si="156"/>
        <v>292.57799203101769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8.331175157752817</v>
      </c>
      <c r="FR163" s="21">
        <f>EXP(-LN(2)/25)*FR162+(1-EXP(-LN(2)/25))/(LN(2)/25)*Calculateur!FM163*Calculateur!FO163*VLOOKUP('Données projet'!$B$16,Paramètres!$A$1:$I$89,3,0)*0.475*44/12</f>
        <v>4.6097908575357138</v>
      </c>
      <c r="FS163" s="21">
        <f>EXP(-LN(2)/2)*FS162+(1-EXP(-LN(2)/2))/(LN(2)/2)*FM163*FP163*VLOOKUP('Données projet'!$B$16,Paramètres!$A$1:$I$89,3,0)*0.475*44/12</f>
        <v>4.7275477104872062E-11</v>
      </c>
      <c r="FT163" s="22">
        <f t="shared" si="184"/>
        <v>12.940966015335807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5.6843418860808015E-14</v>
      </c>
      <c r="GA163" s="17">
        <f>FZ163*VLOOKUP('Données projet'!$B$17,Paramètres!$A$1:$I$89,3,0)*VLOOKUP('Données projet'!$B$17,Paramètres!$A$1:$I$89,5,0)</f>
        <v>5.1431925385259088E-14</v>
      </c>
      <c r="GB163" s="13">
        <f t="shared" si="185"/>
        <v>8.3482866290946129E-13</v>
      </c>
      <c r="GC163" s="20">
        <f t="shared" si="186"/>
        <v>1.5435705246133045E-12</v>
      </c>
      <c r="GD163" s="59">
        <f t="shared" si="134"/>
        <v>293.33333333333485</v>
      </c>
      <c r="GE163" s="59">
        <f ca="1">AVERAGE(OFFSET($GD$3,0,0,'Données projet'!$E$17+1,1))-AVERAGE(OFFSET($H$3,0,0,'Données projet'!$E$17+1,1))</f>
        <v>204.78565758021779</v>
      </c>
      <c r="GF163" s="59">
        <f t="shared" si="158"/>
        <v>287.25131613242439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1.6006039112410322</v>
      </c>
      <c r="GM163" s="21">
        <f>EXP(-LN(2)/25)*GM162+(1-EXP(-LN(2)/25))/(LN(2)/25)*Calculateur!GH163*Calculateur!GJ163*VLOOKUP('Données projet'!$B$17,Paramètres!$A$1:$I$89,3,0)*0.475*44/12</f>
        <v>0.54499811372308959</v>
      </c>
      <c r="GN163" s="21">
        <f>EXP(-LN(2)/2)*GN162+(1-EXP(-LN(2)/2))/(LN(2)/2)*GH163*GK163*VLOOKUP('Données projet'!$B$17,Paramètres!$A$1:$I$89,3,0)*0.475*44/12</f>
        <v>6.766406372632035E-17</v>
      </c>
      <c r="GO163" s="21">
        <f t="shared" si="187"/>
        <v>2.1456020249641217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5.6843418860808015E-14</v>
      </c>
      <c r="GV163" s="17">
        <f>GU163*VLOOKUP('Données projet'!$B$18,Paramètres!$A$1:$I$89,3,0)*VLOOKUP('Données projet'!$B$18,Paramètres!$A$1:$I$89,5,0)</f>
        <v>4.4337866711430253E-14</v>
      </c>
      <c r="GW163" s="13">
        <f t="shared" si="188"/>
        <v>7.3222115536967035E-13</v>
      </c>
      <c r="GX163" s="20">
        <f t="shared" si="189"/>
        <v>1.3525069634579169E-12</v>
      </c>
      <c r="GY163" s="59">
        <f t="shared" si="137"/>
        <v>293.33333333333468</v>
      </c>
      <c r="GZ163" s="59">
        <f ca="1">AVERAGE(OFFSET($GY$3,0,0,'Données projet'!$E$18+1,1))-AVERAGE(OFFSET($H$3,0,0,'Données projet'!$E$18+1,1))</f>
        <v>288.82868507674738</v>
      </c>
      <c r="HA163" s="59">
        <f t="shared" si="160"/>
        <v>283.48738729114024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7.0921208257679051</v>
      </c>
      <c r="HH163" s="21">
        <f>EXP(-LN(2)/25)*HH162+(1-EXP(-LN(2)/25))/(LN(2)/25)*Calculateur!HC163*Calculateur!HE163*VLOOKUP('Données projet'!$B$18,Paramètres!$A$1:$I$89,3,0)*0.475*44/12</f>
        <v>3.3958793033900831</v>
      </c>
      <c r="HI163" s="21">
        <f>EXP(-LN(2)/2)*HI162+(1-EXP(-LN(2)/2))/(LN(2)/2)*HC163*HF163*VLOOKUP('Données projet'!$B$18,Paramètres!$A$1:$I$89,3,0)*0.475*44/12</f>
        <v>1.2210249141433413E-12</v>
      </c>
      <c r="HJ163" s="22">
        <f t="shared" si="190"/>
        <v>10.488000129159209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349.71285006949597</v>
      </c>
      <c r="T164" s="59">
        <f t="shared" si="142"/>
        <v>258.51550516456842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30.816305504452949</v>
      </c>
      <c r="AA164" s="21">
        <f>EXP(-LN(2)/25)*AA163+(1-EXP(-LN(2)/25))/(LN(2)/25)*Calculateur!V164*Calculateur!X164*VLOOKUP('Données projet'!$B$9,Paramètres!$A$1:$I$89,3,0)*0.475*44/12</f>
        <v>5.4767881363953697</v>
      </c>
      <c r="AB164" s="21">
        <f>EXP(-LN(2)/2)*AB163+(1-EXP(-LN(2)/2))/(LN(2)/2)*V164*Y164*VLOOKUP('Données projet'!$B$9,Paramètres!$A$1:$I$89,3,0)*0.475*44/12</f>
        <v>4.54785710348747E-11</v>
      </c>
      <c r="AC164" s="22">
        <f t="shared" si="163"/>
        <v>36.293093640893801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2.5579538487363607E-13</v>
      </c>
      <c r="AJ164" s="13">
        <f>AI164*VLOOKUP('Données projet'!$B$10,Paramètres!$A$1:$I$89,3,0)*VLOOKUP('Données projet'!$B$10,Paramètres!$A$1:$I$89,5,0)</f>
        <v>2.4341488824575211E-13</v>
      </c>
      <c r="AK164" s="13">
        <f t="shared" si="164"/>
        <v>3.2970717324875541E-12</v>
      </c>
      <c r="AL164" s="20">
        <f t="shared" si="165"/>
        <v>6.1663475311105072E-12</v>
      </c>
      <c r="AM164" s="59">
        <f t="shared" si="113"/>
        <v>293.33333333333945</v>
      </c>
      <c r="AN164" s="59">
        <f ca="1">AVERAGE(OFFSET($AM$3,0,0,'Données projet'!$E$10+1,1))-AVERAGE(OFFSET($H$3,0,0,'Données projet'!$E$10+1,1))</f>
        <v>449.28947235329758</v>
      </c>
      <c r="AO164" s="59">
        <f t="shared" si="144"/>
        <v>289.36994109443964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64.302129482622263</v>
      </c>
      <c r="AV164" s="21">
        <f>EXP(-LN(2)/25)*AV163+(1-EXP(-LN(2)/25))/(LN(2)/25)*Calculateur!AQ164*Calculateur!AS164*VLOOKUP('Données projet'!$B$10,Paramètres!$A$1:$I$89,3,0)*0.475*44/12</f>
        <v>10.48214397448919</v>
      </c>
      <c r="AW164" s="21">
        <f>EXP(-LN(2)/2)*AW163+(1-EXP(-LN(2)/2))/(LN(2)/2)*AQ164*AT164*VLOOKUP('Données projet'!$B$10,Paramètres!$A$1:$I$89,3,0)*0.475*44/12</f>
        <v>1.545381346739231E-4</v>
      </c>
      <c r="AX164" s="21">
        <f t="shared" si="166"/>
        <v>74.784427995246133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499.31930880000107</v>
      </c>
      <c r="BF164" s="13">
        <f t="shared" si="167"/>
        <v>111.64497591125094</v>
      </c>
      <c r="BG164" s="20">
        <f t="shared" si="168"/>
        <v>1064.0961292054305</v>
      </c>
      <c r="BH164" s="59">
        <f t="shared" si="116"/>
        <v>1357.4294625387638</v>
      </c>
      <c r="BI164" s="59">
        <f ca="1">AVERAGE(OFFSET($BH$3,0,0,'Données projet'!$E$11+1,1))-AVERAGE(OFFSET($H$3,0,0,'Données projet'!$E$11+1,1))</f>
        <v>635.71275911100679</v>
      </c>
      <c r="BJ164" s="59">
        <f t="shared" si="146"/>
        <v>281.7776857269169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47.134284836553292</v>
      </c>
      <c r="BQ164" s="21">
        <f>EXP(-LN(2)/25)*BQ163+(1-EXP(-LN(2)/25))/(LN(2)/25)*Calculateur!BL164*Calculateur!BN164*VLOOKUP('Données projet'!$B$11,Paramètres!$A$1:$I$89,3,0)*0.475*44/12</f>
        <v>18.856382312198924</v>
      </c>
      <c r="BR164" s="21">
        <f>EXP(-LN(2)/2)*BR163+(1-EXP(-LN(2)/2))/(LN(2)/2)*BL164*BO164*VLOOKUP('Données projet'!$B$11,Paramètres!$A$1:$I$89,3,0)*0.475*44/12</f>
        <v>1.3772862706256274E-5</v>
      </c>
      <c r="BS164" s="22">
        <f t="shared" si="169"/>
        <v>65.99068092161491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7.6783333333333319</v>
      </c>
      <c r="BY164" s="12">
        <f>IF('Données projet'!$A$114&gt;35,BY163+BX164-CG163,IF(A164&lt;'Données projet'!$A$114,$BV$205^A164,IF(A164='Données projet'!$A$114,'Données projet'!$B$114,BY163+BX164-CG163)))</f>
        <v>381.9016666666663</v>
      </c>
      <c r="BZ164" s="13">
        <f>BY164*VLOOKUP('Données projet'!$B$12,Paramètres!$A$1:$I$89,3,0)*VLOOKUP('Données projet'!$B$12,Paramètres!$A$1:$I$89,5,0)</f>
        <v>434.90961799999963</v>
      </c>
      <c r="CA164" s="13">
        <f t="shared" si="170"/>
        <v>98.819222372764287</v>
      </c>
      <c r="CB164" s="20">
        <f t="shared" si="171"/>
        <v>929.57773031589704</v>
      </c>
      <c r="CC164" s="59">
        <f t="shared" si="119"/>
        <v>1222.9110636492303</v>
      </c>
      <c r="CD164" s="59">
        <f ca="1">AVERAGE(OFFSET($CC$3,0,0,'Données projet'!$E$12+1,1))-AVERAGE(OFFSET($H$3,0,0,'Données projet'!$E$12+1,1))</f>
        <v>593.28343396240075</v>
      </c>
      <c r="CE164" s="59">
        <f t="shared" si="148"/>
        <v>289.66477662068695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42.794906032362967</v>
      </c>
      <c r="CL164" s="21">
        <f>EXP(-LN(2)/25)*CL163+(1-EXP(-LN(2)/25))/(LN(2)/25)*Calculateur!CG164*Calculateur!CI164*VLOOKUP('Données projet'!$B$12,Paramètres!$A$1:$I$89,3,0)*0.475*44/12</f>
        <v>22.351638877757384</v>
      </c>
      <c r="CM164" s="21">
        <f>EXP(-LN(2)/2)*CM163+(1-EXP(-LN(2)/2))/(LN(2)/2)*CG164*CJ164*VLOOKUP('Données projet'!$B$12,Paramètres!$A$1:$I$89,3,0)*0.475*44/12</f>
        <v>1.8322004642909801E-2</v>
      </c>
      <c r="CN164" s="22">
        <f t="shared" si="172"/>
        <v>65.164866914763266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2.2737367544323206E-13</v>
      </c>
      <c r="CU164" s="17">
        <f>CT164*VLOOKUP('Données projet'!$B$13,Paramètres!$A$1:$I$89,3,0)*VLOOKUP('Données projet'!$B$13,Paramètres!$A$1:$I$89,5,0)</f>
        <v>2.3765096557326618E-13</v>
      </c>
      <c r="CV164" s="13">
        <f t="shared" si="173"/>
        <v>3.2279907425805489E-12</v>
      </c>
      <c r="CW164" s="20">
        <f t="shared" si="174"/>
        <v>6.0359926417012276E-12</v>
      </c>
      <c r="CX164" s="59">
        <f t="shared" si="122"/>
        <v>293.33333333333934</v>
      </c>
      <c r="CY164" s="59">
        <f ca="1">AVERAGE(OFFSET($CX$3,0,0,'Données projet'!$E$13+1,1))-AVERAGE(OFFSET($H$3,0,0,'Données projet'!$E$13+1,1))</f>
        <v>260.65406541614402</v>
      </c>
      <c r="CZ164" s="59">
        <f t="shared" si="150"/>
        <v>277.63456890196886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4.4153442546710462</v>
      </c>
      <c r="DG164" s="21">
        <f>EXP(-LN(2)/25)*DG163+(1-EXP(-LN(2)/25))/(LN(2)/25)*Calculateur!DB164*Calculateur!DD164*VLOOKUP('Données projet'!$B$13,Paramètres!$A$1:$I$89,3,0)*0.475*44/12</f>
        <v>6.9187537532788941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11.33409800794994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2.2737367544323206E-13</v>
      </c>
      <c r="DP164" s="17">
        <f>DO164*VLOOKUP('Données projet'!$B$14,Paramètres!$A$1:$I$89,3,0)*VLOOKUP('Données projet'!$B$14,Paramètres!$A$1:$I$89,5,0)</f>
        <v>1.4897523215040565E-13</v>
      </c>
      <c r="DQ164" s="13">
        <f t="shared" si="176"/>
        <v>2.136562777003313E-12</v>
      </c>
      <c r="DR164" s="20">
        <f t="shared" si="177"/>
        <v>3.9806453659427267E-12</v>
      </c>
      <c r="DS164" s="59">
        <f t="shared" si="125"/>
        <v>293.33333333333729</v>
      </c>
      <c r="DT164" s="59">
        <f ca="1">AVERAGE(OFFSET($DS$3,0,0,'Données projet'!$E$14+1,1))-AVERAGE(OFFSET($H$3,0,0,'Données projet'!$E$14+1,1))</f>
        <v>181.4272795535777</v>
      </c>
      <c r="DU164" s="59">
        <f t="shared" si="152"/>
        <v>187.67131775419904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4.1435000229842851</v>
      </c>
      <c r="EB164" s="21">
        <f>EXP(-LN(2)/25)*EB163+(1-EXP(-LN(2)/25))/(LN(2)/25)*Calculateur!DW164*Calculateur!DY164*VLOOKUP('Données projet'!$B$14,Paramètres!$A$1:$I$89,3,0)*0.475*44/12</f>
        <v>2.5198442888456944</v>
      </c>
      <c r="EC164" s="21">
        <f>EXP(-LN(2)/2)*EC163+(1-EXP(-LN(2)/2))/(LN(2)/2)*DW164*DZ164*VLOOKUP('Données projet'!$B$14,Paramètres!$A$1:$I$89,3,0)*0.475*44/12</f>
        <v>5.1637976448909708E-10</v>
      </c>
      <c r="ED164" s="22">
        <f t="shared" si="178"/>
        <v>6.6633443123463589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9.2222762759774927E-14</v>
      </c>
      <c r="EL164" s="13">
        <f t="shared" si="179"/>
        <v>1.3985662224947967E-12</v>
      </c>
      <c r="EM164" s="20">
        <f t="shared" si="180"/>
        <v>2.5964574826517121E-12</v>
      </c>
      <c r="EN164" s="59">
        <f t="shared" si="128"/>
        <v>293.33333333333593</v>
      </c>
      <c r="EO164" s="59">
        <f ca="1">AVERAGE(OFFSET($EN$3,0,0,'Données projet'!$E$15+1,1))-AVERAGE(OFFSET($H$3,0,0,'Données projet'!$E$15+1,1))</f>
        <v>159.68591355116837</v>
      </c>
      <c r="EP164" s="59">
        <f t="shared" si="154"/>
        <v>284.32631786390112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1.3279056597829031</v>
      </c>
      <c r="EW164" s="21">
        <f>EXP(-LN(2)/25)*EW163+(1-EXP(-LN(2)/25))/(LN(2)/25)*Calculateur!ER164*Calculateur!ET164*VLOOKUP('Données projet'!$B$15,Paramètres!$A$1:$I$89,3,0)*0.475*44/12</f>
        <v>0.6745630303943011</v>
      </c>
      <c r="EX164" s="21">
        <f>EXP(-LN(2)/2)*EX163+(1-EXP(-LN(2)/2))/(LN(2)/2)*ER164*EU164*VLOOKUP('Données projet'!$B$15,Paramètres!$A$1:$I$89,3,0)*0.475*44/12</f>
        <v>1.7897897554588908E-17</v>
      </c>
      <c r="EY164" s="22">
        <f t="shared" si="181"/>
        <v>2.0024686901772042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-1.3567387213697657E-13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299.10536994156814</v>
      </c>
      <c r="FK164" s="59">
        <f t="shared" si="156"/>
        <v>292.57799203101769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8.1678058944243723</v>
      </c>
      <c r="FR164" s="21">
        <f>EXP(-LN(2)/25)*FR163+(1-EXP(-LN(2)/25))/(LN(2)/25)*Calculateur!FM164*Calculateur!FO164*VLOOKUP('Données projet'!$B$16,Paramètres!$A$1:$I$89,3,0)*0.475*44/12</f>
        <v>4.4837358841180341</v>
      </c>
      <c r="FS164" s="21">
        <f>EXP(-LN(2)/2)*FS163+(1-EXP(-LN(2)/2))/(LN(2)/2)*FM164*FP164*VLOOKUP('Données projet'!$B$16,Paramètres!$A$1:$I$89,3,0)*0.475*44/12</f>
        <v>3.3428810444684406E-11</v>
      </c>
      <c r="FT164" s="22">
        <f t="shared" si="184"/>
        <v>12.651541778575835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5.6843418860808015E-14</v>
      </c>
      <c r="GA164" s="17">
        <f>FZ164*VLOOKUP('Données projet'!$B$17,Paramètres!$A$1:$I$89,3,0)*VLOOKUP('Données projet'!$B$17,Paramètres!$A$1:$I$89,5,0)</f>
        <v>5.1431925385259088E-14</v>
      </c>
      <c r="GB164" s="13">
        <f t="shared" si="185"/>
        <v>8.3482866290946129E-13</v>
      </c>
      <c r="GC164" s="20">
        <f t="shared" si="186"/>
        <v>1.5435705246133045E-12</v>
      </c>
      <c r="GD164" s="59">
        <f t="shared" si="134"/>
        <v>293.33333333333485</v>
      </c>
      <c r="GE164" s="59">
        <f ca="1">AVERAGE(OFFSET($GD$3,0,0,'Données projet'!$E$17+1,1))-AVERAGE(OFFSET($H$3,0,0,'Données projet'!$E$17+1,1))</f>
        <v>204.78565758021779</v>
      </c>
      <c r="GF164" s="59">
        <f t="shared" si="158"/>
        <v>287.25131613242439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1.5692170448135825</v>
      </c>
      <c r="GM164" s="21">
        <f>EXP(-LN(2)/25)*GM163+(1-EXP(-LN(2)/25))/(LN(2)/25)*Calculateur!GH164*Calculateur!GJ164*VLOOKUP('Données projet'!$B$17,Paramètres!$A$1:$I$89,3,0)*0.475*44/12</f>
        <v>0.5300951116431265</v>
      </c>
      <c r="GN164" s="21">
        <f>EXP(-LN(2)/2)*GN163+(1-EXP(-LN(2)/2))/(LN(2)/2)*GH164*GK164*VLOOKUP('Données projet'!$B$17,Paramètres!$A$1:$I$89,3,0)*0.475*44/12</f>
        <v>4.7845718303519812E-17</v>
      </c>
      <c r="GO164" s="21">
        <f t="shared" si="187"/>
        <v>2.0993121564567092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5.6843418860808015E-14</v>
      </c>
      <c r="GV164" s="17">
        <f>GU164*VLOOKUP('Données projet'!$B$18,Paramètres!$A$1:$I$89,3,0)*VLOOKUP('Données projet'!$B$18,Paramètres!$A$1:$I$89,5,0)</f>
        <v>4.4337866711430253E-14</v>
      </c>
      <c r="GW164" s="13">
        <f t="shared" si="188"/>
        <v>7.3222115536967035E-13</v>
      </c>
      <c r="GX164" s="20">
        <f t="shared" si="189"/>
        <v>1.3525069634579169E-12</v>
      </c>
      <c r="GY164" s="59">
        <f t="shared" si="137"/>
        <v>293.33333333333468</v>
      </c>
      <c r="GZ164" s="59">
        <f ca="1">AVERAGE(OFFSET($GY$3,0,0,'Données projet'!$E$18+1,1))-AVERAGE(OFFSET($H$3,0,0,'Données projet'!$E$18+1,1))</f>
        <v>288.82868507674738</v>
      </c>
      <c r="HA164" s="59">
        <f t="shared" si="160"/>
        <v>283.48738729114024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6.9530486621411667</v>
      </c>
      <c r="HH164" s="21">
        <f>EXP(-LN(2)/25)*HH163+(1-EXP(-LN(2)/25))/(LN(2)/25)*Calculateur!HC164*Calculateur!HE164*VLOOKUP('Données projet'!$B$18,Paramètres!$A$1:$I$89,3,0)*0.475*44/12</f>
        <v>3.3030188052573504</v>
      </c>
      <c r="HI164" s="21">
        <f>EXP(-LN(2)/2)*HI163+(1-EXP(-LN(2)/2))/(LN(2)/2)*HC164*HF164*VLOOKUP('Données projet'!$B$18,Paramètres!$A$1:$I$89,3,0)*0.475*44/12</f>
        <v>8.6339499678847862E-13</v>
      </c>
      <c r="HJ164" s="22">
        <f t="shared" si="190"/>
        <v>10.256067467399379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349.71285006949597</v>
      </c>
      <c r="T165" s="59">
        <f t="shared" si="142"/>
        <v>258.51550516456842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30.212016549601024</v>
      </c>
      <c r="AA165" s="21">
        <f>EXP(-LN(2)/25)*AA164+(1-EXP(-LN(2)/25))/(LN(2)/25)*Calculateur!V165*Calculateur!X165*VLOOKUP('Données projet'!$B$9,Paramètres!$A$1:$I$89,3,0)*0.475*44/12</f>
        <v>5.3270250767938672</v>
      </c>
      <c r="AB165" s="21">
        <f>EXP(-LN(2)/2)*AB164+(1-EXP(-LN(2)/2))/(LN(2)/2)*V165*Y165*VLOOKUP('Données projet'!$B$9,Paramètres!$A$1:$I$89,3,0)*0.475*44/12</f>
        <v>3.2158205977434003E-11</v>
      </c>
      <c r="AC165" s="22">
        <f t="shared" si="163"/>
        <v>35.53904162642705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2.5579538487363607E-13</v>
      </c>
      <c r="AJ165" s="13">
        <f>AI165*VLOOKUP('Données projet'!$B$10,Paramètres!$A$1:$I$89,3,0)*VLOOKUP('Données projet'!$B$10,Paramètres!$A$1:$I$89,5,0)</f>
        <v>2.4341488824575211E-13</v>
      </c>
      <c r="AK165" s="13">
        <f t="shared" si="164"/>
        <v>3.2970717324875541E-12</v>
      </c>
      <c r="AL165" s="20">
        <f t="shared" si="165"/>
        <v>6.1663475311105072E-12</v>
      </c>
      <c r="AM165" s="59">
        <f t="shared" si="113"/>
        <v>293.33333333333945</v>
      </c>
      <c r="AN165" s="59">
        <f ca="1">AVERAGE(OFFSET($AM$3,0,0,'Données projet'!$E$10+1,1))-AVERAGE(OFFSET($H$3,0,0,'Données projet'!$E$10+1,1))</f>
        <v>449.28947235329758</v>
      </c>
      <c r="AO165" s="59">
        <f t="shared" si="144"/>
        <v>289.36994109443964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63.041203943894331</v>
      </c>
      <c r="AV165" s="21">
        <f>EXP(-LN(2)/25)*AV164+(1-EXP(-LN(2)/25))/(LN(2)/25)*Calculateur!AQ165*Calculateur!AS165*VLOOKUP('Données projet'!$B$10,Paramètres!$A$1:$I$89,3,0)*0.475*44/12</f>
        <v>10.19550919627479</v>
      </c>
      <c r="AW165" s="21">
        <f>EXP(-LN(2)/2)*AW164+(1-EXP(-LN(2)/2))/(LN(2)/2)*AQ165*AT165*VLOOKUP('Données projet'!$B$10,Paramètres!$A$1:$I$89,3,0)*0.475*44/12</f>
        <v>1.0927496297985096E-4</v>
      </c>
      <c r="AX165" s="21">
        <f t="shared" si="166"/>
        <v>73.236822415132096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507.90405120000116</v>
      </c>
      <c r="BF165" s="13">
        <f t="shared" si="167"/>
        <v>113.33935964263163</v>
      </c>
      <c r="BG165" s="20">
        <f t="shared" si="168"/>
        <v>1081.9989405509189</v>
      </c>
      <c r="BH165" s="59">
        <f t="shared" si="116"/>
        <v>1375.3322738842521</v>
      </c>
      <c r="BI165" s="59">
        <f ca="1">AVERAGE(OFFSET($BH$3,0,0,'Données projet'!$E$11+1,1))-AVERAGE(OFFSET($H$3,0,0,'Données projet'!$E$11+1,1))</f>
        <v>635.71275911100679</v>
      </c>
      <c r="BJ165" s="59">
        <f t="shared" si="146"/>
        <v>281.7776857269169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46.210010259983498</v>
      </c>
      <c r="BQ165" s="21">
        <f>EXP(-LN(2)/25)*BQ164+(1-EXP(-LN(2)/25))/(LN(2)/25)*Calculateur!BL165*Calculateur!BN165*VLOOKUP('Données projet'!$B$11,Paramètres!$A$1:$I$89,3,0)*0.475*44/12</f>
        <v>18.340753546257798</v>
      </c>
      <c r="BR165" s="21">
        <f>EXP(-LN(2)/2)*BR164+(1-EXP(-LN(2)/2))/(LN(2)/2)*BL165*BO165*VLOOKUP('Données projet'!$B$11,Paramètres!$A$1:$I$89,3,0)*0.475*44/12</f>
        <v>9.7388846159451158E-6</v>
      </c>
      <c r="BS165" s="22">
        <f t="shared" si="169"/>
        <v>64.550773545125907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7.6783333333333319</v>
      </c>
      <c r="BY165" s="12">
        <f>IF('Données projet'!$A$114&gt;35,BY164+BX165-CG164,IF(A165&lt;'Données projet'!$A$114,$BV$205^A165,IF(A165='Données projet'!$A$114,'Données projet'!$B$114,BY164+BX165-CG164)))</f>
        <v>389.57999999999964</v>
      </c>
      <c r="BZ165" s="13">
        <f>BY165*VLOOKUP('Données projet'!$B$12,Paramètres!$A$1:$I$89,3,0)*VLOOKUP('Données projet'!$B$12,Paramètres!$A$1:$I$89,5,0)</f>
        <v>443.65370399999966</v>
      </c>
      <c r="CA165" s="13">
        <f t="shared" si="170"/>
        <v>100.57273069130399</v>
      </c>
      <c r="CB165" s="20">
        <f t="shared" si="171"/>
        <v>947.86104042068712</v>
      </c>
      <c r="CC165" s="59">
        <f t="shared" si="119"/>
        <v>1241.1943737540205</v>
      </c>
      <c r="CD165" s="59">
        <f ca="1">AVERAGE(OFFSET($CC$3,0,0,'Données projet'!$E$12+1,1))-AVERAGE(OFFSET($H$3,0,0,'Données projet'!$E$12+1,1))</f>
        <v>593.28343396240075</v>
      </c>
      <c r="CE165" s="59">
        <f t="shared" si="148"/>
        <v>289.66477662068695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41.955724027383617</v>
      </c>
      <c r="CL165" s="21">
        <f>EXP(-LN(2)/25)*CL164+(1-EXP(-LN(2)/25))/(LN(2)/25)*Calculateur!CG165*Calculateur!CI165*VLOOKUP('Données projet'!$B$12,Paramètres!$A$1:$I$89,3,0)*0.475*44/12</f>
        <v>21.740432137223504</v>
      </c>
      <c r="CM165" s="21">
        <f>EXP(-LN(2)/2)*CM164+(1-EXP(-LN(2)/2))/(LN(2)/2)*CG165*CJ165*VLOOKUP('Données projet'!$B$12,Paramètres!$A$1:$I$89,3,0)*0.475*44/12</f>
        <v>1.2955613727932929E-2</v>
      </c>
      <c r="CN165" s="22">
        <f t="shared" si="172"/>
        <v>63.70911177833505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2.2737367544323206E-13</v>
      </c>
      <c r="CU165" s="17">
        <f>CT165*VLOOKUP('Données projet'!$B$13,Paramètres!$A$1:$I$89,3,0)*VLOOKUP('Données projet'!$B$13,Paramètres!$A$1:$I$89,5,0)</f>
        <v>2.3765096557326618E-13</v>
      </c>
      <c r="CV165" s="13">
        <f t="shared" si="173"/>
        <v>3.2279907425805489E-12</v>
      </c>
      <c r="CW165" s="20">
        <f t="shared" si="174"/>
        <v>6.0359926417012276E-12</v>
      </c>
      <c r="CX165" s="59">
        <f t="shared" si="122"/>
        <v>293.33333333333934</v>
      </c>
      <c r="CY165" s="59">
        <f ca="1">AVERAGE(OFFSET($CX$3,0,0,'Données projet'!$E$13+1,1))-AVERAGE(OFFSET($H$3,0,0,'Données projet'!$E$13+1,1))</f>
        <v>260.65406541614402</v>
      </c>
      <c r="CZ165" s="59">
        <f t="shared" si="150"/>
        <v>277.63456890196886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4.3287620469310211</v>
      </c>
      <c r="DG165" s="21">
        <f>EXP(-LN(2)/25)*DG164+(1-EXP(-LN(2)/25))/(LN(2)/25)*Calculateur!DB165*Calculateur!DD165*VLOOKUP('Données projet'!$B$13,Paramètres!$A$1:$I$89,3,0)*0.475*44/12</f>
        <v>6.7295600680540355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11.058322114985057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2.2737367544323206E-13</v>
      </c>
      <c r="DP165" s="17">
        <f>DO165*VLOOKUP('Données projet'!$B$14,Paramètres!$A$1:$I$89,3,0)*VLOOKUP('Données projet'!$B$14,Paramètres!$A$1:$I$89,5,0)</f>
        <v>1.4897523215040565E-13</v>
      </c>
      <c r="DQ165" s="13">
        <f t="shared" si="176"/>
        <v>2.136562777003313E-12</v>
      </c>
      <c r="DR165" s="20">
        <f t="shared" si="177"/>
        <v>3.9806453659427267E-12</v>
      </c>
      <c r="DS165" s="59">
        <f t="shared" si="125"/>
        <v>293.33333333333729</v>
      </c>
      <c r="DT165" s="59">
        <f ca="1">AVERAGE(OFFSET($DS$3,0,0,'Données projet'!$E$14+1,1))-AVERAGE(OFFSET($H$3,0,0,'Données projet'!$E$14+1,1))</f>
        <v>181.4272795535777</v>
      </c>
      <c r="DU165" s="59">
        <f t="shared" si="152"/>
        <v>187.67131775419904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4.0622485148190286</v>
      </c>
      <c r="EB165" s="21">
        <f>EXP(-LN(2)/25)*EB164+(1-EXP(-LN(2)/25))/(LN(2)/25)*Calculateur!DW165*Calculateur!DY165*VLOOKUP('Données projet'!$B$14,Paramètres!$A$1:$I$89,3,0)*0.475*44/12</f>
        <v>2.4509390142543568</v>
      </c>
      <c r="EC165" s="21">
        <f>EXP(-LN(2)/2)*EC164+(1-EXP(-LN(2)/2))/(LN(2)/2)*DW165*DZ165*VLOOKUP('Données projet'!$B$14,Paramètres!$A$1:$I$89,3,0)*0.475*44/12</f>
        <v>3.6513563313775292E-10</v>
      </c>
      <c r="ED165" s="22">
        <f t="shared" si="178"/>
        <v>6.5131875294385209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9.2222762759774927E-14</v>
      </c>
      <c r="EL165" s="13">
        <f t="shared" si="179"/>
        <v>1.3985662224947967E-12</v>
      </c>
      <c r="EM165" s="20">
        <f t="shared" si="180"/>
        <v>2.5964574826517121E-12</v>
      </c>
      <c r="EN165" s="59">
        <f t="shared" si="128"/>
        <v>293.33333333333593</v>
      </c>
      <c r="EO165" s="59">
        <f ca="1">AVERAGE(OFFSET($EN$3,0,0,'Données projet'!$E$15+1,1))-AVERAGE(OFFSET($H$3,0,0,'Données projet'!$E$15+1,1))</f>
        <v>159.68591355116837</v>
      </c>
      <c r="EP165" s="59">
        <f t="shared" si="154"/>
        <v>284.32631786390112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1.3018662397370377</v>
      </c>
      <c r="EW165" s="21">
        <f>EXP(-LN(2)/25)*EW164+(1-EXP(-LN(2)/25))/(LN(2)/25)*Calculateur!ER165*Calculateur!ET165*VLOOKUP('Données projet'!$B$15,Paramètres!$A$1:$I$89,3,0)*0.475*44/12</f>
        <v>0.65611706885444088</v>
      </c>
      <c r="EX165" s="21">
        <f>EXP(-LN(2)/2)*EX164+(1-EXP(-LN(2)/2))/(LN(2)/2)*ER165*EU165*VLOOKUP('Données projet'!$B$15,Paramètres!$A$1:$I$89,3,0)*0.475*44/12</f>
        <v>1.2655724729831943E-17</v>
      </c>
      <c r="EY165" s="22">
        <f t="shared" si="181"/>
        <v>1.9579833085914786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-1.3567387213697657E-13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299.10536994156814</v>
      </c>
      <c r="FK165" s="59">
        <f t="shared" si="156"/>
        <v>292.57799203101769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8.0076402027043869</v>
      </c>
      <c r="FR165" s="21">
        <f>EXP(-LN(2)/25)*FR164+(1-EXP(-LN(2)/25))/(LN(2)/25)*Calculateur!FM165*Calculateur!FO165*VLOOKUP('Données projet'!$B$16,Paramètres!$A$1:$I$89,3,0)*0.475*44/12</f>
        <v>4.3611278905774045</v>
      </c>
      <c r="FS165" s="21">
        <f>EXP(-LN(2)/2)*FS164+(1-EXP(-LN(2)/2))/(LN(2)/2)*FM165*FP165*VLOOKUP('Données projet'!$B$16,Paramètres!$A$1:$I$89,3,0)*0.475*44/12</f>
        <v>2.3637738552436031E-11</v>
      </c>
      <c r="FT165" s="22">
        <f t="shared" si="184"/>
        <v>12.368768093305428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5.6843418860808015E-14</v>
      </c>
      <c r="GA165" s="17">
        <f>FZ165*VLOOKUP('Données projet'!$B$17,Paramètres!$A$1:$I$89,3,0)*VLOOKUP('Données projet'!$B$17,Paramètres!$A$1:$I$89,5,0)</f>
        <v>5.1431925385259088E-14</v>
      </c>
      <c r="GB165" s="13">
        <f t="shared" si="185"/>
        <v>8.3482866290946129E-13</v>
      </c>
      <c r="GC165" s="20">
        <f t="shared" si="186"/>
        <v>1.5435705246133045E-12</v>
      </c>
      <c r="GD165" s="59">
        <f t="shared" si="134"/>
        <v>293.33333333333485</v>
      </c>
      <c r="GE165" s="59">
        <f ca="1">AVERAGE(OFFSET($GD$3,0,0,'Données projet'!$E$17+1,1))-AVERAGE(OFFSET($H$3,0,0,'Données projet'!$E$17+1,1))</f>
        <v>204.78565758021779</v>
      </c>
      <c r="GF165" s="59">
        <f t="shared" si="158"/>
        <v>287.25131613242439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1.5384456556926769</v>
      </c>
      <c r="GM165" s="21">
        <f>EXP(-LN(2)/25)*GM164+(1-EXP(-LN(2)/25))/(LN(2)/25)*Calculateur!GH165*Calculateur!GJ165*VLOOKUP('Données projet'!$B$17,Paramètres!$A$1:$I$89,3,0)*0.475*44/12</f>
        <v>0.51559963293875488</v>
      </c>
      <c r="GN165" s="21">
        <f>EXP(-LN(2)/2)*GN164+(1-EXP(-LN(2)/2))/(LN(2)/2)*GH165*GK165*VLOOKUP('Données projet'!$B$17,Paramètres!$A$1:$I$89,3,0)*0.475*44/12</f>
        <v>3.3832031863160175E-17</v>
      </c>
      <c r="GO165" s="21">
        <f t="shared" si="187"/>
        <v>2.054045288631432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5.6843418860808015E-14</v>
      </c>
      <c r="GV165" s="17">
        <f>GU165*VLOOKUP('Données projet'!$B$18,Paramètres!$A$1:$I$89,3,0)*VLOOKUP('Données projet'!$B$18,Paramètres!$A$1:$I$89,5,0)</f>
        <v>4.4337866711430253E-14</v>
      </c>
      <c r="GW165" s="13">
        <f t="shared" si="188"/>
        <v>7.3222115536967035E-13</v>
      </c>
      <c r="GX165" s="20">
        <f t="shared" si="189"/>
        <v>1.3525069634579169E-12</v>
      </c>
      <c r="GY165" s="59">
        <f t="shared" si="137"/>
        <v>293.33333333333468</v>
      </c>
      <c r="GZ165" s="59">
        <f ca="1">AVERAGE(OFFSET($GY$3,0,0,'Données projet'!$E$18+1,1))-AVERAGE(OFFSET($H$3,0,0,'Données projet'!$E$18+1,1))</f>
        <v>288.82868507674738</v>
      </c>
      <c r="HA165" s="59">
        <f t="shared" si="160"/>
        <v>283.48738729114024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6.8167036188175043</v>
      </c>
      <c r="HH165" s="21">
        <f>EXP(-LN(2)/25)*HH164+(1-EXP(-LN(2)/25))/(LN(2)/25)*Calculateur!HC165*Calculateur!HE165*VLOOKUP('Données projet'!$B$18,Paramètres!$A$1:$I$89,3,0)*0.475*44/12</f>
        <v>3.2126975823293784</v>
      </c>
      <c r="HI165" s="21">
        <f>EXP(-LN(2)/2)*HI164+(1-EXP(-LN(2)/2))/(LN(2)/2)*HC165*HF165*VLOOKUP('Données projet'!$B$18,Paramètres!$A$1:$I$89,3,0)*0.475*44/12</f>
        <v>6.1051245707167065E-13</v>
      </c>
      <c r="HJ165" s="22">
        <f t="shared" si="190"/>
        <v>10.029401201147493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349.71285006949597</v>
      </c>
      <c r="T166" s="59">
        <f t="shared" si="142"/>
        <v>258.51550516456842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29.619577332573879</v>
      </c>
      <c r="AA166" s="21">
        <f>EXP(-LN(2)/25)*AA165+(1-EXP(-LN(2)/25))/(LN(2)/25)*Calculateur!V166*Calculateur!X166*VLOOKUP('Données projet'!$B$9,Paramètres!$A$1:$I$89,3,0)*0.475*44/12</f>
        <v>5.1813572959328651</v>
      </c>
      <c r="AB166" s="21">
        <f>EXP(-LN(2)/2)*AB165+(1-EXP(-LN(2)/2))/(LN(2)/2)*V166*Y166*VLOOKUP('Données projet'!$B$9,Paramètres!$A$1:$I$89,3,0)*0.475*44/12</f>
        <v>2.273928551743735E-11</v>
      </c>
      <c r="AC166" s="22">
        <f t="shared" si="163"/>
        <v>34.800934628529482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2.5579538487363607E-13</v>
      </c>
      <c r="AJ166" s="13">
        <f>AI166*VLOOKUP('Données projet'!$B$10,Paramètres!$A$1:$I$89,3,0)*VLOOKUP('Données projet'!$B$10,Paramètres!$A$1:$I$89,5,0)</f>
        <v>2.4341488824575211E-13</v>
      </c>
      <c r="AK166" s="13">
        <f t="shared" si="164"/>
        <v>3.2970717324875541E-12</v>
      </c>
      <c r="AL166" s="20">
        <f t="shared" si="165"/>
        <v>6.1663475311105072E-12</v>
      </c>
      <c r="AM166" s="59">
        <f t="shared" si="113"/>
        <v>293.33333333333945</v>
      </c>
      <c r="AN166" s="59">
        <f ca="1">AVERAGE(OFFSET($AM$3,0,0,'Données projet'!$E$10+1,1))-AVERAGE(OFFSET($H$3,0,0,'Données projet'!$E$10+1,1))</f>
        <v>449.28947235329758</v>
      </c>
      <c r="AO166" s="59">
        <f t="shared" si="144"/>
        <v>289.36994109443964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61.805004385892218</v>
      </c>
      <c r="AV166" s="21">
        <f>EXP(-LN(2)/25)*AV165+(1-EXP(-LN(2)/25))/(LN(2)/25)*Calculateur!AQ166*Calculateur!AS166*VLOOKUP('Données projet'!$B$10,Paramètres!$A$1:$I$89,3,0)*0.475*44/12</f>
        <v>9.9167124611441295</v>
      </c>
      <c r="AW166" s="21">
        <f>EXP(-LN(2)/2)*AW165+(1-EXP(-LN(2)/2))/(LN(2)/2)*AQ166*AT166*VLOOKUP('Données projet'!$B$10,Paramètres!$A$1:$I$89,3,0)*0.475*44/12</f>
        <v>7.726906733696155E-5</v>
      </c>
      <c r="AX166" s="21">
        <f t="shared" si="166"/>
        <v>71.72179411610368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516.48879360000115</v>
      </c>
      <c r="BF166" s="13">
        <f t="shared" si="167"/>
        <v>115.03041290761819</v>
      </c>
      <c r="BG166" s="20">
        <f t="shared" si="168"/>
        <v>1099.8959513341035</v>
      </c>
      <c r="BH166" s="59">
        <f t="shared" si="116"/>
        <v>1393.2292846674368</v>
      </c>
      <c r="BI166" s="59">
        <f ca="1">AVERAGE(OFFSET($BH$3,0,0,'Données projet'!$E$11+1,1))-AVERAGE(OFFSET($H$3,0,0,'Données projet'!$E$11+1,1))</f>
        <v>635.71275911100679</v>
      </c>
      <c r="BJ166" s="59">
        <f t="shared" si="146"/>
        <v>281.7776857269169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45.303860144108413</v>
      </c>
      <c r="BQ166" s="21">
        <f>EXP(-LN(2)/25)*BQ165+(1-EXP(-LN(2)/25))/(LN(2)/25)*Calculateur!BL166*Calculateur!BN166*VLOOKUP('Données projet'!$B$11,Paramètres!$A$1:$I$89,3,0)*0.475*44/12</f>
        <v>17.839224676037066</v>
      </c>
      <c r="BR166" s="21">
        <f>EXP(-LN(2)/2)*BR165+(1-EXP(-LN(2)/2))/(LN(2)/2)*BL166*BO166*VLOOKUP('Données projet'!$B$11,Paramètres!$A$1:$I$89,3,0)*0.475*44/12</f>
        <v>6.886431353128137E-6</v>
      </c>
      <c r="BS166" s="22">
        <f t="shared" si="169"/>
        <v>63.143091706576826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7.6783333333333319</v>
      </c>
      <c r="BY166" s="12">
        <f>IF('Données projet'!$A$114&gt;35,BY165+BX166-CG165,IF(A166&lt;'Données projet'!$A$114,$BV$205^A166,IF(A166='Données projet'!$A$114,'Données projet'!$B$114,BY165+BX166-CG165)))</f>
        <v>397.25833333333298</v>
      </c>
      <c r="BZ166" s="13">
        <f>BY166*VLOOKUP('Données projet'!$B$12,Paramètres!$A$1:$I$89,3,0)*VLOOKUP('Données projet'!$B$12,Paramètres!$A$1:$I$89,5,0)</f>
        <v>452.39778999999959</v>
      </c>
      <c r="CA166" s="13">
        <f t="shared" si="170"/>
        <v>102.32222052098986</v>
      </c>
      <c r="CB166" s="20">
        <f t="shared" si="171"/>
        <v>966.13735165739001</v>
      </c>
      <c r="CC166" s="59">
        <f t="shared" si="119"/>
        <v>1259.4706849907234</v>
      </c>
      <c r="CD166" s="59">
        <f ca="1">AVERAGE(OFFSET($CC$3,0,0,'Données projet'!$E$12+1,1))-AVERAGE(OFFSET($H$3,0,0,'Données projet'!$E$12+1,1))</f>
        <v>593.28343396240075</v>
      </c>
      <c r="CE166" s="59">
        <f t="shared" si="148"/>
        <v>289.66477662068695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41.132997869671435</v>
      </c>
      <c r="CL166" s="21">
        <f>EXP(-LN(2)/25)*CL165+(1-EXP(-LN(2)/25))/(LN(2)/25)*Calculateur!CG166*Calculateur!CI166*VLOOKUP('Données projet'!$B$12,Paramètres!$A$1:$I$89,3,0)*0.475*44/12</f>
        <v>21.14593887715149</v>
      </c>
      <c r="CM166" s="21">
        <f>EXP(-LN(2)/2)*CM165+(1-EXP(-LN(2)/2))/(LN(2)/2)*CG166*CJ166*VLOOKUP('Données projet'!$B$12,Paramètres!$A$1:$I$89,3,0)*0.475*44/12</f>
        <v>9.1610023214549006E-3</v>
      </c>
      <c r="CN166" s="22">
        <f t="shared" si="172"/>
        <v>62.288097749144377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2.2737367544323206E-13</v>
      </c>
      <c r="CU166" s="17">
        <f>CT166*VLOOKUP('Données projet'!$B$13,Paramètres!$A$1:$I$89,3,0)*VLOOKUP('Données projet'!$B$13,Paramètres!$A$1:$I$89,5,0)</f>
        <v>2.3765096557326618E-13</v>
      </c>
      <c r="CV166" s="13">
        <f t="shared" si="173"/>
        <v>3.2279907425805489E-12</v>
      </c>
      <c r="CW166" s="20">
        <f t="shared" si="174"/>
        <v>6.0359926417012276E-12</v>
      </c>
      <c r="CX166" s="59">
        <f t="shared" si="122"/>
        <v>293.33333333333934</v>
      </c>
      <c r="CY166" s="59">
        <f ca="1">AVERAGE(OFFSET($CX$3,0,0,'Données projet'!$E$13+1,1))-AVERAGE(OFFSET($H$3,0,0,'Données projet'!$E$13+1,1))</f>
        <v>260.65406541614402</v>
      </c>
      <c r="CZ166" s="59">
        <f t="shared" si="150"/>
        <v>277.63456890196886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4.2438776634748461</v>
      </c>
      <c r="DG166" s="21">
        <f>EXP(-LN(2)/25)*DG165+(1-EXP(-LN(2)/25))/(LN(2)/25)*Calculateur!DB166*Calculateur!DD166*VLOOKUP('Données projet'!$B$13,Paramètres!$A$1:$I$89,3,0)*0.475*44/12</f>
        <v>6.5455398941009149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10.78941755757576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2.2737367544323206E-13</v>
      </c>
      <c r="DP166" s="17">
        <f>DO166*VLOOKUP('Données projet'!$B$14,Paramètres!$A$1:$I$89,3,0)*VLOOKUP('Données projet'!$B$14,Paramètres!$A$1:$I$89,5,0)</f>
        <v>1.4897523215040565E-13</v>
      </c>
      <c r="DQ166" s="13">
        <f t="shared" si="176"/>
        <v>2.136562777003313E-12</v>
      </c>
      <c r="DR166" s="20">
        <f t="shared" si="177"/>
        <v>3.9806453659427267E-12</v>
      </c>
      <c r="DS166" s="59">
        <f t="shared" si="125"/>
        <v>293.33333333333729</v>
      </c>
      <c r="DT166" s="59">
        <f ca="1">AVERAGE(OFFSET($DS$3,0,0,'Données projet'!$E$14+1,1))-AVERAGE(OFFSET($H$3,0,0,'Données projet'!$E$14+1,1))</f>
        <v>181.4272795535777</v>
      </c>
      <c r="DU166" s="59">
        <f t="shared" si="152"/>
        <v>187.67131775419904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3.9825902991703663</v>
      </c>
      <c r="EB166" s="21">
        <f>EXP(-LN(2)/25)*EB165+(1-EXP(-LN(2)/25))/(LN(2)/25)*Calculateur!DW166*Calculateur!DY166*VLOOKUP('Données projet'!$B$14,Paramètres!$A$1:$I$89,3,0)*0.475*44/12</f>
        <v>2.3839179580202905</v>
      </c>
      <c r="EC166" s="21">
        <f>EXP(-LN(2)/2)*EC165+(1-EXP(-LN(2)/2))/(LN(2)/2)*DW166*DZ166*VLOOKUP('Données projet'!$B$14,Paramètres!$A$1:$I$89,3,0)*0.475*44/12</f>
        <v>2.5818988224454854E-10</v>
      </c>
      <c r="ED166" s="22">
        <f t="shared" si="178"/>
        <v>6.3665082574488467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9.2222762759774927E-14</v>
      </c>
      <c r="EL166" s="13">
        <f t="shared" si="179"/>
        <v>1.3985662224947967E-12</v>
      </c>
      <c r="EM166" s="20">
        <f t="shared" si="180"/>
        <v>2.5964574826517121E-12</v>
      </c>
      <c r="EN166" s="59">
        <f t="shared" si="128"/>
        <v>293.33333333333593</v>
      </c>
      <c r="EO166" s="59">
        <f ca="1">AVERAGE(OFFSET($EN$3,0,0,'Données projet'!$E$15+1,1))-AVERAGE(OFFSET($H$3,0,0,'Données projet'!$E$15+1,1))</f>
        <v>159.68591355116837</v>
      </c>
      <c r="EP166" s="59">
        <f t="shared" si="154"/>
        <v>284.32631786390112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1.2763374368357938</v>
      </c>
      <c r="EW166" s="21">
        <f>EXP(-LN(2)/25)*EW165+(1-EXP(-LN(2)/25))/(LN(2)/25)*Calculateur!ER166*Calculateur!ET166*VLOOKUP('Données projet'!$B$15,Paramètres!$A$1:$I$89,3,0)*0.475*44/12</f>
        <v>0.63817551310291909</v>
      </c>
      <c r="EX166" s="21">
        <f>EXP(-LN(2)/2)*EX165+(1-EXP(-LN(2)/2))/(LN(2)/2)*ER166*EU166*VLOOKUP('Données projet'!$B$15,Paramètres!$A$1:$I$89,3,0)*0.475*44/12</f>
        <v>8.9489487772944539E-18</v>
      </c>
      <c r="EY166" s="22">
        <f t="shared" si="181"/>
        <v>1.9145129499387128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-1.3567387213697657E-13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299.10536994156814</v>
      </c>
      <c r="FK166" s="59">
        <f t="shared" si="156"/>
        <v>292.57799203101769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7.8506152625076053</v>
      </c>
      <c r="FR166" s="21">
        <f>EXP(-LN(2)/25)*FR165+(1-EXP(-LN(2)/25))/(LN(2)/25)*Calculateur!FM166*Calculateur!FO166*VLOOKUP('Données projet'!$B$16,Paramètres!$A$1:$I$89,3,0)*0.475*44/12</f>
        <v>4.2418726190678173</v>
      </c>
      <c r="FS166" s="21">
        <f>EXP(-LN(2)/2)*FS165+(1-EXP(-LN(2)/2))/(LN(2)/2)*FM166*FP166*VLOOKUP('Données projet'!$B$16,Paramètres!$A$1:$I$89,3,0)*0.475*44/12</f>
        <v>1.6714405222342203E-11</v>
      </c>
      <c r="FT166" s="22">
        <f t="shared" si="184"/>
        <v>12.092487881592136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5.6843418860808015E-14</v>
      </c>
      <c r="GA166" s="17">
        <f>FZ166*VLOOKUP('Données projet'!$B$17,Paramètres!$A$1:$I$89,3,0)*VLOOKUP('Données projet'!$B$17,Paramètres!$A$1:$I$89,5,0)</f>
        <v>5.1431925385259088E-14</v>
      </c>
      <c r="GB166" s="13">
        <f t="shared" si="185"/>
        <v>8.3482866290946129E-13</v>
      </c>
      <c r="GC166" s="20">
        <f t="shared" si="186"/>
        <v>1.5435705246133045E-12</v>
      </c>
      <c r="GD166" s="59">
        <f t="shared" si="134"/>
        <v>293.33333333333485</v>
      </c>
      <c r="GE166" s="59">
        <f ca="1">AVERAGE(OFFSET($GD$3,0,0,'Données projet'!$E$17+1,1))-AVERAGE(OFFSET($H$3,0,0,'Données projet'!$E$17+1,1))</f>
        <v>204.78565758021779</v>
      </c>
      <c r="GF166" s="59">
        <f t="shared" si="158"/>
        <v>287.25131613242439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1.5082776747437381</v>
      </c>
      <c r="GM166" s="21">
        <f>EXP(-LN(2)/25)*GM165+(1-EXP(-LN(2)/25))/(LN(2)/25)*Calculateur!GH166*Calculateur!GJ166*VLOOKUP('Données projet'!$B$17,Paramètres!$A$1:$I$89,3,0)*0.475*44/12</f>
        <v>0.50150053386183835</v>
      </c>
      <c r="GN166" s="21">
        <f>EXP(-LN(2)/2)*GN165+(1-EXP(-LN(2)/2))/(LN(2)/2)*GH166*GK166*VLOOKUP('Données projet'!$B$17,Paramètres!$A$1:$I$89,3,0)*0.475*44/12</f>
        <v>2.3922859151759906E-17</v>
      </c>
      <c r="GO166" s="21">
        <f t="shared" si="187"/>
        <v>2.0097782086055762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5.6843418860808015E-14</v>
      </c>
      <c r="GV166" s="17">
        <f>GU166*VLOOKUP('Données projet'!$B$18,Paramètres!$A$1:$I$89,3,0)*VLOOKUP('Données projet'!$B$18,Paramètres!$A$1:$I$89,5,0)</f>
        <v>4.4337866711430253E-14</v>
      </c>
      <c r="GW166" s="13">
        <f t="shared" si="188"/>
        <v>7.3222115536967035E-13</v>
      </c>
      <c r="GX166" s="20">
        <f t="shared" si="189"/>
        <v>1.3525069634579169E-12</v>
      </c>
      <c r="GY166" s="59">
        <f t="shared" si="137"/>
        <v>293.33333333333468</v>
      </c>
      <c r="GZ166" s="59">
        <f ca="1">AVERAGE(OFFSET($GY$3,0,0,'Données projet'!$E$18+1,1))-AVERAGE(OFFSET($H$3,0,0,'Données projet'!$E$18+1,1))</f>
        <v>288.82868507674738</v>
      </c>
      <c r="HA166" s="59">
        <f t="shared" si="160"/>
        <v>283.48738729114024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6.6830322186311539</v>
      </c>
      <c r="HH166" s="21">
        <f>EXP(-LN(2)/25)*HH165+(1-EXP(-LN(2)/25))/(LN(2)/25)*Calculateur!HC166*Calculateur!HE166*VLOOKUP('Données projet'!$B$18,Paramètres!$A$1:$I$89,3,0)*0.475*44/12</f>
        <v>3.1248461979921585</v>
      </c>
      <c r="HI166" s="21">
        <f>EXP(-LN(2)/2)*HI165+(1-EXP(-LN(2)/2))/(LN(2)/2)*HC166*HF166*VLOOKUP('Données projet'!$B$18,Paramètres!$A$1:$I$89,3,0)*0.475*44/12</f>
        <v>4.3169749839423931E-13</v>
      </c>
      <c r="HJ166" s="22">
        <f t="shared" si="190"/>
        <v>9.807878416623744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349.71285006949597</v>
      </c>
      <c r="T167" s="59">
        <f t="shared" si="142"/>
        <v>258.51550516456842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29.038755487240394</v>
      </c>
      <c r="AA167" s="21">
        <f>EXP(-LN(2)/25)*AA166+(1-EXP(-LN(2)/25))/(LN(2)/25)*Calculateur!V167*Calculateur!X167*VLOOKUP('Données projet'!$B$9,Paramètres!$A$1:$I$89,3,0)*0.475*44/12</f>
        <v>5.0396728081998425</v>
      </c>
      <c r="AB167" s="21">
        <f>EXP(-LN(2)/2)*AB166+(1-EXP(-LN(2)/2))/(LN(2)/2)*V167*Y167*VLOOKUP('Données projet'!$B$9,Paramètres!$A$1:$I$89,3,0)*0.475*44/12</f>
        <v>1.6079102988717001E-11</v>
      </c>
      <c r="AC167" s="22">
        <f t="shared" si="163"/>
        <v>34.078428295456312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2.5579538487363607E-13</v>
      </c>
      <c r="AJ167" s="13">
        <f>AI167*VLOOKUP('Données projet'!$B$10,Paramètres!$A$1:$I$89,3,0)*VLOOKUP('Données projet'!$B$10,Paramètres!$A$1:$I$89,5,0)</f>
        <v>2.4341488824575211E-13</v>
      </c>
      <c r="AK167" s="13">
        <f t="shared" si="164"/>
        <v>3.2970717324875541E-12</v>
      </c>
      <c r="AL167" s="20">
        <f t="shared" si="165"/>
        <v>6.1663475311105072E-12</v>
      </c>
      <c r="AM167" s="59">
        <f t="shared" si="113"/>
        <v>293.33333333333945</v>
      </c>
      <c r="AN167" s="59">
        <f ca="1">AVERAGE(OFFSET($AM$3,0,0,'Données projet'!$E$10+1,1))-AVERAGE(OFFSET($H$3,0,0,'Données projet'!$E$10+1,1))</f>
        <v>449.28947235329758</v>
      </c>
      <c r="AO167" s="59">
        <f t="shared" si="144"/>
        <v>289.36994109443964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60.593045947215245</v>
      </c>
      <c r="AV167" s="21">
        <f>EXP(-LN(2)/25)*AV166+(1-EXP(-LN(2)/25))/(LN(2)/25)*Calculateur!AQ167*Calculateur!AS167*VLOOKUP('Données projet'!$B$10,Paramètres!$A$1:$I$89,3,0)*0.475*44/12</f>
        <v>9.6455394373969003</v>
      </c>
      <c r="AW167" s="21">
        <f>EXP(-LN(2)/2)*AW166+(1-EXP(-LN(2)/2))/(LN(2)/2)*AQ167*AT167*VLOOKUP('Données projet'!$B$10,Paramètres!$A$1:$I$89,3,0)*0.475*44/12</f>
        <v>5.4637481489925478E-5</v>
      </c>
      <c r="AX167" s="21">
        <f t="shared" si="166"/>
        <v>70.238640022093634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525.07353600000124</v>
      </c>
      <c r="BF167" s="13">
        <f t="shared" si="167"/>
        <v>116.71819745258949</v>
      </c>
      <c r="BG167" s="20">
        <f t="shared" si="168"/>
        <v>1117.7872690965953</v>
      </c>
      <c r="BH167" s="59">
        <f t="shared" si="116"/>
        <v>1411.1206024299286</v>
      </c>
      <c r="BI167" s="59">
        <f ca="1">AVERAGE(OFFSET($BH$3,0,0,'Données projet'!$E$11+1,1))-AVERAGE(OFFSET($H$3,0,0,'Données projet'!$E$11+1,1))</f>
        <v>635.71275911100679</v>
      </c>
      <c r="BJ167" s="59">
        <f t="shared" si="146"/>
        <v>281.7776857269169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58.613038082092139</v>
      </c>
      <c r="BQ167" s="21">
        <f>EXP(-LN(2)/25)*BQ166+(1-EXP(-LN(2)/25))/(LN(2)/25)*Calculateur!BL167*Calculateur!BN167*VLOOKUP('Données projet'!$B$11,Paramètres!$A$1:$I$89,3,0)*0.475*44/12</f>
        <v>23.008073260464958</v>
      </c>
      <c r="BR167" s="21">
        <f>EXP(-LN(2)/2)*BR166+(1-EXP(-LN(2)/2))/(LN(2)/2)*BL167*BO167*VLOOKUP('Données projet'!$B$11,Paramètres!$A$1:$I$89,3,0)*0.475*44/12</f>
        <v>4.8694423079725579E-6</v>
      </c>
      <c r="BS167" s="22">
        <f t="shared" si="169"/>
        <v>81.621116211999407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7.6783333333333319</v>
      </c>
      <c r="BY167" s="12">
        <f>IF('Données projet'!$A$114&gt;35,BY166+BX167-CG166,IF(A167&lt;'Données projet'!$A$114,$BV$205^A167,IF(A167='Données projet'!$A$114,'Données projet'!$B$114,BY166+BX167-CG166)))</f>
        <v>404.93666666666633</v>
      </c>
      <c r="BZ167" s="13">
        <f>BY167*VLOOKUP('Données projet'!$B$12,Paramètres!$A$1:$I$89,3,0)*VLOOKUP('Données projet'!$B$12,Paramètres!$A$1:$I$89,5,0)</f>
        <v>461.14187599999957</v>
      </c>
      <c r="CA167" s="13">
        <f t="shared" si="170"/>
        <v>104.06777848670333</v>
      </c>
      <c r="CB167" s="20">
        <f t="shared" si="171"/>
        <v>984.40681489767428</v>
      </c>
      <c r="CC167" s="59">
        <f t="shared" si="119"/>
        <v>1277.7401482310077</v>
      </c>
      <c r="CD167" s="59">
        <f ca="1">AVERAGE(OFFSET($CC$3,0,0,'Données projet'!$E$12+1,1))-AVERAGE(OFFSET($H$3,0,0,'Données projet'!$E$12+1,1))</f>
        <v>593.28343396240075</v>
      </c>
      <c r="CE167" s="59">
        <f t="shared" si="148"/>
        <v>289.66477662068695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40.326404870098578</v>
      </c>
      <c r="CL167" s="21">
        <f>EXP(-LN(2)/25)*CL166+(1-EXP(-LN(2)/25))/(LN(2)/25)*Calculateur!CG167*Calculateur!CI167*VLOOKUP('Données projet'!$B$12,Paramètres!$A$1:$I$89,3,0)*0.475*44/12</f>
        <v>20.567702066539187</v>
      </c>
      <c r="CM167" s="21">
        <f>EXP(-LN(2)/2)*CM166+(1-EXP(-LN(2)/2))/(LN(2)/2)*CG167*CJ167*VLOOKUP('Données projet'!$B$12,Paramètres!$A$1:$I$89,3,0)*0.475*44/12</f>
        <v>6.4778068639664644E-3</v>
      </c>
      <c r="CN167" s="22">
        <f t="shared" si="172"/>
        <v>60.900584743501739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2.2737367544323206E-13</v>
      </c>
      <c r="CU167" s="17">
        <f>CT167*VLOOKUP('Données projet'!$B$13,Paramètres!$A$1:$I$89,3,0)*VLOOKUP('Données projet'!$B$13,Paramètres!$A$1:$I$89,5,0)</f>
        <v>2.3765096557326618E-13</v>
      </c>
      <c r="CV167" s="13">
        <f t="shared" si="173"/>
        <v>3.2279907425805489E-12</v>
      </c>
      <c r="CW167" s="20">
        <f t="shared" si="174"/>
        <v>6.0359926417012276E-12</v>
      </c>
      <c r="CX167" s="59">
        <f t="shared" si="122"/>
        <v>293.33333333333934</v>
      </c>
      <c r="CY167" s="59">
        <f ca="1">AVERAGE(OFFSET($CX$3,0,0,'Données projet'!$E$13+1,1))-AVERAGE(OFFSET($H$3,0,0,'Données projet'!$E$13+1,1))</f>
        <v>260.65406541614402</v>
      </c>
      <c r="CZ167" s="59">
        <f t="shared" si="150"/>
        <v>277.63456890196886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4.160657811003885</v>
      </c>
      <c r="DG167" s="21">
        <f>EXP(-LN(2)/25)*DG166+(1-EXP(-LN(2)/25))/(LN(2)/25)*Calculateur!DB167*Calculateur!DD167*VLOOKUP('Données projet'!$B$13,Paramètres!$A$1:$I$89,3,0)*0.475*44/12</f>
        <v>6.366551761481742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10.527209572485628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2.2737367544323206E-13</v>
      </c>
      <c r="DP167" s="17">
        <f>DO167*VLOOKUP('Données projet'!$B$14,Paramètres!$A$1:$I$89,3,0)*VLOOKUP('Données projet'!$B$14,Paramètres!$A$1:$I$89,5,0)</f>
        <v>1.4897523215040565E-13</v>
      </c>
      <c r="DQ167" s="13">
        <f t="shared" si="176"/>
        <v>2.136562777003313E-12</v>
      </c>
      <c r="DR167" s="20">
        <f t="shared" si="177"/>
        <v>3.9806453659427267E-12</v>
      </c>
      <c r="DS167" s="59">
        <f t="shared" si="125"/>
        <v>293.33333333333729</v>
      </c>
      <c r="DT167" s="59">
        <f ca="1">AVERAGE(OFFSET($DS$3,0,0,'Données projet'!$E$14+1,1))-AVERAGE(OFFSET($H$3,0,0,'Données projet'!$E$14+1,1))</f>
        <v>181.4272795535777</v>
      </c>
      <c r="DU167" s="59">
        <f t="shared" si="152"/>
        <v>187.67131775419904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3.9044941325438605</v>
      </c>
      <c r="EB167" s="21">
        <f>EXP(-LN(2)/25)*EB166+(1-EXP(-LN(2)/25))/(LN(2)/25)*Calculateur!DW167*Calculateur!DY167*VLOOKUP('Données projet'!$B$14,Paramètres!$A$1:$I$89,3,0)*0.475*44/12</f>
        <v>2.3187295960934287</v>
      </c>
      <c r="EC167" s="21">
        <f>EXP(-LN(2)/2)*EC166+(1-EXP(-LN(2)/2))/(LN(2)/2)*DW167*DZ167*VLOOKUP('Données projet'!$B$14,Paramètres!$A$1:$I$89,3,0)*0.475*44/12</f>
        <v>1.8256781656887646E-10</v>
      </c>
      <c r="ED167" s="22">
        <f t="shared" si="178"/>
        <v>6.2232237288198569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9.2222762759774927E-14</v>
      </c>
      <c r="EL167" s="13">
        <f t="shared" si="179"/>
        <v>1.3985662224947967E-12</v>
      </c>
      <c r="EM167" s="20">
        <f t="shared" si="180"/>
        <v>2.5964574826517121E-12</v>
      </c>
      <c r="EN167" s="59">
        <f t="shared" si="128"/>
        <v>293.33333333333593</v>
      </c>
      <c r="EO167" s="59">
        <f ca="1">AVERAGE(OFFSET($EN$3,0,0,'Données projet'!$E$15+1,1))-AVERAGE(OFFSET($H$3,0,0,'Données projet'!$E$15+1,1))</f>
        <v>159.68591355116837</v>
      </c>
      <c r="EP167" s="59">
        <f t="shared" si="154"/>
        <v>284.32631786390112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1.251309238188411</v>
      </c>
      <c r="EW167" s="21">
        <f>EXP(-LN(2)/25)*EW166+(1-EXP(-LN(2)/25))/(LN(2)/25)*Calculateur!ER167*Calculateur!ET167*VLOOKUP('Données projet'!$B$15,Paramètres!$A$1:$I$89,3,0)*0.475*44/12</f>
        <v>0.62072457013692806</v>
      </c>
      <c r="EX167" s="21">
        <f>EXP(-LN(2)/2)*EX166+(1-EXP(-LN(2)/2))/(LN(2)/2)*ER167*EU167*VLOOKUP('Données projet'!$B$15,Paramètres!$A$1:$I$89,3,0)*0.475*44/12</f>
        <v>6.3278623649159715E-18</v>
      </c>
      <c r="EY167" s="22">
        <f t="shared" si="181"/>
        <v>1.8720338083253392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-1.3567387213697657E-13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299.10536994156814</v>
      </c>
      <c r="FK167" s="59">
        <f t="shared" si="156"/>
        <v>292.57799203101769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7.6966694856123254</v>
      </c>
      <c r="FR167" s="21">
        <f>EXP(-LN(2)/25)*FR166+(1-EXP(-LN(2)/25))/(LN(2)/25)*Calculateur!FM167*Calculateur!FO167*VLOOKUP('Données projet'!$B$16,Paramètres!$A$1:$I$89,3,0)*0.475*44/12</f>
        <v>4.1258783892290216</v>
      </c>
      <c r="FS167" s="21">
        <f>EXP(-LN(2)/2)*FS166+(1-EXP(-LN(2)/2))/(LN(2)/2)*FM167*FP167*VLOOKUP('Données projet'!$B$16,Paramètres!$A$1:$I$89,3,0)*0.475*44/12</f>
        <v>1.1818869276218015E-11</v>
      </c>
      <c r="FT167" s="22">
        <f t="shared" si="184"/>
        <v>11.822547874853166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5.6843418860808015E-14</v>
      </c>
      <c r="GA167" s="17">
        <f>FZ167*VLOOKUP('Données projet'!$B$17,Paramètres!$A$1:$I$89,3,0)*VLOOKUP('Données projet'!$B$17,Paramètres!$A$1:$I$89,5,0)</f>
        <v>5.1431925385259088E-14</v>
      </c>
      <c r="GB167" s="13">
        <f t="shared" si="185"/>
        <v>8.3482866290946129E-13</v>
      </c>
      <c r="GC167" s="20">
        <f t="shared" si="186"/>
        <v>1.5435705246133045E-12</v>
      </c>
      <c r="GD167" s="59">
        <f t="shared" si="134"/>
        <v>293.33333333333485</v>
      </c>
      <c r="GE167" s="59">
        <f ca="1">AVERAGE(OFFSET($GD$3,0,0,'Données projet'!$E$17+1,1))-AVERAGE(OFFSET($H$3,0,0,'Données projet'!$E$17+1,1))</f>
        <v>204.78565758021779</v>
      </c>
      <c r="GF167" s="59">
        <f t="shared" si="158"/>
        <v>287.25131613242439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1.4787012695005566</v>
      </c>
      <c r="GM167" s="21">
        <f>EXP(-LN(2)/25)*GM166+(1-EXP(-LN(2)/25))/(LN(2)/25)*Calculateur!GH167*Calculateur!GJ167*VLOOKUP('Données projet'!$B$17,Paramètres!$A$1:$I$89,3,0)*0.475*44/12</f>
        <v>0.48778697539061949</v>
      </c>
      <c r="GN167" s="21">
        <f>EXP(-LN(2)/2)*GN166+(1-EXP(-LN(2)/2))/(LN(2)/2)*GH167*GK167*VLOOKUP('Données projet'!$B$17,Paramètres!$A$1:$I$89,3,0)*0.475*44/12</f>
        <v>1.6916015931580088E-17</v>
      </c>
      <c r="GO167" s="21">
        <f t="shared" si="187"/>
        <v>1.966488244891176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5.6843418860808015E-14</v>
      </c>
      <c r="GV167" s="17">
        <f>GU167*VLOOKUP('Données projet'!$B$18,Paramètres!$A$1:$I$89,3,0)*VLOOKUP('Données projet'!$B$18,Paramètres!$A$1:$I$89,5,0)</f>
        <v>4.4337866711430253E-14</v>
      </c>
      <c r="GW167" s="13">
        <f t="shared" si="188"/>
        <v>7.3222115536967035E-13</v>
      </c>
      <c r="GX167" s="20">
        <f t="shared" si="189"/>
        <v>1.3525069634579169E-12</v>
      </c>
      <c r="GY167" s="59">
        <f t="shared" si="137"/>
        <v>293.33333333333468</v>
      </c>
      <c r="GZ167" s="59">
        <f ca="1">AVERAGE(OFFSET($GY$3,0,0,'Données projet'!$E$18+1,1))-AVERAGE(OFFSET($H$3,0,0,'Données projet'!$E$18+1,1))</f>
        <v>288.82868507674738</v>
      </c>
      <c r="HA167" s="59">
        <f t="shared" si="160"/>
        <v>283.48738729114024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6.5519820330709546</v>
      </c>
      <c r="HH167" s="21">
        <f>EXP(-LN(2)/25)*HH166+(1-EXP(-LN(2)/25))/(LN(2)/25)*Calculateur!HC167*Calculateur!HE167*VLOOKUP('Données projet'!$B$18,Paramètres!$A$1:$I$89,3,0)*0.475*44/12</f>
        <v>3.0393971143795433</v>
      </c>
      <c r="HI167" s="21">
        <f>EXP(-LN(2)/2)*HI166+(1-EXP(-LN(2)/2))/(LN(2)/2)*HC167*HF167*VLOOKUP('Données projet'!$B$18,Paramètres!$A$1:$I$89,3,0)*0.475*44/12</f>
        <v>3.0525622853583532E-13</v>
      </c>
      <c r="HJ167" s="22">
        <f t="shared" si="190"/>
        <v>9.5913791474508034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349.71285006949597</v>
      </c>
      <c r="T168" s="59">
        <f t="shared" si="142"/>
        <v>258.51550516456842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28.469323204027553</v>
      </c>
      <c r="AA168" s="21">
        <f>EXP(-LN(2)/25)*AA167+(1-EXP(-LN(2)/25))/(LN(2)/25)*Calculateur!V168*Calculateur!X168*VLOOKUP('Données projet'!$B$9,Paramètres!$A$1:$I$89,3,0)*0.475*44/12</f>
        <v>4.9018626902347435</v>
      </c>
      <c r="AB168" s="21">
        <f>EXP(-LN(2)/2)*AB167+(1-EXP(-LN(2)/2))/(LN(2)/2)*V168*Y168*VLOOKUP('Données projet'!$B$9,Paramètres!$A$1:$I$89,3,0)*0.475*44/12</f>
        <v>1.1369642758718675E-11</v>
      </c>
      <c r="AC168" s="22">
        <f t="shared" si="163"/>
        <v>33.371185894273665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2.5579538487363607E-13</v>
      </c>
      <c r="AJ168" s="13">
        <f>AI168*VLOOKUP('Données projet'!$B$10,Paramètres!$A$1:$I$89,3,0)*VLOOKUP('Données projet'!$B$10,Paramètres!$A$1:$I$89,5,0)</f>
        <v>2.4341488824575211E-13</v>
      </c>
      <c r="AK168" s="13">
        <f t="shared" si="164"/>
        <v>3.2970717324875541E-12</v>
      </c>
      <c r="AL168" s="20">
        <f t="shared" si="165"/>
        <v>6.1663475311105072E-12</v>
      </c>
      <c r="AM168" s="59">
        <f t="shared" si="113"/>
        <v>293.33333333333945</v>
      </c>
      <c r="AN168" s="59">
        <f ca="1">AVERAGE(OFFSET($AM$3,0,0,'Données projet'!$E$10+1,1))-AVERAGE(OFFSET($H$3,0,0,'Données projet'!$E$10+1,1))</f>
        <v>449.28947235329758</v>
      </c>
      <c r="AO168" s="59">
        <f t="shared" si="144"/>
        <v>289.36994109443964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59.404853274299072</v>
      </c>
      <c r="AV168" s="21">
        <f>EXP(-LN(2)/25)*AV167+(1-EXP(-LN(2)/25))/(LN(2)/25)*Calculateur!AQ168*Calculateur!AS168*VLOOKUP('Données projet'!$B$10,Paramètres!$A$1:$I$89,3,0)*0.475*44/12</f>
        <v>9.3817816542444081</v>
      </c>
      <c r="AW168" s="21">
        <f>EXP(-LN(2)/2)*AW167+(1-EXP(-LN(2)/2))/(LN(2)/2)*AQ168*AT168*VLOOKUP('Données projet'!$B$10,Paramètres!$A$1:$I$89,3,0)*0.475*44/12</f>
        <v>3.8634533668480775E-5</v>
      </c>
      <c r="AX168" s="21">
        <f t="shared" si="166"/>
        <v>68.786673563077144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474.04462560000115</v>
      </c>
      <c r="BF168" s="13">
        <f t="shared" si="167"/>
        <v>106.63651269520395</v>
      </c>
      <c r="BG168" s="20">
        <f t="shared" si="168"/>
        <v>1011.3529825308154</v>
      </c>
      <c r="BH168" s="59">
        <f t="shared" si="116"/>
        <v>1304.6863158641488</v>
      </c>
      <c r="BI168" s="59">
        <f ca="1">AVERAGE(OFFSET($BH$3,0,0,'Données projet'!$E$11+1,1))-AVERAGE(OFFSET($H$3,0,0,'Données projet'!$E$11+1,1))</f>
        <v>635.71275911100679</v>
      </c>
      <c r="BJ168" s="59">
        <f t="shared" si="146"/>
        <v>281.7776857269169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57.463672155725483</v>
      </c>
      <c r="BQ168" s="21">
        <f>EXP(-LN(2)/25)*BQ167+(1-EXP(-LN(2)/25))/(LN(2)/25)*Calculateur!BL168*Calculateur!BN168*VLOOKUP('Données projet'!$B$11,Paramètres!$A$1:$I$89,3,0)*0.475*44/12</f>
        <v>22.378916287215556</v>
      </c>
      <c r="BR168" s="21">
        <f>EXP(-LN(2)/2)*BR167+(1-EXP(-LN(2)/2))/(LN(2)/2)*BL168*BO168*VLOOKUP('Données projet'!$B$11,Paramètres!$A$1:$I$89,3,0)*0.475*44/12</f>
        <v>3.4432156765640685E-6</v>
      </c>
      <c r="BS168" s="22">
        <f t="shared" si="169"/>
        <v>79.842591886156711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7.6783333333333319</v>
      </c>
      <c r="BY168" s="12">
        <f>IF('Données projet'!$A$114&gt;35,BY167+BX168-CG167,IF(A168&lt;'Données projet'!$A$114,$BV$205^A168,IF(A168='Données projet'!$A$114,'Données projet'!$B$114,BY167+BX168-CG167)))</f>
        <v>412.61499999999967</v>
      </c>
      <c r="BZ168" s="13">
        <f>BY168*VLOOKUP('Données projet'!$B$12,Paramètres!$A$1:$I$89,3,0)*VLOOKUP('Données projet'!$B$12,Paramètres!$A$1:$I$89,5,0)</f>
        <v>469.88596199999961</v>
      </c>
      <c r="CA168" s="13">
        <f t="shared" si="170"/>
        <v>105.80948774021181</v>
      </c>
      <c r="CB168" s="20">
        <f t="shared" si="171"/>
        <v>1002.6695749642014</v>
      </c>
      <c r="CC168" s="59">
        <f t="shared" si="119"/>
        <v>1296.0029082975348</v>
      </c>
      <c r="CD168" s="59">
        <f ca="1">AVERAGE(OFFSET($CC$3,0,0,'Données projet'!$E$12+1,1))-AVERAGE(OFFSET($H$3,0,0,'Données projet'!$E$12+1,1))</f>
        <v>593.28343396240075</v>
      </c>
      <c r="CE168" s="59">
        <f t="shared" si="148"/>
        <v>289.66477662068695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39.535628667274196</v>
      </c>
      <c r="CL168" s="21">
        <f>EXP(-LN(2)/25)*CL167+(1-EXP(-LN(2)/25))/(LN(2)/25)*Calculateur!CG168*Calculateur!CI168*VLOOKUP('Données projet'!$B$12,Paramètres!$A$1:$I$89,3,0)*0.475*44/12</f>
        <v>20.005277171921229</v>
      </c>
      <c r="CM168" s="21">
        <f>EXP(-LN(2)/2)*CM167+(1-EXP(-LN(2)/2))/(LN(2)/2)*CG168*CJ168*VLOOKUP('Données projet'!$B$12,Paramètres!$A$1:$I$89,3,0)*0.475*44/12</f>
        <v>4.5805011607274503E-3</v>
      </c>
      <c r="CN168" s="22">
        <f t="shared" si="172"/>
        <v>59.545486340356149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2.2737367544323206E-13</v>
      </c>
      <c r="CU168" s="17">
        <f>CT168*VLOOKUP('Données projet'!$B$13,Paramètres!$A$1:$I$89,3,0)*VLOOKUP('Données projet'!$B$13,Paramètres!$A$1:$I$89,5,0)</f>
        <v>2.3765096557326618E-13</v>
      </c>
      <c r="CV168" s="13">
        <f t="shared" si="173"/>
        <v>3.2279907425805489E-12</v>
      </c>
      <c r="CW168" s="20">
        <f t="shared" si="174"/>
        <v>6.0359926417012276E-12</v>
      </c>
      <c r="CX168" s="59">
        <f t="shared" si="122"/>
        <v>293.33333333333934</v>
      </c>
      <c r="CY168" s="59">
        <f ca="1">AVERAGE(OFFSET($CX$3,0,0,'Données projet'!$E$13+1,1))-AVERAGE(OFFSET($H$3,0,0,'Données projet'!$E$13+1,1))</f>
        <v>260.65406541614402</v>
      </c>
      <c r="CZ168" s="59">
        <f t="shared" si="150"/>
        <v>277.63456890196886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4.0790698490807813</v>
      </c>
      <c r="DG168" s="21">
        <f>EXP(-LN(2)/25)*DG167+(1-EXP(-LN(2)/25))/(LN(2)/25)*Calculateur!DB168*Calculateur!DD168*VLOOKUP('Données projet'!$B$13,Paramètres!$A$1:$I$89,3,0)*0.475*44/12</f>
        <v>6.192458068761618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10.271527917842398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2.2737367544323206E-13</v>
      </c>
      <c r="DP168" s="17">
        <f>DO168*VLOOKUP('Données projet'!$B$14,Paramètres!$A$1:$I$89,3,0)*VLOOKUP('Données projet'!$B$14,Paramètres!$A$1:$I$89,5,0)</f>
        <v>1.4897523215040565E-13</v>
      </c>
      <c r="DQ168" s="13">
        <f t="shared" si="176"/>
        <v>2.136562777003313E-12</v>
      </c>
      <c r="DR168" s="20">
        <f t="shared" si="177"/>
        <v>3.9806453659427267E-12</v>
      </c>
      <c r="DS168" s="59">
        <f t="shared" si="125"/>
        <v>293.33333333333729</v>
      </c>
      <c r="DT168" s="59">
        <f ca="1">AVERAGE(OFFSET($DS$3,0,0,'Données projet'!$E$14+1,1))-AVERAGE(OFFSET($H$3,0,0,'Données projet'!$E$14+1,1))</f>
        <v>181.4272795535777</v>
      </c>
      <c r="DU168" s="59">
        <f t="shared" si="152"/>
        <v>187.67131775419904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3.8279293841109419</v>
      </c>
      <c r="EB168" s="21">
        <f>EXP(-LN(2)/25)*EB167+(1-EXP(-LN(2)/25))/(LN(2)/25)*Calculateur!DW168*Calculateur!DY168*VLOOKUP('Données projet'!$B$14,Paramètres!$A$1:$I$89,3,0)*0.475*44/12</f>
        <v>2.2553238133515641</v>
      </c>
      <c r="EC168" s="21">
        <f>EXP(-LN(2)/2)*EC167+(1-EXP(-LN(2)/2))/(LN(2)/2)*DW168*DZ168*VLOOKUP('Données projet'!$B$14,Paramètres!$A$1:$I$89,3,0)*0.475*44/12</f>
        <v>1.2909494112227427E-10</v>
      </c>
      <c r="ED168" s="22">
        <f t="shared" si="178"/>
        <v>6.0832531975916009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9.2222762759774927E-14</v>
      </c>
      <c r="EL168" s="13">
        <f t="shared" si="179"/>
        <v>1.3985662224947967E-12</v>
      </c>
      <c r="EM168" s="20">
        <f t="shared" si="180"/>
        <v>2.5964574826517121E-12</v>
      </c>
      <c r="EN168" s="59">
        <f t="shared" si="128"/>
        <v>293.33333333333593</v>
      </c>
      <c r="EO168" s="59">
        <f ca="1">AVERAGE(OFFSET($EN$3,0,0,'Données projet'!$E$15+1,1))-AVERAGE(OFFSET($H$3,0,0,'Données projet'!$E$15+1,1))</f>
        <v>159.68591355116837</v>
      </c>
      <c r="EP168" s="59">
        <f t="shared" si="154"/>
        <v>284.32631786390112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1.2267718272508095</v>
      </c>
      <c r="EW168" s="21">
        <f>EXP(-LN(2)/25)*EW167+(1-EXP(-LN(2)/25))/(LN(2)/25)*Calculateur!ER168*Calculateur!ET168*VLOOKUP('Données projet'!$B$15,Paramètres!$A$1:$I$89,3,0)*0.475*44/12</f>
        <v>0.60375082412404735</v>
      </c>
      <c r="EX168" s="21">
        <f>EXP(-LN(2)/2)*EX167+(1-EXP(-LN(2)/2))/(LN(2)/2)*ER168*EU168*VLOOKUP('Données projet'!$B$15,Paramètres!$A$1:$I$89,3,0)*0.475*44/12</f>
        <v>4.474474388647227E-18</v>
      </c>
      <c r="EY168" s="22">
        <f t="shared" si="181"/>
        <v>1.8305226513748569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-1.3567387213697657E-13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299.10536994156814</v>
      </c>
      <c r="FK168" s="59">
        <f t="shared" si="156"/>
        <v>292.57799203101769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7.5457424915043099</v>
      </c>
      <c r="FR168" s="21">
        <f>EXP(-LN(2)/25)*FR167+(1-EXP(-LN(2)/25))/(LN(2)/25)*Calculateur!FM168*Calculateur!FO168*VLOOKUP('Données projet'!$B$16,Paramètres!$A$1:$I$89,3,0)*0.475*44/12</f>
        <v>4.0130560277050398</v>
      </c>
      <c r="FS168" s="21">
        <f>EXP(-LN(2)/2)*FS167+(1-EXP(-LN(2)/2))/(LN(2)/2)*FM168*FP168*VLOOKUP('Données projet'!$B$16,Paramètres!$A$1:$I$89,3,0)*0.475*44/12</f>
        <v>8.3572026111711015E-12</v>
      </c>
      <c r="FT168" s="22">
        <f t="shared" si="184"/>
        <v>11.558798519217708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5.6843418860808015E-14</v>
      </c>
      <c r="GA168" s="17">
        <f>FZ168*VLOOKUP('Données projet'!$B$17,Paramètres!$A$1:$I$89,3,0)*VLOOKUP('Données projet'!$B$17,Paramètres!$A$1:$I$89,5,0)</f>
        <v>5.1431925385259088E-14</v>
      </c>
      <c r="GB168" s="13">
        <f t="shared" si="185"/>
        <v>8.3482866290946129E-13</v>
      </c>
      <c r="GC168" s="20">
        <f t="shared" si="186"/>
        <v>1.5435705246133045E-12</v>
      </c>
      <c r="GD168" s="59">
        <f t="shared" si="134"/>
        <v>293.33333333333485</v>
      </c>
      <c r="GE168" s="59">
        <f ca="1">AVERAGE(OFFSET($GD$3,0,0,'Données projet'!$E$17+1,1))-AVERAGE(OFFSET($H$3,0,0,'Données projet'!$E$17+1,1))</f>
        <v>204.78565758021779</v>
      </c>
      <c r="GF168" s="59">
        <f t="shared" si="158"/>
        <v>287.25131613242439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1.4497048395243679</v>
      </c>
      <c r="GM168" s="21">
        <f>EXP(-LN(2)/25)*GM167+(1-EXP(-LN(2)/25))/(LN(2)/25)*Calculateur!GH168*Calculateur!GJ168*VLOOKUP('Données projet'!$B$17,Paramètres!$A$1:$I$89,3,0)*0.475*44/12</f>
        <v>0.47444841489696082</v>
      </c>
      <c r="GN168" s="21">
        <f>EXP(-LN(2)/2)*GN167+(1-EXP(-LN(2)/2))/(LN(2)/2)*GH168*GK168*VLOOKUP('Données projet'!$B$17,Paramètres!$A$1:$I$89,3,0)*0.475*44/12</f>
        <v>1.1961429575879953E-17</v>
      </c>
      <c r="GO168" s="21">
        <f t="shared" si="187"/>
        <v>1.9241532544213287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5.6843418860808015E-14</v>
      </c>
      <c r="GV168" s="17">
        <f>GU168*VLOOKUP('Données projet'!$B$18,Paramètres!$A$1:$I$89,3,0)*VLOOKUP('Données projet'!$B$18,Paramètres!$A$1:$I$89,5,0)</f>
        <v>4.4337866711430253E-14</v>
      </c>
      <c r="GW168" s="13">
        <f t="shared" si="188"/>
        <v>7.3222115536967035E-13</v>
      </c>
      <c r="GX168" s="20">
        <f t="shared" si="189"/>
        <v>1.3525069634579169E-12</v>
      </c>
      <c r="GY168" s="59">
        <f t="shared" si="137"/>
        <v>293.33333333333468</v>
      </c>
      <c r="GZ168" s="59">
        <f ca="1">AVERAGE(OFFSET($GY$3,0,0,'Données projet'!$E$18+1,1))-AVERAGE(OFFSET($H$3,0,0,'Données projet'!$E$18+1,1))</f>
        <v>288.82868507674738</v>
      </c>
      <c r="HA168" s="59">
        <f t="shared" si="160"/>
        <v>283.48738729114024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6.4235016617168696</v>
      </c>
      <c r="HH168" s="21">
        <f>EXP(-LN(2)/25)*HH167+(1-EXP(-LN(2)/25))/(LN(2)/25)*Calculateur!HC168*Calculateur!HE168*VLOOKUP('Données projet'!$B$18,Paramètres!$A$1:$I$89,3,0)*0.475*44/12</f>
        <v>2.9562846404518872</v>
      </c>
      <c r="HI168" s="21">
        <f>EXP(-LN(2)/2)*HI167+(1-EXP(-LN(2)/2))/(LN(2)/2)*HC168*HF168*VLOOKUP('Données projet'!$B$18,Paramètres!$A$1:$I$89,3,0)*0.475*44/12</f>
        <v>2.1584874919711966E-13</v>
      </c>
      <c r="HJ168" s="22">
        <f t="shared" si="190"/>
        <v>9.3797863021689736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349.71285006949597</v>
      </c>
      <c r="T169" s="59">
        <f t="shared" si="142"/>
        <v>258.51550516456842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27.911057140569117</v>
      </c>
      <c r="AA169" s="21">
        <f>EXP(-LN(2)/25)*AA168+(1-EXP(-LN(2)/25))/(LN(2)/25)*Calculateur!V169*Calculateur!X169*VLOOKUP('Données projet'!$B$9,Paramètres!$A$1:$I$89,3,0)*0.475*44/12</f>
        <v>4.7678209971925192</v>
      </c>
      <c r="AB169" s="21">
        <f>EXP(-LN(2)/2)*AB168+(1-EXP(-LN(2)/2))/(LN(2)/2)*V169*Y169*VLOOKUP('Données projet'!$B$9,Paramètres!$A$1:$I$89,3,0)*0.475*44/12</f>
        <v>8.0395514943585007E-12</v>
      </c>
      <c r="AC169" s="22">
        <f t="shared" si="163"/>
        <v>32.678878137769672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2.5579538487363607E-13</v>
      </c>
      <c r="AJ169" s="13">
        <f>AI169*VLOOKUP('Données projet'!$B$10,Paramètres!$A$1:$I$89,3,0)*VLOOKUP('Données projet'!$B$10,Paramètres!$A$1:$I$89,5,0)</f>
        <v>2.4341488824575211E-13</v>
      </c>
      <c r="AK169" s="13">
        <f t="shared" si="164"/>
        <v>3.2970717324875541E-12</v>
      </c>
      <c r="AL169" s="20">
        <f t="shared" si="165"/>
        <v>6.1663475311105072E-12</v>
      </c>
      <c r="AM169" s="59">
        <f t="shared" si="113"/>
        <v>293.33333333333945</v>
      </c>
      <c r="AN169" s="59">
        <f ca="1">AVERAGE(OFFSET($AM$3,0,0,'Données projet'!$E$10+1,1))-AVERAGE(OFFSET($H$3,0,0,'Données projet'!$E$10+1,1))</f>
        <v>449.28947235329758</v>
      </c>
      <c r="AO169" s="59">
        <f t="shared" si="144"/>
        <v>289.36994109443964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58.239960334972814</v>
      </c>
      <c r="AV169" s="21">
        <f>EXP(-LN(2)/25)*AV168+(1-EXP(-LN(2)/25))/(LN(2)/25)*Calculateur!AQ169*Calculateur!AS169*VLOOKUP('Données projet'!$B$10,Paramètres!$A$1:$I$89,3,0)*0.475*44/12</f>
        <v>9.1252363415426405</v>
      </c>
      <c r="AW169" s="21">
        <f>EXP(-LN(2)/2)*AW168+(1-EXP(-LN(2)/2))/(LN(2)/2)*AQ169*AT169*VLOOKUP('Données projet'!$B$10,Paramètres!$A$1:$I$89,3,0)*0.475*44/12</f>
        <v>2.7318740744962739E-5</v>
      </c>
      <c r="AX169" s="21">
        <f t="shared" si="166"/>
        <v>67.365223995256201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482.75061120000112</v>
      </c>
      <c r="BF169" s="13">
        <f t="shared" si="167"/>
        <v>108.36513078962237</v>
      </c>
      <c r="BG169" s="20">
        <f t="shared" si="168"/>
        <v>1029.5265839652609</v>
      </c>
      <c r="BH169" s="59">
        <f t="shared" si="116"/>
        <v>1322.8599172985942</v>
      </c>
      <c r="BI169" s="59">
        <f ca="1">AVERAGE(OFFSET($BH$3,0,0,'Données projet'!$E$11+1,1))-AVERAGE(OFFSET($H$3,0,0,'Données projet'!$E$11+1,1))</f>
        <v>635.71275911100679</v>
      </c>
      <c r="BJ169" s="59">
        <f t="shared" si="146"/>
        <v>281.7776857269169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56.336844594130881</v>
      </c>
      <c r="BQ169" s="21">
        <f>EXP(-LN(2)/25)*BQ168+(1-EXP(-LN(2)/25))/(LN(2)/25)*Calculateur!BL169*Calculateur!BN169*VLOOKUP('Données projet'!$B$11,Paramètres!$A$1:$I$89,3,0)*0.475*44/12</f>
        <v>21.766963644485589</v>
      </c>
      <c r="BR169" s="21">
        <f>EXP(-LN(2)/2)*BR168+(1-EXP(-LN(2)/2))/(LN(2)/2)*BL169*BO169*VLOOKUP('Données projet'!$B$11,Paramètres!$A$1:$I$89,3,0)*0.475*44/12</f>
        <v>2.434721153986279E-6</v>
      </c>
      <c r="BS169" s="22">
        <f t="shared" si="169"/>
        <v>78.10381067333762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7.6783333333333319</v>
      </c>
      <c r="BY169" s="12">
        <f>IF('Données projet'!$A$114&gt;35,BY168+BX169-CG168,IF(A169&lt;'Données projet'!$A$114,$BV$205^A169,IF(A169='Données projet'!$A$114,'Données projet'!$B$114,BY168+BX169-CG168)))</f>
        <v>420.29333333333301</v>
      </c>
      <c r="BZ169" s="13">
        <f>BY169*VLOOKUP('Données projet'!$B$12,Paramètres!$A$1:$I$89,3,0)*VLOOKUP('Données projet'!$B$12,Paramètres!$A$1:$I$89,5,0)</f>
        <v>478.63004799999959</v>
      </c>
      <c r="CA169" s="13">
        <f t="shared" si="170"/>
        <v>107.54742816141284</v>
      </c>
      <c r="CB169" s="20">
        <f t="shared" si="171"/>
        <v>1020.9257709811267</v>
      </c>
      <c r="CC169" s="59">
        <f t="shared" si="119"/>
        <v>1314.25910431446</v>
      </c>
      <c r="CD169" s="59">
        <f ca="1">AVERAGE(OFFSET($CC$3,0,0,'Données projet'!$E$12+1,1))-AVERAGE(OFFSET($H$3,0,0,'Données projet'!$E$12+1,1))</f>
        <v>593.28343396240075</v>
      </c>
      <c r="CE169" s="59">
        <f t="shared" si="148"/>
        <v>289.66477662068695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38.76035910346134</v>
      </c>
      <c r="CL169" s="21">
        <f>EXP(-LN(2)/25)*CL168+(1-EXP(-LN(2)/25))/(LN(2)/25)*Calculateur!CG169*Calculateur!CI169*VLOOKUP('Données projet'!$B$12,Paramètres!$A$1:$I$89,3,0)*0.475*44/12</f>
        <v>19.45823181562324</v>
      </c>
      <c r="CM169" s="21">
        <f>EXP(-LN(2)/2)*CM168+(1-EXP(-LN(2)/2))/(LN(2)/2)*CG169*CJ169*VLOOKUP('Données projet'!$B$12,Paramètres!$A$1:$I$89,3,0)*0.475*44/12</f>
        <v>3.2389034319832322E-3</v>
      </c>
      <c r="CN169" s="22">
        <f t="shared" si="172"/>
        <v>58.221829822516561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2.2737367544323206E-13</v>
      </c>
      <c r="CU169" s="17">
        <f>CT169*VLOOKUP('Données projet'!$B$13,Paramètres!$A$1:$I$89,3,0)*VLOOKUP('Données projet'!$B$13,Paramètres!$A$1:$I$89,5,0)</f>
        <v>2.3765096557326618E-13</v>
      </c>
      <c r="CV169" s="13">
        <f t="shared" si="173"/>
        <v>3.2279907425805489E-12</v>
      </c>
      <c r="CW169" s="20">
        <f t="shared" si="174"/>
        <v>6.0359926417012276E-12</v>
      </c>
      <c r="CX169" s="59">
        <f t="shared" si="122"/>
        <v>293.33333333333934</v>
      </c>
      <c r="CY169" s="59">
        <f ca="1">AVERAGE(OFFSET($CX$3,0,0,'Données projet'!$E$13+1,1))-AVERAGE(OFFSET($H$3,0,0,'Données projet'!$E$13+1,1))</f>
        <v>260.65406541614402</v>
      </c>
      <c r="CZ169" s="59">
        <f t="shared" si="150"/>
        <v>277.63456890196886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3.9990817773272469</v>
      </c>
      <c r="DG169" s="21">
        <f>EXP(-LN(2)/25)*DG168+(1-EXP(-LN(2)/25))/(LN(2)/25)*Calculateur!DB169*Calculateur!DD169*VLOOKUP('Données projet'!$B$13,Paramètres!$A$1:$I$89,3,0)*0.475*44/12</f>
        <v>6.0231249772241151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10.022206754551362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2.2737367544323206E-13</v>
      </c>
      <c r="DP169" s="17">
        <f>DO169*VLOOKUP('Données projet'!$B$14,Paramètres!$A$1:$I$89,3,0)*VLOOKUP('Données projet'!$B$14,Paramètres!$A$1:$I$89,5,0)</f>
        <v>1.4897523215040565E-13</v>
      </c>
      <c r="DQ169" s="13">
        <f t="shared" si="176"/>
        <v>2.136562777003313E-12</v>
      </c>
      <c r="DR169" s="20">
        <f t="shared" si="177"/>
        <v>3.9806453659427267E-12</v>
      </c>
      <c r="DS169" s="59">
        <f t="shared" si="125"/>
        <v>293.33333333333729</v>
      </c>
      <c r="DT169" s="59">
        <f ca="1">AVERAGE(OFFSET($DS$3,0,0,'Données projet'!$E$14+1,1))-AVERAGE(OFFSET($H$3,0,0,'Données projet'!$E$14+1,1))</f>
        <v>181.4272795535777</v>
      </c>
      <c r="DU169" s="59">
        <f t="shared" si="152"/>
        <v>187.67131775419904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3.7528660236949074</v>
      </c>
      <c r="EB169" s="21">
        <f>EXP(-LN(2)/25)*EB168+(1-EXP(-LN(2)/25))/(LN(2)/25)*Calculateur!DW169*Calculateur!DY169*VLOOKUP('Données projet'!$B$14,Paramètres!$A$1:$I$89,3,0)*0.475*44/12</f>
        <v>2.1936518650731407</v>
      </c>
      <c r="EC169" s="21">
        <f>EXP(-LN(2)/2)*EC168+(1-EXP(-LN(2)/2))/(LN(2)/2)*DW169*DZ169*VLOOKUP('Données projet'!$B$14,Paramètres!$A$1:$I$89,3,0)*0.475*44/12</f>
        <v>9.128390828443823E-11</v>
      </c>
      <c r="ED169" s="22">
        <f t="shared" si="178"/>
        <v>5.946517888859332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9.2222762759774927E-14</v>
      </c>
      <c r="EL169" s="13">
        <f t="shared" si="179"/>
        <v>1.3985662224947967E-12</v>
      </c>
      <c r="EM169" s="20">
        <f t="shared" si="180"/>
        <v>2.5964574826517121E-12</v>
      </c>
      <c r="EN169" s="59">
        <f t="shared" si="128"/>
        <v>293.33333333333593</v>
      </c>
      <c r="EO169" s="59">
        <f ca="1">AVERAGE(OFFSET($EN$3,0,0,'Données projet'!$E$15+1,1))-AVERAGE(OFFSET($H$3,0,0,'Données projet'!$E$15+1,1))</f>
        <v>159.68591355116837</v>
      </c>
      <c r="EP169" s="59">
        <f t="shared" si="154"/>
        <v>284.32631786390112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1.2027155799753515</v>
      </c>
      <c r="EW169" s="21">
        <f>EXP(-LN(2)/25)*EW168+(1-EXP(-LN(2)/25))/(LN(2)/25)*Calculateur!ER169*Calculateur!ET169*VLOOKUP('Données projet'!$B$15,Paramètres!$A$1:$I$89,3,0)*0.475*44/12</f>
        <v>0.58724122608849927</v>
      </c>
      <c r="EX169" s="21">
        <f>EXP(-LN(2)/2)*EX168+(1-EXP(-LN(2)/2))/(LN(2)/2)*ER169*EU169*VLOOKUP('Données projet'!$B$15,Paramètres!$A$1:$I$89,3,0)*0.475*44/12</f>
        <v>3.1639311824579858E-18</v>
      </c>
      <c r="EY169" s="22">
        <f t="shared" si="181"/>
        <v>1.7899568060638509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-1.3567387213697657E-13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299.10536994156814</v>
      </c>
      <c r="FK169" s="59">
        <f t="shared" si="156"/>
        <v>292.57799203101769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7.3977750836943761</v>
      </c>
      <c r="FR169" s="21">
        <f>EXP(-LN(2)/25)*FR168+(1-EXP(-LN(2)/25))/(LN(2)/25)*Calculateur!FM169*Calculateur!FO169*VLOOKUP('Données projet'!$B$16,Paramètres!$A$1:$I$89,3,0)*0.475*44/12</f>
        <v>3.9033187995900009</v>
      </c>
      <c r="FS169" s="21">
        <f>EXP(-LN(2)/2)*FS168+(1-EXP(-LN(2)/2))/(LN(2)/2)*FM169*FP169*VLOOKUP('Données projet'!$B$16,Paramètres!$A$1:$I$89,3,0)*0.475*44/12</f>
        <v>5.9094346381090077E-12</v>
      </c>
      <c r="FT169" s="22">
        <f t="shared" si="184"/>
        <v>11.301093883290287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5.6843418860808015E-14</v>
      </c>
      <c r="GA169" s="17">
        <f>FZ169*VLOOKUP('Données projet'!$B$17,Paramètres!$A$1:$I$89,3,0)*VLOOKUP('Données projet'!$B$17,Paramètres!$A$1:$I$89,5,0)</f>
        <v>5.1431925385259088E-14</v>
      </c>
      <c r="GB169" s="13">
        <f t="shared" si="185"/>
        <v>8.3482866290946129E-13</v>
      </c>
      <c r="GC169" s="20">
        <f t="shared" si="186"/>
        <v>1.5435705246133045E-12</v>
      </c>
      <c r="GD169" s="59">
        <f t="shared" si="134"/>
        <v>293.33333333333485</v>
      </c>
      <c r="GE169" s="59">
        <f ca="1">AVERAGE(OFFSET($GD$3,0,0,'Données projet'!$E$17+1,1))-AVERAGE(OFFSET($H$3,0,0,'Données projet'!$E$17+1,1))</f>
        <v>204.78565758021779</v>
      </c>
      <c r="GF169" s="59">
        <f t="shared" si="158"/>
        <v>287.25131613242439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1.4212770118539364</v>
      </c>
      <c r="GM169" s="21">
        <f>EXP(-LN(2)/25)*GM168+(1-EXP(-LN(2)/25))/(LN(2)/25)*Calculateur!GH169*Calculateur!GJ169*VLOOKUP('Données projet'!$B$17,Paramètres!$A$1:$I$89,3,0)*0.475*44/12</f>
        <v>0.46147459804144564</v>
      </c>
      <c r="GN169" s="21">
        <f>EXP(-LN(2)/2)*GN168+(1-EXP(-LN(2)/2))/(LN(2)/2)*GH169*GK169*VLOOKUP('Données projet'!$B$17,Paramètres!$A$1:$I$89,3,0)*0.475*44/12</f>
        <v>8.4580079657900438E-18</v>
      </c>
      <c r="GO169" s="21">
        <f t="shared" si="187"/>
        <v>1.882751609895382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5.6843418860808015E-14</v>
      </c>
      <c r="GV169" s="17">
        <f>GU169*VLOOKUP('Données projet'!$B$18,Paramètres!$A$1:$I$89,3,0)*VLOOKUP('Données projet'!$B$18,Paramètres!$A$1:$I$89,5,0)</f>
        <v>4.4337866711430253E-14</v>
      </c>
      <c r="GW169" s="13">
        <f t="shared" si="188"/>
        <v>7.3222115536967035E-13</v>
      </c>
      <c r="GX169" s="20">
        <f t="shared" si="189"/>
        <v>1.3525069634579169E-12</v>
      </c>
      <c r="GY169" s="59">
        <f t="shared" si="137"/>
        <v>293.33333333333468</v>
      </c>
      <c r="GZ169" s="59">
        <f ca="1">AVERAGE(OFFSET($GY$3,0,0,'Données projet'!$E$18+1,1))-AVERAGE(OFFSET($H$3,0,0,'Données projet'!$E$18+1,1))</f>
        <v>288.82868507674738</v>
      </c>
      <c r="HA169" s="59">
        <f t="shared" si="160"/>
        <v>283.48738729114024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6.2975407120797504</v>
      </c>
      <c r="HH169" s="21">
        <f>EXP(-LN(2)/25)*HH168+(1-EXP(-LN(2)/25))/(LN(2)/25)*Calculateur!HC169*Calculateur!HE169*VLOOKUP('Données projet'!$B$18,Paramètres!$A$1:$I$89,3,0)*0.475*44/12</f>
        <v>2.8754448814944777</v>
      </c>
      <c r="HI169" s="21">
        <f>EXP(-LN(2)/2)*HI168+(1-EXP(-LN(2)/2))/(LN(2)/2)*HC169*HF169*VLOOKUP('Données projet'!$B$18,Paramètres!$A$1:$I$89,3,0)*0.475*44/12</f>
        <v>1.5262811426791766E-13</v>
      </c>
      <c r="HJ169" s="22">
        <f t="shared" si="190"/>
        <v>9.1729855935743814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349.71285006949597</v>
      </c>
      <c r="T170" s="59">
        <f t="shared" si="142"/>
        <v>258.51550516456842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27.363738334106426</v>
      </c>
      <c r="AA170" s="21">
        <f>EXP(-LN(2)/25)*AA169+(1-EXP(-LN(2)/25))/(LN(2)/25)*Calculateur!V170*Calculateur!X170*VLOOKUP('Données projet'!$B$9,Paramètres!$A$1:$I$89,3,0)*0.475*44/12</f>
        <v>4.6374446812954808</v>
      </c>
      <c r="AB170" s="21">
        <f>EXP(-LN(2)/2)*AB169+(1-EXP(-LN(2)/2))/(LN(2)/2)*V170*Y170*VLOOKUP('Données projet'!$B$9,Paramètres!$A$1:$I$89,3,0)*0.475*44/12</f>
        <v>5.6848213793593375E-12</v>
      </c>
      <c r="AC170" s="22">
        <f t="shared" si="163"/>
        <v>32.001183015407591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2.5579538487363607E-13</v>
      </c>
      <c r="AJ170" s="13">
        <f>AI170*VLOOKUP('Données projet'!$B$10,Paramètres!$A$1:$I$89,3,0)*VLOOKUP('Données projet'!$B$10,Paramètres!$A$1:$I$89,5,0)</f>
        <v>2.4341488824575211E-13</v>
      </c>
      <c r="AK170" s="13">
        <f t="shared" si="164"/>
        <v>3.2970717324875541E-12</v>
      </c>
      <c r="AL170" s="20">
        <f t="shared" si="165"/>
        <v>6.1663475311105072E-12</v>
      </c>
      <c r="AM170" s="59">
        <f t="shared" si="113"/>
        <v>293.33333333333945</v>
      </c>
      <c r="AN170" s="59">
        <f ca="1">AVERAGE(OFFSET($AM$3,0,0,'Données projet'!$E$10+1,1))-AVERAGE(OFFSET($H$3,0,0,'Données projet'!$E$10+1,1))</f>
        <v>449.28947235329758</v>
      </c>
      <c r="AO170" s="59">
        <f t="shared" si="144"/>
        <v>289.36994109443964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57.097910235672209</v>
      </c>
      <c r="AV170" s="21">
        <f>EXP(-LN(2)/25)*AV169+(1-EXP(-LN(2)/25))/(LN(2)/25)*Calculateur!AQ170*Calculateur!AS170*VLOOKUP('Données projet'!$B$10,Paramètres!$A$1:$I$89,3,0)*0.475*44/12</f>
        <v>8.8757062739078343</v>
      </c>
      <c r="AW170" s="21">
        <f>EXP(-LN(2)/2)*AW169+(1-EXP(-LN(2)/2))/(LN(2)/2)*AQ170*AT170*VLOOKUP('Données projet'!$B$10,Paramètres!$A$1:$I$89,3,0)*0.475*44/12</f>
        <v>1.9317266834240387E-5</v>
      </c>
      <c r="AX170" s="21">
        <f t="shared" si="166"/>
        <v>65.973635826846873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491.45659680000102</v>
      </c>
      <c r="BF170" s="13">
        <f t="shared" si="167"/>
        <v>110.09012381497753</v>
      </c>
      <c r="BG170" s="20">
        <f t="shared" si="168"/>
        <v>1047.6938717377543</v>
      </c>
      <c r="BH170" s="59">
        <f t="shared" si="116"/>
        <v>1341.0272050710876</v>
      </c>
      <c r="BI170" s="59">
        <f ca="1">AVERAGE(OFFSET($BH$3,0,0,'Données projet'!$E$11+1,1))-AVERAGE(OFFSET($H$3,0,0,'Données projet'!$E$11+1,1))</f>
        <v>635.71275911100679</v>
      </c>
      <c r="BJ170" s="59">
        <f t="shared" si="146"/>
        <v>281.7776857269169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55.232113433722205</v>
      </c>
      <c r="BQ170" s="21">
        <f>EXP(-LN(2)/25)*BQ169+(1-EXP(-LN(2)/25))/(LN(2)/25)*Calculateur!BL170*Calculateur!BN170*VLOOKUP('Données projet'!$B$11,Paramètres!$A$1:$I$89,3,0)*0.475*44/12</f>
        <v>21.171744878952261</v>
      </c>
      <c r="BR170" s="21">
        <f>EXP(-LN(2)/2)*BR169+(1-EXP(-LN(2)/2))/(LN(2)/2)*BL170*BO170*VLOOKUP('Données projet'!$B$11,Paramètres!$A$1:$I$89,3,0)*0.475*44/12</f>
        <v>1.7216078382820342E-6</v>
      </c>
      <c r="BS170" s="22">
        <f t="shared" si="169"/>
        <v>76.403860034282303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7.6783333333333319</v>
      </c>
      <c r="BY170" s="12">
        <f>IF('Données projet'!$A$114&gt;35,BY169+BX170-CG169,IF(A170&lt;'Données projet'!$A$114,$BV$205^A170,IF(A170='Données projet'!$A$114,'Données projet'!$B$114,BY169+BX170-CG169)))</f>
        <v>427.97166666666635</v>
      </c>
      <c r="BZ170" s="13">
        <f>BY170*VLOOKUP('Données projet'!$B$12,Paramètres!$A$1:$I$89,3,0)*VLOOKUP('Données projet'!$B$12,Paramètres!$A$1:$I$89,5,0)</f>
        <v>487.37413399999963</v>
      </c>
      <c r="CA170" s="13">
        <f t="shared" si="170"/>
        <v>109.28167654445673</v>
      </c>
      <c r="CB170" s="20">
        <f t="shared" si="171"/>
        <v>1039.1755366982613</v>
      </c>
      <c r="CC170" s="59">
        <f t="shared" si="119"/>
        <v>1332.5088700315946</v>
      </c>
      <c r="CD170" s="59">
        <f ca="1">AVERAGE(OFFSET($CC$3,0,0,'Données projet'!$E$12+1,1))-AVERAGE(OFFSET($H$3,0,0,'Données projet'!$E$12+1,1))</f>
        <v>593.28343396240075</v>
      </c>
      <c r="CE170" s="59">
        <f t="shared" si="148"/>
        <v>289.66477662068695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38.000292102927112</v>
      </c>
      <c r="CL170" s="21">
        <f>EXP(-LN(2)/25)*CL169+(1-EXP(-LN(2)/25))/(LN(2)/25)*Calculateur!CG170*Calculateur!CI170*VLOOKUP('Données projet'!$B$12,Paramètres!$A$1:$I$89,3,0)*0.475*44/12</f>
        <v>18.926145443361083</v>
      </c>
      <c r="CM170" s="21">
        <f>EXP(-LN(2)/2)*CM169+(1-EXP(-LN(2)/2))/(LN(2)/2)*CG170*CJ170*VLOOKUP('Données projet'!$B$12,Paramètres!$A$1:$I$89,3,0)*0.475*44/12</f>
        <v>2.2902505803637251E-3</v>
      </c>
      <c r="CN170" s="22">
        <f t="shared" si="172"/>
        <v>56.928727796868564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2.2737367544323206E-13</v>
      </c>
      <c r="CU170" s="17">
        <f>CT170*VLOOKUP('Données projet'!$B$13,Paramètres!$A$1:$I$89,3,0)*VLOOKUP('Données projet'!$B$13,Paramètres!$A$1:$I$89,5,0)</f>
        <v>2.3765096557326618E-13</v>
      </c>
      <c r="CV170" s="13">
        <f t="shared" si="173"/>
        <v>3.2279907425805489E-12</v>
      </c>
      <c r="CW170" s="20">
        <f t="shared" si="174"/>
        <v>6.0359926417012276E-12</v>
      </c>
      <c r="CX170" s="59">
        <f t="shared" si="122"/>
        <v>293.33333333333934</v>
      </c>
      <c r="CY170" s="59">
        <f ca="1">AVERAGE(OFFSET($CX$3,0,0,'Données projet'!$E$13+1,1))-AVERAGE(OFFSET($H$3,0,0,'Données projet'!$E$13+1,1))</f>
        <v>260.65406541614402</v>
      </c>
      <c r="CZ170" s="59">
        <f t="shared" si="150"/>
        <v>277.63456890196886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3.9206622228728927</v>
      </c>
      <c r="DG170" s="21">
        <f>EXP(-LN(2)/25)*DG169+(1-EXP(-LN(2)/25))/(LN(2)/25)*Calculateur!DB170*Calculateur!DD170*VLOOKUP('Données projet'!$B$13,Paramètres!$A$1:$I$89,3,0)*0.475*44/12</f>
        <v>5.858422307979545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9.7790845308524368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2.2737367544323206E-13</v>
      </c>
      <c r="DP170" s="17">
        <f>DO170*VLOOKUP('Données projet'!$B$14,Paramètres!$A$1:$I$89,3,0)*VLOOKUP('Données projet'!$B$14,Paramètres!$A$1:$I$89,5,0)</f>
        <v>1.4897523215040565E-13</v>
      </c>
      <c r="DQ170" s="13">
        <f t="shared" si="176"/>
        <v>2.136562777003313E-12</v>
      </c>
      <c r="DR170" s="20">
        <f t="shared" si="177"/>
        <v>3.9806453659427267E-12</v>
      </c>
      <c r="DS170" s="59">
        <f t="shared" si="125"/>
        <v>293.33333333333729</v>
      </c>
      <c r="DT170" s="59">
        <f ca="1">AVERAGE(OFFSET($DS$3,0,0,'Données projet'!$E$14+1,1))-AVERAGE(OFFSET($H$3,0,0,'Données projet'!$E$14+1,1))</f>
        <v>181.4272795535777</v>
      </c>
      <c r="DU170" s="59">
        <f t="shared" si="152"/>
        <v>187.67131775419904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3.6792746099925027</v>
      </c>
      <c r="EB170" s="21">
        <f>EXP(-LN(2)/25)*EB169+(1-EXP(-LN(2)/25))/(LN(2)/25)*Calculateur!DW170*Calculateur!DY170*VLOOKUP('Données projet'!$B$14,Paramètres!$A$1:$I$89,3,0)*0.475*44/12</f>
        <v>2.1336663394635775</v>
      </c>
      <c r="EC170" s="21">
        <f>EXP(-LN(2)/2)*EC169+(1-EXP(-LN(2)/2))/(LN(2)/2)*DW170*DZ170*VLOOKUP('Données projet'!$B$14,Paramètres!$A$1:$I$89,3,0)*0.475*44/12</f>
        <v>6.4547470561137135E-11</v>
      </c>
      <c r="ED170" s="22">
        <f t="shared" si="178"/>
        <v>5.8129409495206277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9.2222762759774927E-14</v>
      </c>
      <c r="EL170" s="13">
        <f t="shared" si="179"/>
        <v>1.3985662224947967E-12</v>
      </c>
      <c r="EM170" s="20">
        <f t="shared" si="180"/>
        <v>2.5964574826517121E-12</v>
      </c>
      <c r="EN170" s="59">
        <f t="shared" si="128"/>
        <v>293.33333333333593</v>
      </c>
      <c r="EO170" s="59">
        <f ca="1">AVERAGE(OFFSET($EN$3,0,0,'Données projet'!$E$15+1,1))-AVERAGE(OFFSET($H$3,0,0,'Données projet'!$E$15+1,1))</f>
        <v>159.68591355116837</v>
      </c>
      <c r="EP170" s="59">
        <f t="shared" si="154"/>
        <v>284.32631786390112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1.1791310610361032</v>
      </c>
      <c r="EW170" s="21">
        <f>EXP(-LN(2)/25)*EW169+(1-EXP(-LN(2)/25))/(LN(2)/25)*Calculateur!ER170*Calculateur!ET170*VLOOKUP('Données projet'!$B$15,Paramètres!$A$1:$I$89,3,0)*0.475*44/12</f>
        <v>0.57118308387943528</v>
      </c>
      <c r="EX170" s="21">
        <f>EXP(-LN(2)/2)*EX169+(1-EXP(-LN(2)/2))/(LN(2)/2)*ER170*EU170*VLOOKUP('Données projet'!$B$15,Paramètres!$A$1:$I$89,3,0)*0.475*44/12</f>
        <v>2.2372371943236135E-18</v>
      </c>
      <c r="EY170" s="22">
        <f t="shared" si="181"/>
        <v>1.7503141449155386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-1.3567387213697657E-13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299.10536994156814</v>
      </c>
      <c r="FK170" s="59">
        <f t="shared" si="156"/>
        <v>292.57799203101769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7.2527092265003876</v>
      </c>
      <c r="FR170" s="21">
        <f>EXP(-LN(2)/25)*FR169+(1-EXP(-LN(2)/25))/(LN(2)/25)*Calculateur!FM170*Calculateur!FO170*VLOOKUP('Données projet'!$B$16,Paramètres!$A$1:$I$89,3,0)*0.475*44/12</f>
        <v>3.7965823417485978</v>
      </c>
      <c r="FS170" s="21">
        <f>EXP(-LN(2)/2)*FS169+(1-EXP(-LN(2)/2))/(LN(2)/2)*FM170*FP170*VLOOKUP('Données projet'!$B$16,Paramètres!$A$1:$I$89,3,0)*0.475*44/12</f>
        <v>4.1786013055855507E-12</v>
      </c>
      <c r="FT170" s="22">
        <f t="shared" si="184"/>
        <v>11.049291568253164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5.6843418860808015E-14</v>
      </c>
      <c r="GA170" s="17">
        <f>FZ170*VLOOKUP('Données projet'!$B$17,Paramètres!$A$1:$I$89,3,0)*VLOOKUP('Données projet'!$B$17,Paramètres!$A$1:$I$89,5,0)</f>
        <v>5.1431925385259088E-14</v>
      </c>
      <c r="GB170" s="13">
        <f t="shared" si="185"/>
        <v>8.3482866290946129E-13</v>
      </c>
      <c r="GC170" s="20">
        <f t="shared" si="186"/>
        <v>1.5435705246133045E-12</v>
      </c>
      <c r="GD170" s="59">
        <f t="shared" si="134"/>
        <v>293.33333333333485</v>
      </c>
      <c r="GE170" s="59">
        <f ca="1">AVERAGE(OFFSET($GD$3,0,0,'Données projet'!$E$17+1,1))-AVERAGE(OFFSET($H$3,0,0,'Données projet'!$E$17+1,1))</f>
        <v>204.78565758021779</v>
      </c>
      <c r="GF170" s="59">
        <f t="shared" si="158"/>
        <v>287.25131613242439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1.3934066365448594</v>
      </c>
      <c r="GM170" s="21">
        <f>EXP(-LN(2)/25)*GM169+(1-EXP(-LN(2)/25))/(LN(2)/25)*Calculateur!GH170*Calculateur!GJ170*VLOOKUP('Données projet'!$B$17,Paramètres!$A$1:$I$89,3,0)*0.475*44/12</f>
        <v>0.44885555089010792</v>
      </c>
      <c r="GN170" s="21">
        <f>EXP(-LN(2)/2)*GN169+(1-EXP(-LN(2)/2))/(LN(2)/2)*GH170*GK170*VLOOKUP('Données projet'!$B$17,Paramètres!$A$1:$I$89,3,0)*0.475*44/12</f>
        <v>5.9807147879399765E-18</v>
      </c>
      <c r="GO170" s="21">
        <f t="shared" si="187"/>
        <v>1.8422621874349674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5.6843418860808015E-14</v>
      </c>
      <c r="GV170" s="17">
        <f>GU170*VLOOKUP('Données projet'!$B$18,Paramètres!$A$1:$I$89,3,0)*VLOOKUP('Données projet'!$B$18,Paramètres!$A$1:$I$89,5,0)</f>
        <v>4.4337866711430253E-14</v>
      </c>
      <c r="GW170" s="13">
        <f t="shared" si="188"/>
        <v>7.3222115536967035E-13</v>
      </c>
      <c r="GX170" s="20">
        <f t="shared" si="189"/>
        <v>1.3525069634579169E-12</v>
      </c>
      <c r="GY170" s="59">
        <f t="shared" si="137"/>
        <v>293.33333333333468</v>
      </c>
      <c r="GZ170" s="59">
        <f ca="1">AVERAGE(OFFSET($GY$3,0,0,'Données projet'!$E$18+1,1))-AVERAGE(OFFSET($H$3,0,0,'Données projet'!$E$18+1,1))</f>
        <v>288.82868507674738</v>
      </c>
      <c r="HA170" s="59">
        <f t="shared" si="160"/>
        <v>283.48738729114024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6.1740497798364213</v>
      </c>
      <c r="HH170" s="21">
        <f>EXP(-LN(2)/25)*HH169+(1-EXP(-LN(2)/25))/(LN(2)/25)*Calculateur!HC170*Calculateur!HE170*VLOOKUP('Données projet'!$B$18,Paramètres!$A$1:$I$89,3,0)*0.475*44/12</f>
        <v>2.796815689996937</v>
      </c>
      <c r="HI170" s="21">
        <f>EXP(-LN(2)/2)*HI169+(1-EXP(-LN(2)/2))/(LN(2)/2)*HC170*HF170*VLOOKUP('Données projet'!$B$18,Paramètres!$A$1:$I$89,3,0)*0.475*44/12</f>
        <v>1.0792437459855983E-13</v>
      </c>
      <c r="HJ170" s="22">
        <f t="shared" si="190"/>
        <v>8.9708654698334662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349.71285006949597</v>
      </c>
      <c r="T171" s="59">
        <f t="shared" si="142"/>
        <v>258.51550516456842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26.82715211560696</v>
      </c>
      <c r="AA171" s="21">
        <f>EXP(-LN(2)/25)*AA170+(1-EXP(-LN(2)/25))/(LN(2)/25)*Calculateur!V171*Calculateur!X171*VLOOKUP('Données projet'!$B$9,Paramètres!$A$1:$I$89,3,0)*0.475*44/12</f>
        <v>4.5106335126128387</v>
      </c>
      <c r="AB171" s="21">
        <f>EXP(-LN(2)/2)*AB170+(1-EXP(-LN(2)/2))/(LN(2)/2)*V171*Y171*VLOOKUP('Données projet'!$B$9,Paramètres!$A$1:$I$89,3,0)*0.475*44/12</f>
        <v>4.0197757471792503E-12</v>
      </c>
      <c r="AC171" s="22">
        <f t="shared" si="163"/>
        <v>31.337785628223816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2.5579538487363607E-13</v>
      </c>
      <c r="AJ171" s="13">
        <f>AI171*VLOOKUP('Données projet'!$B$10,Paramètres!$A$1:$I$89,3,0)*VLOOKUP('Données projet'!$B$10,Paramètres!$A$1:$I$89,5,0)</f>
        <v>2.4341488824575211E-13</v>
      </c>
      <c r="AK171" s="13">
        <f t="shared" si="164"/>
        <v>3.2970717324875541E-12</v>
      </c>
      <c r="AL171" s="20">
        <f t="shared" si="165"/>
        <v>6.1663475311105072E-12</v>
      </c>
      <c r="AM171" s="59">
        <f t="shared" si="113"/>
        <v>293.33333333333945</v>
      </c>
      <c r="AN171" s="59">
        <f ca="1">AVERAGE(OFFSET($AM$3,0,0,'Données projet'!$E$10+1,1))-AVERAGE(OFFSET($H$3,0,0,'Données projet'!$E$10+1,1))</f>
        <v>449.28947235329758</v>
      </c>
      <c r="AO171" s="59">
        <f t="shared" si="144"/>
        <v>289.36994109443964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55.978255042237109</v>
      </c>
      <c r="AV171" s="21">
        <f>EXP(-LN(2)/25)*AV170+(1-EXP(-LN(2)/25))/(LN(2)/25)*Calculateur!AQ171*Calculateur!AS171*VLOOKUP('Données projet'!$B$10,Paramètres!$A$1:$I$89,3,0)*0.475*44/12</f>
        <v>8.6329996190947167</v>
      </c>
      <c r="AW171" s="21">
        <f>EXP(-LN(2)/2)*AW170+(1-EXP(-LN(2)/2))/(LN(2)/2)*AQ171*AT171*VLOOKUP('Données projet'!$B$10,Paramètres!$A$1:$I$89,3,0)*0.475*44/12</f>
        <v>1.3659370372481369E-5</v>
      </c>
      <c r="AX171" s="21">
        <f t="shared" si="166"/>
        <v>64.611268320702195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500.16258240000104</v>
      </c>
      <c r="BF171" s="13">
        <f t="shared" si="167"/>
        <v>111.81156339666074</v>
      </c>
      <c r="BG171" s="20">
        <f t="shared" si="168"/>
        <v>1065.8549705958526</v>
      </c>
      <c r="BH171" s="59">
        <f t="shared" si="116"/>
        <v>1359.1883039291858</v>
      </c>
      <c r="BI171" s="59">
        <f ca="1">AVERAGE(OFFSET($BH$3,0,0,'Données projet'!$E$11+1,1))-AVERAGE(OFFSET($H$3,0,0,'Données projet'!$E$11+1,1))</f>
        <v>635.71275911100679</v>
      </c>
      <c r="BJ171" s="59">
        <f t="shared" si="146"/>
        <v>281.7776857269169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54.149045377549669</v>
      </c>
      <c r="BQ171" s="21">
        <f>EXP(-LN(2)/25)*BQ170+(1-EXP(-LN(2)/25))/(LN(2)/25)*Calculateur!BL171*Calculateur!BN171*VLOOKUP('Données projet'!$B$11,Paramètres!$A$1:$I$89,3,0)*0.475*44/12</f>
        <v>20.592802401863636</v>
      </c>
      <c r="BR171" s="21">
        <f>EXP(-LN(2)/2)*BR170+(1-EXP(-LN(2)/2))/(LN(2)/2)*BL171*BO171*VLOOKUP('Données projet'!$B$11,Paramètres!$A$1:$I$89,3,0)*0.475*44/12</f>
        <v>1.2173605769931395E-6</v>
      </c>
      <c r="BS171" s="22">
        <f t="shared" si="169"/>
        <v>74.741848996773882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>
        <f>VLOOKUP(A171,'Données projet'!$A$113:$I$133,2,0)</f>
        <v>435.65</v>
      </c>
      <c r="BW171" s="12">
        <f>VLOOKUP(A171,'Données projet'!$A$113:$I$133,9,0)</f>
        <v>7.6783333333333319</v>
      </c>
      <c r="BX171" s="12">
        <f t="array" ref="BX171">INDEX(BW:BW,MIN(IF(ISNUMBER(BW171:BW367),ROW(BW171:BW367),"")))</f>
        <v>7.6783333333333319</v>
      </c>
      <c r="BY171" s="12">
        <f>IF('Données projet'!$A$114&gt;35,BY170+BX171-CG170,IF(A171&lt;'Données projet'!$A$114,$BV$205^A171,IF(A171='Données projet'!$A$114,'Données projet'!$B$114,BY170+BX171-CG170)))</f>
        <v>435.64999999999969</v>
      </c>
      <c r="BZ171" s="13">
        <f>BY171*VLOOKUP('Données projet'!$B$12,Paramètres!$A$1:$I$89,3,0)*VLOOKUP('Données projet'!$B$12,Paramètres!$A$1:$I$89,5,0)</f>
        <v>496.11821999999967</v>
      </c>
      <c r="CA171" s="13">
        <f t="shared" si="170"/>
        <v>111.01230677013324</v>
      </c>
      <c r="CB171" s="20">
        <f t="shared" si="171"/>
        <v>1057.4190007913146</v>
      </c>
      <c r="CC171" s="59">
        <f t="shared" si="119"/>
        <v>1350.7523341246479</v>
      </c>
      <c r="CD171" s="59">
        <f ca="1">AVERAGE(OFFSET($CC$3,0,0,'Données projet'!$E$12+1,1))-AVERAGE(OFFSET($H$3,0,0,'Données projet'!$E$12+1,1))</f>
        <v>593.28343396240075</v>
      </c>
      <c r="CE171" s="59">
        <f t="shared" si="148"/>
        <v>289.66477662068695</v>
      </c>
      <c r="CF171" s="15">
        <f>IF(ISNA(VLOOKUP(A171,'Données projet'!$A$113:$I$133,3,0)),0,VLOOKUP(A171,'Données projet'!$A$113:$I$133,3,0))</f>
        <v>12</v>
      </c>
      <c r="CG171" s="15">
        <f>IF(ISNA(VLOOKUP(A171,'Données projet'!$A$113:$I$133,4,0)),0,VLOOKUP(A171,'Données projet'!$A$113:$I$133,4,0))</f>
        <v>71.37</v>
      </c>
      <c r="CH171" s="16">
        <f>IF(ISNA(VLOOKUP(A171,'Données projet'!$A$113:$I$133,5,0)),0%,VLOOKUP(A171,'Données projet'!$A$113:$I$133,5,0)*VLOOKUP('Données projet'!$B$12,Paramètres!$A$1:$I$89,7,0))</f>
        <v>0.215</v>
      </c>
      <c r="CI171" s="16">
        <f>IF(ISNA(VLOOKUP(A171,'Données projet'!$A$113:$I$133,6,0)),0%,VLOOKUP(A171,'Données projet'!$A$113:$I$133,6,0)*VLOOKUP('Données projet'!$B$12,Paramètres!$A$1:$I$89,7,0))</f>
        <v>8.6000000000000007E-2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56.572531902042613</v>
      </c>
      <c r="CL171" s="21">
        <f>EXP(-LN(2)/25)*CL170+(1-EXP(-LN(2)/25))/(LN(2)/25)*Calculateur!CG171*Calculateur!CI171*VLOOKUP('Données projet'!$B$12,Paramètres!$A$1:$I$89,3,0)*0.475*44/12</f>
        <v>26.105145951252659</v>
      </c>
      <c r="CM171" s="21">
        <f>EXP(-LN(2)/2)*CM170+(1-EXP(-LN(2)/2))/(LN(2)/2)*CG171*CJ171*VLOOKUP('Données projet'!$B$12,Paramètres!$A$1:$I$89,3,0)*0.475*44/12</f>
        <v>1.6194517159916161E-3</v>
      </c>
      <c r="CN171" s="22">
        <f t="shared" si="172"/>
        <v>82.679297305011275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2.2737367544323206E-13</v>
      </c>
      <c r="CU171" s="17">
        <f>CT171*VLOOKUP('Données projet'!$B$13,Paramètres!$A$1:$I$89,3,0)*VLOOKUP('Données projet'!$B$13,Paramètres!$A$1:$I$89,5,0)</f>
        <v>2.3765096557326618E-13</v>
      </c>
      <c r="CV171" s="13">
        <f t="shared" si="173"/>
        <v>3.2279907425805489E-12</v>
      </c>
      <c r="CW171" s="20">
        <f t="shared" si="174"/>
        <v>6.0359926417012276E-12</v>
      </c>
      <c r="CX171" s="59">
        <f t="shared" si="122"/>
        <v>293.33333333333934</v>
      </c>
      <c r="CY171" s="59">
        <f ca="1">AVERAGE(OFFSET($CX$3,0,0,'Données projet'!$E$13+1,1))-AVERAGE(OFFSET($H$3,0,0,'Données projet'!$E$13+1,1))</f>
        <v>260.65406541614402</v>
      </c>
      <c r="CZ171" s="59">
        <f t="shared" si="150"/>
        <v>277.63456890196886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3.8437804280501831</v>
      </c>
      <c r="DG171" s="21">
        <f>EXP(-LN(2)/25)*DG170+(1-EXP(-LN(2)/25))/(LN(2)/25)*Calculateur!DB171*Calculateur!DD171*VLOOKUP('Données projet'!$B$13,Paramètres!$A$1:$I$89,3,0)*0.475*44/12</f>
        <v>5.698223441886805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9.5420038699369876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2.2737367544323206E-13</v>
      </c>
      <c r="DP171" s="17">
        <f>DO171*VLOOKUP('Données projet'!$B$14,Paramètres!$A$1:$I$89,3,0)*VLOOKUP('Données projet'!$B$14,Paramètres!$A$1:$I$89,5,0)</f>
        <v>1.4897523215040565E-13</v>
      </c>
      <c r="DQ171" s="13">
        <f t="shared" si="176"/>
        <v>2.136562777003313E-12</v>
      </c>
      <c r="DR171" s="20">
        <f t="shared" si="177"/>
        <v>3.9806453659427267E-12</v>
      </c>
      <c r="DS171" s="59">
        <f t="shared" si="125"/>
        <v>293.33333333333729</v>
      </c>
      <c r="DT171" s="59">
        <f ca="1">AVERAGE(OFFSET($DS$3,0,0,'Données projet'!$E$14+1,1))-AVERAGE(OFFSET($H$3,0,0,'Données projet'!$E$14+1,1))</f>
        <v>181.4272795535777</v>
      </c>
      <c r="DU171" s="59">
        <f t="shared" si="152"/>
        <v>187.67131775419904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3.6071262790264718</v>
      </c>
      <c r="EB171" s="21">
        <f>EXP(-LN(2)/25)*EB170+(1-EXP(-LN(2)/25))/(LN(2)/25)*Calculateur!DW171*Calculateur!DY171*VLOOKUP('Données projet'!$B$14,Paramètres!$A$1:$I$89,3,0)*0.475*44/12</f>
        <v>2.0753211212063096</v>
      </c>
      <c r="EC171" s="21">
        <f>EXP(-LN(2)/2)*EC170+(1-EXP(-LN(2)/2))/(LN(2)/2)*DW171*DZ171*VLOOKUP('Données projet'!$B$14,Paramètres!$A$1:$I$89,3,0)*0.475*44/12</f>
        <v>4.5641954142219115E-11</v>
      </c>
      <c r="ED171" s="22">
        <f t="shared" si="178"/>
        <v>5.6824474002784235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9.2222762759774927E-14</v>
      </c>
      <c r="EL171" s="13">
        <f t="shared" si="179"/>
        <v>1.3985662224947967E-12</v>
      </c>
      <c r="EM171" s="20">
        <f t="shared" si="180"/>
        <v>2.5964574826517121E-12</v>
      </c>
      <c r="EN171" s="59">
        <f t="shared" si="128"/>
        <v>293.33333333333593</v>
      </c>
      <c r="EO171" s="59">
        <f ca="1">AVERAGE(OFFSET($EN$3,0,0,'Données projet'!$E$15+1,1))-AVERAGE(OFFSET($H$3,0,0,'Données projet'!$E$15+1,1))</f>
        <v>159.68591355116837</v>
      </c>
      <c r="EP171" s="59">
        <f t="shared" si="154"/>
        <v>284.32631786390112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1.1560090201281175</v>
      </c>
      <c r="EW171" s="21">
        <f>EXP(-LN(2)/25)*EW170+(1-EXP(-LN(2)/25))/(LN(2)/25)*Calculateur!ER171*Calculateur!ET171*VLOOKUP('Données projet'!$B$15,Paramètres!$A$1:$I$89,3,0)*0.475*44/12</f>
        <v>0.55556405241353923</v>
      </c>
      <c r="EX171" s="21">
        <f>EXP(-LN(2)/2)*EX170+(1-EXP(-LN(2)/2))/(LN(2)/2)*ER171*EU171*VLOOKUP('Données projet'!$B$15,Paramètres!$A$1:$I$89,3,0)*0.475*44/12</f>
        <v>1.5819655912289929E-18</v>
      </c>
      <c r="EY171" s="22">
        <f t="shared" si="181"/>
        <v>1.7115730725416567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-1.3567387213697657E-13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299.10536994156814</v>
      </c>
      <c r="FK171" s="59">
        <f t="shared" si="156"/>
        <v>292.57799203101769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7.1104880222845379</v>
      </c>
      <c r="FR171" s="21">
        <f>EXP(-LN(2)/25)*FR170+(1-EXP(-LN(2)/25))/(LN(2)/25)*Calculateur!FM171*Calculateur!FO171*VLOOKUP('Données projet'!$B$16,Paramètres!$A$1:$I$89,3,0)*0.475*44/12</f>
        <v>3.6927645979598944</v>
      </c>
      <c r="FS171" s="21">
        <f>EXP(-LN(2)/2)*FS170+(1-EXP(-LN(2)/2))/(LN(2)/2)*FM171*FP171*VLOOKUP('Données projet'!$B$16,Paramètres!$A$1:$I$89,3,0)*0.475*44/12</f>
        <v>2.9547173190545039E-12</v>
      </c>
      <c r="FT171" s="22">
        <f t="shared" si="184"/>
        <v>10.803252620247386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5.6843418860808015E-14</v>
      </c>
      <c r="GA171" s="17">
        <f>FZ171*VLOOKUP('Données projet'!$B$17,Paramètres!$A$1:$I$89,3,0)*VLOOKUP('Données projet'!$B$17,Paramètres!$A$1:$I$89,5,0)</f>
        <v>5.1431925385259088E-14</v>
      </c>
      <c r="GB171" s="13">
        <f t="shared" si="185"/>
        <v>8.3482866290946129E-13</v>
      </c>
      <c r="GC171" s="20">
        <f t="shared" si="186"/>
        <v>1.5435705246133045E-12</v>
      </c>
      <c r="GD171" s="59">
        <f t="shared" si="134"/>
        <v>293.33333333333485</v>
      </c>
      <c r="GE171" s="59">
        <f ca="1">AVERAGE(OFFSET($GD$3,0,0,'Données projet'!$E$17+1,1))-AVERAGE(OFFSET($H$3,0,0,'Données projet'!$E$17+1,1))</f>
        <v>204.78565758021779</v>
      </c>
      <c r="GF171" s="59">
        <f t="shared" si="158"/>
        <v>287.25131613242439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1.3660827822963428</v>
      </c>
      <c r="GM171" s="21">
        <f>EXP(-LN(2)/25)*GM170+(1-EXP(-LN(2)/25))/(LN(2)/25)*Calculateur!GH171*Calculateur!GJ171*VLOOKUP('Données projet'!$B$17,Paramètres!$A$1:$I$89,3,0)*0.475*44/12</f>
        <v>0.43658157224673039</v>
      </c>
      <c r="GN171" s="21">
        <f>EXP(-LN(2)/2)*GN170+(1-EXP(-LN(2)/2))/(LN(2)/2)*GH171*GK171*VLOOKUP('Données projet'!$B$17,Paramètres!$A$1:$I$89,3,0)*0.475*44/12</f>
        <v>4.2290039828950219E-18</v>
      </c>
      <c r="GO171" s="21">
        <f t="shared" si="187"/>
        <v>1.8026643545430732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5.6843418860808015E-14</v>
      </c>
      <c r="GV171" s="17">
        <f>GU171*VLOOKUP('Données projet'!$B$18,Paramètres!$A$1:$I$89,3,0)*VLOOKUP('Données projet'!$B$18,Paramètres!$A$1:$I$89,5,0)</f>
        <v>4.4337866711430253E-14</v>
      </c>
      <c r="GW171" s="13">
        <f t="shared" si="188"/>
        <v>7.3222115536967035E-13</v>
      </c>
      <c r="GX171" s="20">
        <f t="shared" si="189"/>
        <v>1.3525069634579169E-12</v>
      </c>
      <c r="GY171" s="59">
        <f t="shared" si="137"/>
        <v>293.33333333333468</v>
      </c>
      <c r="GZ171" s="59">
        <f ca="1">AVERAGE(OFFSET($GY$3,0,0,'Données projet'!$E$18+1,1))-AVERAGE(OFFSET($H$3,0,0,'Données projet'!$E$18+1,1))</f>
        <v>288.82868507674738</v>
      </c>
      <c r="HA171" s="59">
        <f t="shared" si="160"/>
        <v>283.48738729114024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6.0529804294523535</v>
      </c>
      <c r="HH171" s="21">
        <f>EXP(-LN(2)/25)*HH170+(1-EXP(-LN(2)/25))/(LN(2)/25)*Calculateur!HC171*Calculateur!HE171*VLOOKUP('Données projet'!$B$18,Paramètres!$A$1:$I$89,3,0)*0.475*44/12</f>
        <v>2.7203366178758257</v>
      </c>
      <c r="HI171" s="21">
        <f>EXP(-LN(2)/2)*HI170+(1-EXP(-LN(2)/2))/(LN(2)/2)*HC171*HF171*VLOOKUP('Données projet'!$B$18,Paramètres!$A$1:$I$89,3,0)*0.475*44/12</f>
        <v>7.6314057133958831E-14</v>
      </c>
      <c r="HJ171" s="22">
        <f t="shared" si="190"/>
        <v>8.7733170473282556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349.71285006949597</v>
      </c>
      <c r="T172" s="59">
        <f t="shared" si="142"/>
        <v>258.51550516456842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26.30108802556699</v>
      </c>
      <c r="AA172" s="21">
        <f>EXP(-LN(2)/25)*AA171+(1-EXP(-LN(2)/25))/(LN(2)/25)*Calculateur!V172*Calculateur!X172*VLOOKUP('Données projet'!$B$9,Paramètres!$A$1:$I$89,3,0)*0.475*44/12</f>
        <v>4.3872900020065337</v>
      </c>
      <c r="AB172" s="21">
        <f>EXP(-LN(2)/2)*AB171+(1-EXP(-LN(2)/2))/(LN(2)/2)*V172*Y172*VLOOKUP('Données projet'!$B$9,Paramètres!$A$1:$I$89,3,0)*0.475*44/12</f>
        <v>2.8424106896796688E-12</v>
      </c>
      <c r="AC172" s="22">
        <f t="shared" si="163"/>
        <v>30.688378027576366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2.5579538487363607E-13</v>
      </c>
      <c r="AJ172" s="13">
        <f>AI172*VLOOKUP('Données projet'!$B$10,Paramètres!$A$1:$I$89,3,0)*VLOOKUP('Données projet'!$B$10,Paramètres!$A$1:$I$89,5,0)</f>
        <v>2.4341488824575211E-13</v>
      </c>
      <c r="AK172" s="13">
        <f t="shared" si="164"/>
        <v>3.2970717324875541E-12</v>
      </c>
      <c r="AL172" s="20">
        <f t="shared" si="165"/>
        <v>6.1663475311105072E-12</v>
      </c>
      <c r="AM172" s="59">
        <f t="shared" si="113"/>
        <v>293.33333333333945</v>
      </c>
      <c r="AN172" s="59">
        <f ca="1">AVERAGE(OFFSET($AM$3,0,0,'Données projet'!$E$10+1,1))-AVERAGE(OFFSET($H$3,0,0,'Données projet'!$E$10+1,1))</f>
        <v>449.28947235329758</v>
      </c>
      <c r="AO172" s="59">
        <f t="shared" si="144"/>
        <v>289.36994109443964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54.880555604223041</v>
      </c>
      <c r="AV172" s="21">
        <f>EXP(-LN(2)/25)*AV171+(1-EXP(-LN(2)/25))/(LN(2)/25)*Calculateur!AQ172*Calculateur!AS172*VLOOKUP('Données projet'!$B$10,Paramètres!$A$1:$I$89,3,0)*0.475*44/12</f>
        <v>8.3969297905208524</v>
      </c>
      <c r="AW172" s="21">
        <f>EXP(-LN(2)/2)*AW171+(1-EXP(-LN(2)/2))/(LN(2)/2)*AQ172*AT172*VLOOKUP('Données projet'!$B$10,Paramètres!$A$1:$I$89,3,0)*0.475*44/12</f>
        <v>9.6586334171201937E-6</v>
      </c>
      <c r="AX172" s="21">
        <f t="shared" si="166"/>
        <v>63.277495053377308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508.86856800000095</v>
      </c>
      <c r="BF172" s="13">
        <f t="shared" si="167"/>
        <v>113.52951852374844</v>
      </c>
      <c r="BG172" s="20">
        <f t="shared" si="168"/>
        <v>1084.0100006955302</v>
      </c>
      <c r="BH172" s="59">
        <f t="shared" si="116"/>
        <v>1377.3433340288634</v>
      </c>
      <c r="BI172" s="59">
        <f ca="1">AVERAGE(OFFSET($BH$3,0,0,'Données projet'!$E$11+1,1))-AVERAGE(OFFSET($H$3,0,0,'Données projet'!$E$11+1,1))</f>
        <v>635.71275911100679</v>
      </c>
      <c r="BJ172" s="59">
        <f t="shared" si="146"/>
        <v>281.7776857269169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53.087215625352393</v>
      </c>
      <c r="BQ172" s="21">
        <f>EXP(-LN(2)/25)*BQ171+(1-EXP(-LN(2)/25))/(LN(2)/25)*Calculateur!BL172*Calculateur!BN172*VLOOKUP('Données projet'!$B$11,Paramètres!$A$1:$I$89,3,0)*0.475*44/12</f>
        <v>20.029691137256261</v>
      </c>
      <c r="BR172" s="21">
        <f>EXP(-LN(2)/2)*BR171+(1-EXP(-LN(2)/2))/(LN(2)/2)*BL172*BO172*VLOOKUP('Données projet'!$B$11,Paramètres!$A$1:$I$89,3,0)*0.475*44/12</f>
        <v>8.6080391914101712E-7</v>
      </c>
      <c r="BS172" s="22">
        <f t="shared" si="169"/>
        <v>73.116907623412573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7.688333333333337</v>
      </c>
      <c r="BY172" s="12">
        <f>IF('Données projet'!$A$114&gt;35,BY171+BX172-CG171,IF(A172&lt;'Données projet'!$A$114,$BV$205^A172,IF(A172='Données projet'!$A$114,'Données projet'!$B$114,BY171+BX172-CG171)))</f>
        <v>371.96833333333302</v>
      </c>
      <c r="BZ172" s="13">
        <f>BY172*VLOOKUP('Données projet'!$B$12,Paramètres!$A$1:$I$89,3,0)*VLOOKUP('Données projet'!$B$12,Paramètres!$A$1:$I$89,5,0)</f>
        <v>423.59753799999964</v>
      </c>
      <c r="CA172" s="13">
        <f t="shared" si="170"/>
        <v>96.544627937527807</v>
      </c>
      <c r="CB172" s="20">
        <f t="shared" si="171"/>
        <v>905.91427234119362</v>
      </c>
      <c r="CC172" s="59">
        <f t="shared" si="119"/>
        <v>1199.247605674527</v>
      </c>
      <c r="CD172" s="59">
        <f ca="1">AVERAGE(OFFSET($CC$3,0,0,'Données projet'!$E$12+1,1))-AVERAGE(OFFSET($H$3,0,0,'Données projet'!$E$12+1,1))</f>
        <v>593.28343396240075</v>
      </c>
      <c r="CE172" s="59">
        <f t="shared" si="148"/>
        <v>289.66477662068695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55.463179057280847</v>
      </c>
      <c r="CL172" s="21">
        <f>EXP(-LN(2)/25)*CL171+(1-EXP(-LN(2)/25))/(LN(2)/25)*Calculateur!CG172*Calculateur!CI172*VLOOKUP('Données projet'!$B$12,Paramètres!$A$1:$I$89,3,0)*0.475*44/12</f>
        <v>25.391299362405693</v>
      </c>
      <c r="CM172" s="21">
        <f>EXP(-LN(2)/2)*CM171+(1-EXP(-LN(2)/2))/(LN(2)/2)*CG172*CJ172*VLOOKUP('Données projet'!$B$12,Paramètres!$A$1:$I$89,3,0)*0.475*44/12</f>
        <v>1.1451252901818626E-3</v>
      </c>
      <c r="CN172" s="22">
        <f t="shared" si="172"/>
        <v>80.855623544976723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2.2737367544323206E-13</v>
      </c>
      <c r="CU172" s="17">
        <f>CT172*VLOOKUP('Données projet'!$B$13,Paramètres!$A$1:$I$89,3,0)*VLOOKUP('Données projet'!$B$13,Paramètres!$A$1:$I$89,5,0)</f>
        <v>2.3765096557326618E-13</v>
      </c>
      <c r="CV172" s="13">
        <f t="shared" si="173"/>
        <v>3.2279907425805489E-12</v>
      </c>
      <c r="CW172" s="20">
        <f t="shared" si="174"/>
        <v>6.0359926417012276E-12</v>
      </c>
      <c r="CX172" s="59">
        <f t="shared" si="122"/>
        <v>293.33333333333934</v>
      </c>
      <c r="CY172" s="59">
        <f ca="1">AVERAGE(OFFSET($CX$3,0,0,'Données projet'!$E$13+1,1))-AVERAGE(OFFSET($H$3,0,0,'Données projet'!$E$13+1,1))</f>
        <v>260.65406541614402</v>
      </c>
      <c r="CZ172" s="59">
        <f t="shared" si="150"/>
        <v>277.63456890196886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3.7684062383306824</v>
      </c>
      <c r="DG172" s="21">
        <f>EXP(-LN(2)/25)*DG171+(1-EXP(-LN(2)/25))/(LN(2)/25)*Calculateur!DB172*Calculateur!DD172*VLOOKUP('Données projet'!$B$13,Paramètres!$A$1:$I$89,3,0)*0.475*44/12</f>
        <v>5.5424052222118627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9.3108114605425456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2.2737367544323206E-13</v>
      </c>
      <c r="DP172" s="17">
        <f>DO172*VLOOKUP('Données projet'!$B$14,Paramètres!$A$1:$I$89,3,0)*VLOOKUP('Données projet'!$B$14,Paramètres!$A$1:$I$89,5,0)</f>
        <v>1.4897523215040565E-13</v>
      </c>
      <c r="DQ172" s="13">
        <f t="shared" si="176"/>
        <v>2.136562777003313E-12</v>
      </c>
      <c r="DR172" s="20">
        <f t="shared" si="177"/>
        <v>3.9806453659427267E-12</v>
      </c>
      <c r="DS172" s="59">
        <f t="shared" si="125"/>
        <v>293.33333333333729</v>
      </c>
      <c r="DT172" s="59">
        <f ca="1">AVERAGE(OFFSET($DS$3,0,0,'Données projet'!$E$14+1,1))-AVERAGE(OFFSET($H$3,0,0,'Données projet'!$E$14+1,1))</f>
        <v>181.4272795535777</v>
      </c>
      <c r="DU172" s="59">
        <f t="shared" si="152"/>
        <v>187.67131775419904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3.5363927328245479</v>
      </c>
      <c r="EB172" s="21">
        <f>EXP(-LN(2)/25)*EB171+(1-EXP(-LN(2)/25))/(LN(2)/25)*Calculateur!DW172*Calculateur!DY172*VLOOKUP('Données projet'!$B$14,Paramètres!$A$1:$I$89,3,0)*0.475*44/12</f>
        <v>2.0185713560105287</v>
      </c>
      <c r="EC172" s="21">
        <f>EXP(-LN(2)/2)*EC171+(1-EXP(-LN(2)/2))/(LN(2)/2)*DW172*DZ172*VLOOKUP('Données projet'!$B$14,Paramètres!$A$1:$I$89,3,0)*0.475*44/12</f>
        <v>3.2273735280568568E-11</v>
      </c>
      <c r="ED172" s="22">
        <f t="shared" si="178"/>
        <v>5.5549640888673499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9.2222762759774927E-14</v>
      </c>
      <c r="EL172" s="13">
        <f t="shared" si="179"/>
        <v>1.3985662224947967E-12</v>
      </c>
      <c r="EM172" s="20">
        <f t="shared" si="180"/>
        <v>2.5964574826517121E-12</v>
      </c>
      <c r="EN172" s="59">
        <f t="shared" si="128"/>
        <v>293.33333333333593</v>
      </c>
      <c r="EO172" s="59">
        <f ca="1">AVERAGE(OFFSET($EN$3,0,0,'Données projet'!$E$15+1,1))-AVERAGE(OFFSET($H$3,0,0,'Données projet'!$E$15+1,1))</f>
        <v>159.68591355116837</v>
      </c>
      <c r="EP172" s="59">
        <f t="shared" si="154"/>
        <v>284.32631786390112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1.133340388339285</v>
      </c>
      <c r="EW172" s="21">
        <f>EXP(-LN(2)/25)*EW171+(1-EXP(-LN(2)/25))/(LN(2)/25)*Calculateur!ER172*Calculateur!ET172*VLOOKUP('Données projet'!$B$15,Paramètres!$A$1:$I$89,3,0)*0.475*44/12</f>
        <v>0.54037212418444724</v>
      </c>
      <c r="EX172" s="21">
        <f>EXP(-LN(2)/2)*EX171+(1-EXP(-LN(2)/2))/(LN(2)/2)*ER172*EU172*VLOOKUP('Données projet'!$B$15,Paramètres!$A$1:$I$89,3,0)*0.475*44/12</f>
        <v>1.1186185971618067E-18</v>
      </c>
      <c r="EY172" s="22">
        <f t="shared" si="181"/>
        <v>1.6737125125237322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-1.3567387213697657E-13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299.10536994156814</v>
      </c>
      <c r="FK172" s="59">
        <f t="shared" si="156"/>
        <v>292.57799203101769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6.9710556891369917</v>
      </c>
      <c r="FR172" s="21">
        <f>EXP(-LN(2)/25)*FR171+(1-EXP(-LN(2)/25))/(LN(2)/25)*Calculateur!FM172*Calculateur!FO172*VLOOKUP('Données projet'!$B$16,Paramètres!$A$1:$I$89,3,0)*0.475*44/12</f>
        <v>3.5917857558346307</v>
      </c>
      <c r="FS172" s="21">
        <f>EXP(-LN(2)/2)*FS171+(1-EXP(-LN(2)/2))/(LN(2)/2)*FM172*FP172*VLOOKUP('Données projet'!$B$16,Paramètres!$A$1:$I$89,3,0)*0.475*44/12</f>
        <v>2.0893006527927754E-12</v>
      </c>
      <c r="FT172" s="22">
        <f t="shared" si="184"/>
        <v>10.562841444973712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5.6843418860808015E-14</v>
      </c>
      <c r="GA172" s="17">
        <f>FZ172*VLOOKUP('Données projet'!$B$17,Paramètres!$A$1:$I$89,3,0)*VLOOKUP('Données projet'!$B$17,Paramètres!$A$1:$I$89,5,0)</f>
        <v>5.1431925385259088E-14</v>
      </c>
      <c r="GB172" s="13">
        <f t="shared" si="185"/>
        <v>8.3482866290946129E-13</v>
      </c>
      <c r="GC172" s="20">
        <f t="shared" si="186"/>
        <v>1.5435705246133045E-12</v>
      </c>
      <c r="GD172" s="59">
        <f t="shared" si="134"/>
        <v>293.33333333333485</v>
      </c>
      <c r="GE172" s="59">
        <f ca="1">AVERAGE(OFFSET($GD$3,0,0,'Données projet'!$E$17+1,1))-AVERAGE(OFFSET($H$3,0,0,'Données projet'!$E$17+1,1))</f>
        <v>204.78565758021779</v>
      </c>
      <c r="GF172" s="59">
        <f t="shared" si="158"/>
        <v>287.25131613242439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1.3392947321637343</v>
      </c>
      <c r="GM172" s="21">
        <f>EXP(-LN(2)/25)*GM171+(1-EXP(-LN(2)/25))/(LN(2)/25)*Calculateur!GH172*Calculateur!GJ172*VLOOKUP('Données projet'!$B$17,Paramètres!$A$1:$I$89,3,0)*0.475*44/12</f>
        <v>0.42464322619481648</v>
      </c>
      <c r="GN172" s="21">
        <f>EXP(-LN(2)/2)*GN171+(1-EXP(-LN(2)/2))/(LN(2)/2)*GH172*GK172*VLOOKUP('Données projet'!$B$17,Paramètres!$A$1:$I$89,3,0)*0.475*44/12</f>
        <v>2.9903573939699883E-18</v>
      </c>
      <c r="GO172" s="21">
        <f t="shared" si="187"/>
        <v>1.7639379583585508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5.6843418860808015E-14</v>
      </c>
      <c r="GV172" s="17">
        <f>GU172*VLOOKUP('Données projet'!$B$18,Paramètres!$A$1:$I$89,3,0)*VLOOKUP('Données projet'!$B$18,Paramètres!$A$1:$I$89,5,0)</f>
        <v>4.4337866711430253E-14</v>
      </c>
      <c r="GW172" s="13">
        <f t="shared" si="188"/>
        <v>7.3222115536967035E-13</v>
      </c>
      <c r="GX172" s="20">
        <f t="shared" si="189"/>
        <v>1.3525069634579169E-12</v>
      </c>
      <c r="GY172" s="59">
        <f t="shared" si="137"/>
        <v>293.33333333333468</v>
      </c>
      <c r="GZ172" s="59">
        <f ca="1">AVERAGE(OFFSET($GY$3,0,0,'Données projet'!$E$18+1,1))-AVERAGE(OFFSET($H$3,0,0,'Données projet'!$E$18+1,1))</f>
        <v>288.82868507674738</v>
      </c>
      <c r="HA172" s="59">
        <f t="shared" si="160"/>
        <v>283.48738729114024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5.9342851751843044</v>
      </c>
      <c r="HH172" s="21">
        <f>EXP(-LN(2)/25)*HH171+(1-EXP(-LN(2)/25))/(LN(2)/25)*Calculateur!HC172*Calculateur!HE172*VLOOKUP('Données projet'!$B$18,Paramètres!$A$1:$I$89,3,0)*0.475*44/12</f>
        <v>2.6459488700037261</v>
      </c>
      <c r="HI172" s="21">
        <f>EXP(-LN(2)/2)*HI171+(1-EXP(-LN(2)/2))/(LN(2)/2)*HC172*HF172*VLOOKUP('Données projet'!$B$18,Paramètres!$A$1:$I$89,3,0)*0.475*44/12</f>
        <v>5.3962187299279914E-14</v>
      </c>
      <c r="HJ172" s="22">
        <f t="shared" si="190"/>
        <v>8.5802340451880834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349.71285006949597</v>
      </c>
      <c r="T173" s="59">
        <f t="shared" si="142"/>
        <v>258.51550516456842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25.785339731465292</v>
      </c>
      <c r="AA173" s="21">
        <f>EXP(-LN(2)/25)*AA172+(1-EXP(-LN(2)/25))/(LN(2)/25)*Calculateur!V173*Calculateur!X173*VLOOKUP('Données projet'!$B$9,Paramètres!$A$1:$I$89,3,0)*0.475*44/12</f>
        <v>4.2673193261841114</v>
      </c>
      <c r="AB173" s="21">
        <f>EXP(-LN(2)/2)*AB172+(1-EXP(-LN(2)/2))/(LN(2)/2)*V173*Y173*VLOOKUP('Données projet'!$B$9,Paramètres!$A$1:$I$89,3,0)*0.475*44/12</f>
        <v>2.0098878735896252E-12</v>
      </c>
      <c r="AC173" s="22">
        <f t="shared" si="163"/>
        <v>30.052659057651415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2.5579538487363607E-13</v>
      </c>
      <c r="AJ173" s="13">
        <f>AI173*VLOOKUP('Données projet'!$B$10,Paramètres!$A$1:$I$89,3,0)*VLOOKUP('Données projet'!$B$10,Paramètres!$A$1:$I$89,5,0)</f>
        <v>2.4341488824575211E-13</v>
      </c>
      <c r="AK173" s="13">
        <f t="shared" si="164"/>
        <v>3.2970717324875541E-12</v>
      </c>
      <c r="AL173" s="20">
        <f t="shared" si="165"/>
        <v>6.1663475311105072E-12</v>
      </c>
      <c r="AM173" s="59">
        <f t="shared" si="113"/>
        <v>293.33333333333945</v>
      </c>
      <c r="AN173" s="59">
        <f ca="1">AVERAGE(OFFSET($AM$3,0,0,'Données projet'!$E$10+1,1))-AVERAGE(OFFSET($H$3,0,0,'Données projet'!$E$10+1,1))</f>
        <v>449.28947235329758</v>
      </c>
      <c r="AO173" s="59">
        <f t="shared" si="144"/>
        <v>289.36994109443964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53.80438138265788</v>
      </c>
      <c r="AV173" s="21">
        <f>EXP(-LN(2)/25)*AV172+(1-EXP(-LN(2)/25))/(LN(2)/25)*Calculateur!AQ173*Calculateur!AS173*VLOOKUP('Données projet'!$B$10,Paramètres!$A$1:$I$89,3,0)*0.475*44/12</f>
        <v>8.1673153038237132</v>
      </c>
      <c r="AW173" s="21">
        <f>EXP(-LN(2)/2)*AW172+(1-EXP(-LN(2)/2))/(LN(2)/2)*AQ173*AT173*VLOOKUP('Données projet'!$B$10,Paramètres!$A$1:$I$89,3,0)*0.475*44/12</f>
        <v>6.8296851862406847E-6</v>
      </c>
      <c r="AX173" s="21">
        <f t="shared" si="166"/>
        <v>61.971703516166777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517.57455360000097</v>
      </c>
      <c r="BF173" s="13">
        <f t="shared" si="167"/>
        <v>115.24405568945055</v>
      </c>
      <c r="BG173" s="20">
        <f t="shared" si="168"/>
        <v>1102.1590778457946</v>
      </c>
      <c r="BH173" s="59">
        <f t="shared" si="116"/>
        <v>1395.4924111791279</v>
      </c>
      <c r="BI173" s="59">
        <f ca="1">AVERAGE(OFFSET($BH$3,0,0,'Données projet'!$E$11+1,1))-AVERAGE(OFFSET($H$3,0,0,'Données projet'!$E$11+1,1))</f>
        <v>635.71275911100679</v>
      </c>
      <c r="BJ173" s="59">
        <f t="shared" si="146"/>
        <v>281.7776857269169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52.046207706943505</v>
      </c>
      <c r="BQ173" s="21">
        <f>EXP(-LN(2)/25)*BQ172+(1-EXP(-LN(2)/25))/(LN(2)/25)*Calculateur!BL173*Calculateur!BN173*VLOOKUP('Données projet'!$B$11,Paramètres!$A$1:$I$89,3,0)*0.475*44/12</f>
        <v>19.481978179792311</v>
      </c>
      <c r="BR173" s="21">
        <f>EXP(-LN(2)/2)*BR172+(1-EXP(-LN(2)/2))/(LN(2)/2)*BL173*BO173*VLOOKUP('Données projet'!$B$11,Paramètres!$A$1:$I$89,3,0)*0.475*44/12</f>
        <v>6.0868028849656974E-7</v>
      </c>
      <c r="BS173" s="22">
        <f t="shared" si="169"/>
        <v>71.528186495416108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7.688333333333337</v>
      </c>
      <c r="BY173" s="12">
        <f>IF('Données projet'!$A$114&gt;35,BY172+BX173-CG172,IF(A173&lt;'Données projet'!$A$114,$BV$205^A173,IF(A173='Données projet'!$A$114,'Données projet'!$B$114,BY172+BX173-CG172)))</f>
        <v>379.65666666666635</v>
      </c>
      <c r="BZ173" s="13">
        <f>BY173*VLOOKUP('Données projet'!$B$12,Paramètres!$A$1:$I$89,3,0)*VLOOKUP('Données projet'!$B$12,Paramètres!$A$1:$I$89,5,0)</f>
        <v>432.35301199999964</v>
      </c>
      <c r="CA173" s="13">
        <f t="shared" si="170"/>
        <v>98.305757408394228</v>
      </c>
      <c r="CB173" s="20">
        <f t="shared" si="171"/>
        <v>924.23069005295258</v>
      </c>
      <c r="CC173" s="59">
        <f t="shared" si="119"/>
        <v>1217.564023386286</v>
      </c>
      <c r="CD173" s="59">
        <f ca="1">AVERAGE(OFFSET($CC$3,0,0,'Données projet'!$E$12+1,1))-AVERAGE(OFFSET($H$3,0,0,'Données projet'!$E$12+1,1))</f>
        <v>593.28343396240075</v>
      </c>
      <c r="CE173" s="59">
        <f t="shared" si="148"/>
        <v>289.66477662068695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54.375579945166436</v>
      </c>
      <c r="CL173" s="21">
        <f>EXP(-LN(2)/25)*CL172+(1-EXP(-LN(2)/25))/(LN(2)/25)*Calculateur!CG173*Calculateur!CI173*VLOOKUP('Données projet'!$B$12,Paramètres!$A$1:$I$89,3,0)*0.475*44/12</f>
        <v>24.696972946070307</v>
      </c>
      <c r="CM173" s="21">
        <f>EXP(-LN(2)/2)*CM172+(1-EXP(-LN(2)/2))/(LN(2)/2)*CG173*CJ173*VLOOKUP('Données projet'!$B$12,Paramètres!$A$1:$I$89,3,0)*0.475*44/12</f>
        <v>8.0972585799580804E-4</v>
      </c>
      <c r="CN173" s="22">
        <f t="shared" si="172"/>
        <v>79.07336261709473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2.2737367544323206E-13</v>
      </c>
      <c r="CU173" s="17">
        <f>CT173*VLOOKUP('Données projet'!$B$13,Paramètres!$A$1:$I$89,3,0)*VLOOKUP('Données projet'!$B$13,Paramètres!$A$1:$I$89,5,0)</f>
        <v>2.3765096557326618E-13</v>
      </c>
      <c r="CV173" s="13">
        <f t="shared" si="173"/>
        <v>3.2279907425805489E-12</v>
      </c>
      <c r="CW173" s="20">
        <f t="shared" si="174"/>
        <v>6.0359926417012276E-12</v>
      </c>
      <c r="CX173" s="59">
        <f t="shared" si="122"/>
        <v>293.33333333333934</v>
      </c>
      <c r="CY173" s="59">
        <f ca="1">AVERAGE(OFFSET($CX$3,0,0,'Données projet'!$E$13+1,1))-AVERAGE(OFFSET($H$3,0,0,'Données projet'!$E$13+1,1))</f>
        <v>260.65406541614402</v>
      </c>
      <c r="CZ173" s="59">
        <f t="shared" si="150"/>
        <v>277.63456890196886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3.6945100904978649</v>
      </c>
      <c r="DG173" s="21">
        <f>EXP(-LN(2)/25)*DG172+(1-EXP(-LN(2)/25))/(LN(2)/25)*Calculateur!DB173*Calculateur!DD173*VLOOKUP('Données projet'!$B$13,Paramètres!$A$1:$I$89,3,0)*0.475*44/12</f>
        <v>5.3908478599480558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9.0853579504459212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2.2737367544323206E-13</v>
      </c>
      <c r="DP173" s="17">
        <f>DO173*VLOOKUP('Données projet'!$B$14,Paramètres!$A$1:$I$89,3,0)*VLOOKUP('Données projet'!$B$14,Paramètres!$A$1:$I$89,5,0)</f>
        <v>1.4897523215040565E-13</v>
      </c>
      <c r="DQ173" s="13">
        <f t="shared" si="176"/>
        <v>2.136562777003313E-12</v>
      </c>
      <c r="DR173" s="20">
        <f t="shared" si="177"/>
        <v>3.9806453659427267E-12</v>
      </c>
      <c r="DS173" s="59">
        <f t="shared" si="125"/>
        <v>293.33333333333729</v>
      </c>
      <c r="DT173" s="59">
        <f ca="1">AVERAGE(OFFSET($DS$3,0,0,'Données projet'!$E$14+1,1))-AVERAGE(OFFSET($H$3,0,0,'Données projet'!$E$14+1,1))</f>
        <v>181.4272795535777</v>
      </c>
      <c r="DU173" s="59">
        <f t="shared" si="152"/>
        <v>187.67131775419904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3.4670462283204406</v>
      </c>
      <c r="EB173" s="21">
        <f>EXP(-LN(2)/25)*EB172+(1-EXP(-LN(2)/25))/(LN(2)/25)*Calculateur!DW173*Calculateur!DY173*VLOOKUP('Données projet'!$B$14,Paramètres!$A$1:$I$89,3,0)*0.475*44/12</f>
        <v>1.9633734161283667</v>
      </c>
      <c r="EC173" s="21">
        <f>EXP(-LN(2)/2)*EC172+(1-EXP(-LN(2)/2))/(LN(2)/2)*DW173*DZ173*VLOOKUP('Données projet'!$B$14,Paramètres!$A$1:$I$89,3,0)*0.475*44/12</f>
        <v>2.2820977071109557E-11</v>
      </c>
      <c r="ED173" s="22">
        <f t="shared" si="178"/>
        <v>5.4304196444716286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9.2222762759774927E-14</v>
      </c>
      <c r="EL173" s="13">
        <f t="shared" si="179"/>
        <v>1.3985662224947967E-12</v>
      </c>
      <c r="EM173" s="20">
        <f t="shared" si="180"/>
        <v>2.5964574826517121E-12</v>
      </c>
      <c r="EN173" s="59">
        <f t="shared" si="128"/>
        <v>293.33333333333593</v>
      </c>
      <c r="EO173" s="59">
        <f ca="1">AVERAGE(OFFSET($EN$3,0,0,'Données projet'!$E$15+1,1))-AVERAGE(OFFSET($H$3,0,0,'Données projet'!$E$15+1,1))</f>
        <v>159.68591355116837</v>
      </c>
      <c r="EP173" s="59">
        <f t="shared" si="154"/>
        <v>284.32631786390112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1.1111162745933314</v>
      </c>
      <c r="EW173" s="21">
        <f>EXP(-LN(2)/25)*EW172+(1-EXP(-LN(2)/25))/(LN(2)/25)*Calculateur!ER173*Calculateur!ET173*VLOOKUP('Données projet'!$B$15,Paramètres!$A$1:$I$89,3,0)*0.475*44/12</f>
        <v>0.52559562003168858</v>
      </c>
      <c r="EX173" s="21">
        <f>EXP(-LN(2)/2)*EX172+(1-EXP(-LN(2)/2))/(LN(2)/2)*ER173*EU173*VLOOKUP('Données projet'!$B$15,Paramètres!$A$1:$I$89,3,0)*0.475*44/12</f>
        <v>7.9098279561449644E-19</v>
      </c>
      <c r="EY173" s="22">
        <f t="shared" si="181"/>
        <v>1.6367118946250199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-1.3567387213697657E-13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299.10536994156814</v>
      </c>
      <c r="FK173" s="59">
        <f t="shared" si="156"/>
        <v>292.57799203101769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6.8343575389971427</v>
      </c>
      <c r="FR173" s="21">
        <f>EXP(-LN(2)/25)*FR172+(1-EXP(-LN(2)/25))/(LN(2)/25)*Calculateur!FM173*Calculateur!FO173*VLOOKUP('Données projet'!$B$16,Paramètres!$A$1:$I$89,3,0)*0.475*44/12</f>
        <v>3.4935681854575291</v>
      </c>
      <c r="FS173" s="21">
        <f>EXP(-LN(2)/2)*FS172+(1-EXP(-LN(2)/2))/(LN(2)/2)*FM173*FP173*VLOOKUP('Données projet'!$B$16,Paramètres!$A$1:$I$89,3,0)*0.475*44/12</f>
        <v>1.4773586595272519E-12</v>
      </c>
      <c r="FT173" s="22">
        <f t="shared" si="184"/>
        <v>10.327925724456151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5.6843418860808015E-14</v>
      </c>
      <c r="GA173" s="17">
        <f>FZ173*VLOOKUP('Données projet'!$B$17,Paramètres!$A$1:$I$89,3,0)*VLOOKUP('Données projet'!$B$17,Paramètres!$A$1:$I$89,5,0)</f>
        <v>5.1431925385259088E-14</v>
      </c>
      <c r="GB173" s="13">
        <f t="shared" si="185"/>
        <v>8.3482866290946129E-13</v>
      </c>
      <c r="GC173" s="20">
        <f t="shared" si="186"/>
        <v>1.5435705246133045E-12</v>
      </c>
      <c r="GD173" s="59">
        <f t="shared" si="134"/>
        <v>293.33333333333485</v>
      </c>
      <c r="GE173" s="59">
        <f ca="1">AVERAGE(OFFSET($GD$3,0,0,'Données projet'!$E$17+1,1))-AVERAGE(OFFSET($H$3,0,0,'Données projet'!$E$17+1,1))</f>
        <v>204.78565758021779</v>
      </c>
      <c r="GF173" s="59">
        <f t="shared" si="158"/>
        <v>287.25131613242439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1.3130319793551291</v>
      </c>
      <c r="GM173" s="21">
        <f>EXP(-LN(2)/25)*GM172+(1-EXP(-LN(2)/25))/(LN(2)/25)*Calculateur!GH173*Calculateur!GJ173*VLOOKUP('Données projet'!$B$17,Paramètres!$A$1:$I$89,3,0)*0.475*44/12</f>
        <v>0.41303133484350252</v>
      </c>
      <c r="GN173" s="21">
        <f>EXP(-LN(2)/2)*GN172+(1-EXP(-LN(2)/2))/(LN(2)/2)*GH173*GK173*VLOOKUP('Données projet'!$B$17,Paramètres!$A$1:$I$89,3,0)*0.475*44/12</f>
        <v>2.1145019914475109E-18</v>
      </c>
      <c r="GO173" s="21">
        <f t="shared" si="187"/>
        <v>1.7260633141986315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5.6843418860808015E-14</v>
      </c>
      <c r="GV173" s="17">
        <f>GU173*VLOOKUP('Données projet'!$B$18,Paramètres!$A$1:$I$89,3,0)*VLOOKUP('Données projet'!$B$18,Paramètres!$A$1:$I$89,5,0)</f>
        <v>4.4337866711430253E-14</v>
      </c>
      <c r="GW173" s="13">
        <f t="shared" si="188"/>
        <v>7.3222115536967035E-13</v>
      </c>
      <c r="GX173" s="20">
        <f t="shared" si="189"/>
        <v>1.3525069634579169E-12</v>
      </c>
      <c r="GY173" s="59">
        <f t="shared" si="137"/>
        <v>293.33333333333468</v>
      </c>
      <c r="GZ173" s="59">
        <f ca="1">AVERAGE(OFFSET($GY$3,0,0,'Données projet'!$E$18+1,1))-AVERAGE(OFFSET($H$3,0,0,'Données projet'!$E$18+1,1))</f>
        <v>288.82868507674738</v>
      </c>
      <c r="HA173" s="59">
        <f t="shared" si="160"/>
        <v>283.48738729114024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5.8179174624554957</v>
      </c>
      <c r="HH173" s="21">
        <f>EXP(-LN(2)/25)*HH172+(1-EXP(-LN(2)/25))/(LN(2)/25)*Calculateur!HC173*Calculateur!HE173*VLOOKUP('Données projet'!$B$18,Paramètres!$A$1:$I$89,3,0)*0.475*44/12</f>
        <v>2.5735952590090707</v>
      </c>
      <c r="HI173" s="21">
        <f>EXP(-LN(2)/2)*HI172+(1-EXP(-LN(2)/2))/(LN(2)/2)*HC173*HF173*VLOOKUP('Données projet'!$B$18,Paramètres!$A$1:$I$89,3,0)*0.475*44/12</f>
        <v>3.8157028566979415E-14</v>
      </c>
      <c r="HJ173" s="22">
        <f t="shared" si="190"/>
        <v>8.3915127214646041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349.71285006949597</v>
      </c>
      <c r="T174" s="59">
        <f t="shared" si="142"/>
        <v>258.51550516456842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25.279704946835533</v>
      </c>
      <c r="AA174" s="21">
        <f>EXP(-LN(2)/25)*AA173+(1-EXP(-LN(2)/25))/(LN(2)/25)*Calculateur!V174*Calculateur!X174*VLOOKUP('Données projet'!$B$9,Paramètres!$A$1:$I$89,3,0)*0.475*44/12</f>
        <v>4.1506292548010366</v>
      </c>
      <c r="AB174" s="21">
        <f>EXP(-LN(2)/2)*AB173+(1-EXP(-LN(2)/2))/(LN(2)/2)*V174*Y174*VLOOKUP('Données projet'!$B$9,Paramètres!$A$1:$I$89,3,0)*0.475*44/12</f>
        <v>1.4212053448398344E-12</v>
      </c>
      <c r="AC174" s="22">
        <f t="shared" si="163"/>
        <v>29.43033420163799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2.5579538487363607E-13</v>
      </c>
      <c r="AJ174" s="13">
        <f>AI174*VLOOKUP('Données projet'!$B$10,Paramètres!$A$1:$I$89,3,0)*VLOOKUP('Données projet'!$B$10,Paramètres!$A$1:$I$89,5,0)</f>
        <v>2.4341488824575211E-13</v>
      </c>
      <c r="AK174" s="13">
        <f t="shared" si="164"/>
        <v>3.2970717324875541E-12</v>
      </c>
      <c r="AL174" s="20">
        <f t="shared" si="165"/>
        <v>6.1663475311105072E-12</v>
      </c>
      <c r="AM174" s="59">
        <f t="shared" si="113"/>
        <v>293.33333333333945</v>
      </c>
      <c r="AN174" s="59">
        <f ca="1">AVERAGE(OFFSET($AM$3,0,0,'Données projet'!$E$10+1,1))-AVERAGE(OFFSET($H$3,0,0,'Données projet'!$E$10+1,1))</f>
        <v>449.28947235329758</v>
      </c>
      <c r="AO174" s="59">
        <f t="shared" si="144"/>
        <v>289.36994109443964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52.74931028117615</v>
      </c>
      <c r="AV174" s="21">
        <f>EXP(-LN(2)/25)*AV173+(1-EXP(-LN(2)/25))/(LN(2)/25)*Calculateur!AQ174*Calculateur!AS174*VLOOKUP('Données projet'!$B$10,Paramètres!$A$1:$I$89,3,0)*0.475*44/12</f>
        <v>7.9439796373402087</v>
      </c>
      <c r="AW174" s="21">
        <f>EXP(-LN(2)/2)*AW173+(1-EXP(-LN(2)/2))/(LN(2)/2)*AQ174*AT174*VLOOKUP('Données projet'!$B$10,Paramètres!$A$1:$I$89,3,0)*0.475*44/12</f>
        <v>4.8293167085600968E-6</v>
      </c>
      <c r="AX174" s="21">
        <f t="shared" si="166"/>
        <v>60.693294747833065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526.28053920000093</v>
      </c>
      <c r="BF174" s="13">
        <f t="shared" si="167"/>
        <v>116.95523902184036</v>
      </c>
      <c r="BG174" s="20">
        <f t="shared" si="168"/>
        <v>1120.3023137363737</v>
      </c>
      <c r="BH174" s="59">
        <f t="shared" si="116"/>
        <v>1413.6356470697069</v>
      </c>
      <c r="BI174" s="59">
        <f ca="1">AVERAGE(OFFSET($BH$3,0,0,'Données projet'!$E$11+1,1))-AVERAGE(OFFSET($H$3,0,0,'Données projet'!$E$11+1,1))</f>
        <v>635.71275911100679</v>
      </c>
      <c r="BJ174" s="59">
        <f t="shared" si="146"/>
        <v>281.7776857269169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51.025613318862483</v>
      </c>
      <c r="BQ174" s="21">
        <f>EXP(-LN(2)/25)*BQ173+(1-EXP(-LN(2)/25))/(LN(2)/25)*Calculateur!BL174*Calculateur!BN174*VLOOKUP('Données projet'!$B$11,Paramètres!$A$1:$I$89,3,0)*0.475*44/12</f>
        <v>18.949242461953183</v>
      </c>
      <c r="BR174" s="21">
        <f>EXP(-LN(2)/2)*BR173+(1-EXP(-LN(2)/2))/(LN(2)/2)*BL174*BO174*VLOOKUP('Données projet'!$B$11,Paramètres!$A$1:$I$89,3,0)*0.475*44/12</f>
        <v>4.3040195957050856E-7</v>
      </c>
      <c r="BS174" s="22">
        <f t="shared" si="169"/>
        <v>69.974856211217613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7.688333333333337</v>
      </c>
      <c r="BY174" s="12">
        <f>IF('Données projet'!$A$114&gt;35,BY173+BX174-CG173,IF(A174&lt;'Données projet'!$A$114,$BV$205^A174,IF(A174='Données projet'!$A$114,'Données projet'!$B$114,BY173+BX174-CG173)))</f>
        <v>387.34499999999969</v>
      </c>
      <c r="BZ174" s="13">
        <f>BY174*VLOOKUP('Données projet'!$B$12,Paramètres!$A$1:$I$89,3,0)*VLOOKUP('Données projet'!$B$12,Paramètres!$A$1:$I$89,5,0)</f>
        <v>441.10848599999963</v>
      </c>
      <c r="CA174" s="13">
        <f t="shared" si="170"/>
        <v>100.06274015592311</v>
      </c>
      <c r="CB174" s="20">
        <f t="shared" si="171"/>
        <v>942.53988555489889</v>
      </c>
      <c r="CC174" s="59">
        <f t="shared" si="119"/>
        <v>1235.8732188882323</v>
      </c>
      <c r="CD174" s="59">
        <f ca="1">AVERAGE(OFFSET($CC$3,0,0,'Données projet'!$E$12+1,1))-AVERAGE(OFFSET($H$3,0,0,'Données projet'!$E$12+1,1))</f>
        <v>593.28343396240075</v>
      </c>
      <c r="CE174" s="59">
        <f t="shared" si="148"/>
        <v>289.66477662068695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53.309307988270632</v>
      </c>
      <c r="CL174" s="21">
        <f>EXP(-LN(2)/25)*CL173+(1-EXP(-LN(2)/25))/(LN(2)/25)*Calculateur!CG174*Calculateur!CI174*VLOOKUP('Données projet'!$B$12,Paramètres!$A$1:$I$89,3,0)*0.475*44/12</f>
        <v>24.021632922102654</v>
      </c>
      <c r="CM174" s="21">
        <f>EXP(-LN(2)/2)*CM173+(1-EXP(-LN(2)/2))/(LN(2)/2)*CG174*CJ174*VLOOKUP('Données projet'!$B$12,Paramètres!$A$1:$I$89,3,0)*0.475*44/12</f>
        <v>5.7256264509093129E-4</v>
      </c>
      <c r="CN174" s="22">
        <f t="shared" si="172"/>
        <v>77.331513473018376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2.2737367544323206E-13</v>
      </c>
      <c r="CU174" s="17">
        <f>CT174*VLOOKUP('Données projet'!$B$13,Paramètres!$A$1:$I$89,3,0)*VLOOKUP('Données projet'!$B$13,Paramètres!$A$1:$I$89,5,0)</f>
        <v>2.3765096557326618E-13</v>
      </c>
      <c r="CV174" s="13">
        <f t="shared" si="173"/>
        <v>3.2279907425805489E-12</v>
      </c>
      <c r="CW174" s="20">
        <f t="shared" si="174"/>
        <v>6.0359926417012276E-12</v>
      </c>
      <c r="CX174" s="59">
        <f t="shared" si="122"/>
        <v>293.33333333333934</v>
      </c>
      <c r="CY174" s="59">
        <f ca="1">AVERAGE(OFFSET($CX$3,0,0,'Données projet'!$E$13+1,1))-AVERAGE(OFFSET($H$3,0,0,'Données projet'!$E$13+1,1))</f>
        <v>260.65406541614402</v>
      </c>
      <c r="CZ174" s="59">
        <f t="shared" si="150"/>
        <v>277.63456890196886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3.6220630010518495</v>
      </c>
      <c r="DG174" s="21">
        <f>EXP(-LN(2)/25)*DG173+(1-EXP(-LN(2)/25))/(LN(2)/25)*Calculateur!DB174*Calculateur!DD174*VLOOKUP('Données projet'!$B$13,Paramètres!$A$1:$I$89,3,0)*0.475*44/12</f>
        <v>5.2434348417254082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8.8654978427772573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2.2737367544323206E-13</v>
      </c>
      <c r="DP174" s="17">
        <f>DO174*VLOOKUP('Données projet'!$B$14,Paramètres!$A$1:$I$89,3,0)*VLOOKUP('Données projet'!$B$14,Paramètres!$A$1:$I$89,5,0)</f>
        <v>1.4897523215040565E-13</v>
      </c>
      <c r="DQ174" s="13">
        <f t="shared" si="176"/>
        <v>2.136562777003313E-12</v>
      </c>
      <c r="DR174" s="20">
        <f t="shared" si="177"/>
        <v>3.9806453659427267E-12</v>
      </c>
      <c r="DS174" s="59">
        <f t="shared" si="125"/>
        <v>293.33333333333729</v>
      </c>
      <c r="DT174" s="59">
        <f ca="1">AVERAGE(OFFSET($DS$3,0,0,'Données projet'!$E$14+1,1))-AVERAGE(OFFSET($H$3,0,0,'Données projet'!$E$14+1,1))</f>
        <v>181.4272795535777</v>
      </c>
      <c r="DU174" s="59">
        <f t="shared" si="152"/>
        <v>187.67131775419904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3.3990595664724679</v>
      </c>
      <c r="EB174" s="21">
        <f>EXP(-LN(2)/25)*EB173+(1-EXP(-LN(2)/25))/(LN(2)/25)*Calculateur!DW174*Calculateur!DY174*VLOOKUP('Données projet'!$B$14,Paramètres!$A$1:$I$89,3,0)*0.475*44/12</f>
        <v>1.9096848668150159</v>
      </c>
      <c r="EC174" s="21">
        <f>EXP(-LN(2)/2)*EC173+(1-EXP(-LN(2)/2))/(LN(2)/2)*DW174*DZ174*VLOOKUP('Données projet'!$B$14,Paramètres!$A$1:$I$89,3,0)*0.475*44/12</f>
        <v>1.6136867640284284E-11</v>
      </c>
      <c r="ED174" s="22">
        <f t="shared" si="178"/>
        <v>5.3087444333036204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9.2222762759774927E-14</v>
      </c>
      <c r="EL174" s="13">
        <f t="shared" si="179"/>
        <v>1.3985662224947967E-12</v>
      </c>
      <c r="EM174" s="20">
        <f t="shared" si="180"/>
        <v>2.5964574826517121E-12</v>
      </c>
      <c r="EN174" s="59">
        <f t="shared" si="128"/>
        <v>293.33333333333593</v>
      </c>
      <c r="EO174" s="59">
        <f ca="1">AVERAGE(OFFSET($EN$3,0,0,'Données projet'!$E$15+1,1))-AVERAGE(OFFSET($H$3,0,0,'Données projet'!$E$15+1,1))</f>
        <v>159.68591355116837</v>
      </c>
      <c r="EP174" s="59">
        <f t="shared" si="154"/>
        <v>284.32631786390112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1.0893279621625649</v>
      </c>
      <c r="EW174" s="21">
        <f>EXP(-LN(2)/25)*EW173+(1-EXP(-LN(2)/25))/(LN(2)/25)*Calculateur!ER174*Calculateur!ET174*VLOOKUP('Données projet'!$B$15,Paramètres!$A$1:$I$89,3,0)*0.475*44/12</f>
        <v>0.51122318016204971</v>
      </c>
      <c r="EX174" s="21">
        <f>EXP(-LN(2)/2)*EX173+(1-EXP(-LN(2)/2))/(LN(2)/2)*ER174*EU174*VLOOKUP('Données projet'!$B$15,Paramètres!$A$1:$I$89,3,0)*0.475*44/12</f>
        <v>5.5930929858090337E-19</v>
      </c>
      <c r="EY174" s="22">
        <f t="shared" si="181"/>
        <v>1.6005511423246146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-1.3567387213697657E-13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299.10536994156814</v>
      </c>
      <c r="FK174" s="59">
        <f t="shared" si="156"/>
        <v>292.57799203101769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6.7003399562038979</v>
      </c>
      <c r="FR174" s="21">
        <f>EXP(-LN(2)/25)*FR173+(1-EXP(-LN(2)/25))/(LN(2)/25)*Calculateur!FM174*Calculateur!FO174*VLOOKUP('Données projet'!$B$16,Paramètres!$A$1:$I$89,3,0)*0.475*44/12</f>
        <v>3.3980363797074267</v>
      </c>
      <c r="FS174" s="21">
        <f>EXP(-LN(2)/2)*FS173+(1-EXP(-LN(2)/2))/(LN(2)/2)*FM174*FP174*VLOOKUP('Données projet'!$B$16,Paramètres!$A$1:$I$89,3,0)*0.475*44/12</f>
        <v>1.0446503263963877E-12</v>
      </c>
      <c r="FT174" s="22">
        <f t="shared" si="184"/>
        <v>10.09837633591237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5.6843418860808015E-14</v>
      </c>
      <c r="GA174" s="17">
        <f>FZ174*VLOOKUP('Données projet'!$B$17,Paramètres!$A$1:$I$89,3,0)*VLOOKUP('Données projet'!$B$17,Paramètres!$A$1:$I$89,5,0)</f>
        <v>5.1431925385259088E-14</v>
      </c>
      <c r="GB174" s="13">
        <f t="shared" si="185"/>
        <v>8.3482866290946129E-13</v>
      </c>
      <c r="GC174" s="20">
        <f t="shared" si="186"/>
        <v>1.5435705246133045E-12</v>
      </c>
      <c r="GD174" s="59">
        <f t="shared" si="134"/>
        <v>293.33333333333485</v>
      </c>
      <c r="GE174" s="59">
        <f ca="1">AVERAGE(OFFSET($GD$3,0,0,'Données projet'!$E$17+1,1))-AVERAGE(OFFSET($H$3,0,0,'Données projet'!$E$17+1,1))</f>
        <v>204.78565758021779</v>
      </c>
      <c r="GF174" s="59">
        <f t="shared" si="158"/>
        <v>287.25131613242439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1.2872842231104029</v>
      </c>
      <c r="GM174" s="21">
        <f>EXP(-LN(2)/25)*GM173+(1-EXP(-LN(2)/25))/(LN(2)/25)*Calculateur!GH174*Calculateur!GJ174*VLOOKUP('Données projet'!$B$17,Paramètres!$A$1:$I$89,3,0)*0.475*44/12</f>
        <v>0.40173697127183305</v>
      </c>
      <c r="GN174" s="21">
        <f>EXP(-LN(2)/2)*GN173+(1-EXP(-LN(2)/2))/(LN(2)/2)*GH174*GK174*VLOOKUP('Données projet'!$B$17,Paramètres!$A$1:$I$89,3,0)*0.475*44/12</f>
        <v>1.4951786969849941E-18</v>
      </c>
      <c r="GO174" s="21">
        <f t="shared" si="187"/>
        <v>1.689021194382236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5.6843418860808015E-14</v>
      </c>
      <c r="GV174" s="17">
        <f>GU174*VLOOKUP('Données projet'!$B$18,Paramètres!$A$1:$I$89,3,0)*VLOOKUP('Données projet'!$B$18,Paramètres!$A$1:$I$89,5,0)</f>
        <v>4.4337866711430253E-14</v>
      </c>
      <c r="GW174" s="13">
        <f t="shared" si="188"/>
        <v>7.3222115536967035E-13</v>
      </c>
      <c r="GX174" s="20">
        <f t="shared" si="189"/>
        <v>1.3525069634579169E-12</v>
      </c>
      <c r="GY174" s="59">
        <f t="shared" si="137"/>
        <v>293.33333333333468</v>
      </c>
      <c r="GZ174" s="59">
        <f ca="1">AVERAGE(OFFSET($GY$3,0,0,'Données projet'!$E$18+1,1))-AVERAGE(OFFSET($H$3,0,0,'Données projet'!$E$18+1,1))</f>
        <v>288.82868507674738</v>
      </c>
      <c r="HA174" s="59">
        <f t="shared" si="160"/>
        <v>283.48738729114024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5.703831649596002</v>
      </c>
      <c r="HH174" s="21">
        <f>EXP(-LN(2)/25)*HH173+(1-EXP(-LN(2)/25))/(LN(2)/25)*Calculateur!HC174*Calculateur!HE174*VLOOKUP('Données projet'!$B$18,Paramètres!$A$1:$I$89,3,0)*0.475*44/12</f>
        <v>2.5032201613119751</v>
      </c>
      <c r="HI174" s="21">
        <f>EXP(-LN(2)/2)*HI173+(1-EXP(-LN(2)/2))/(LN(2)/2)*HC174*HF174*VLOOKUP('Données projet'!$B$18,Paramètres!$A$1:$I$89,3,0)*0.475*44/12</f>
        <v>2.6981093649639957E-14</v>
      </c>
      <c r="HJ174" s="22">
        <f t="shared" si="190"/>
        <v>8.2070518109080037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349.71285006949597</v>
      </c>
      <c r="T175" s="59">
        <f t="shared" si="142"/>
        <v>258.51550516456842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24.783985351925597</v>
      </c>
      <c r="AA175" s="21">
        <f>EXP(-LN(2)/25)*AA174+(1-EXP(-LN(2)/25))/(LN(2)/25)*Calculateur!V175*Calculateur!X175*VLOOKUP('Données projet'!$B$9,Paramètres!$A$1:$I$89,3,0)*0.475*44/12</f>
        <v>4.0371300795563965</v>
      </c>
      <c r="AB175" s="21">
        <f>EXP(-LN(2)/2)*AB174+(1-EXP(-LN(2)/2))/(LN(2)/2)*V175*Y175*VLOOKUP('Données projet'!$B$9,Paramètres!$A$1:$I$89,3,0)*0.475*44/12</f>
        <v>1.0049439367948126E-12</v>
      </c>
      <c r="AC175" s="22">
        <f t="shared" si="163"/>
        <v>28.821115431482998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2.5579538487363607E-13</v>
      </c>
      <c r="AJ175" s="13">
        <f>AI175*VLOOKUP('Données projet'!$B$10,Paramètres!$A$1:$I$89,3,0)*VLOOKUP('Données projet'!$B$10,Paramètres!$A$1:$I$89,5,0)</f>
        <v>2.4341488824575211E-13</v>
      </c>
      <c r="AK175" s="13">
        <f t="shared" si="164"/>
        <v>3.2970717324875541E-12</v>
      </c>
      <c r="AL175" s="20">
        <f t="shared" si="165"/>
        <v>6.1663475311105072E-12</v>
      </c>
      <c r="AM175" s="59">
        <f t="shared" si="113"/>
        <v>293.33333333333945</v>
      </c>
      <c r="AN175" s="59">
        <f ca="1">AVERAGE(OFFSET($AM$3,0,0,'Données projet'!$E$10+1,1))-AVERAGE(OFFSET($H$3,0,0,'Données projet'!$E$10+1,1))</f>
        <v>449.28947235329758</v>
      </c>
      <c r="AO175" s="59">
        <f t="shared" si="144"/>
        <v>289.36994109443964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51.71492848046465</v>
      </c>
      <c r="AV175" s="21">
        <f>EXP(-LN(2)/25)*AV174+(1-EXP(-LN(2)/25))/(LN(2)/25)*Calculateur!AQ175*Calculateur!AS175*VLOOKUP('Données projet'!$B$10,Paramètres!$A$1:$I$89,3,0)*0.475*44/12</f>
        <v>7.7267510964014079</v>
      </c>
      <c r="AW175" s="21">
        <f>EXP(-LN(2)/2)*AW174+(1-EXP(-LN(2)/2))/(LN(2)/2)*AQ175*AT175*VLOOKUP('Données projet'!$B$10,Paramètres!$A$1:$I$89,3,0)*0.475*44/12</f>
        <v>3.4148425931203423E-6</v>
      </c>
      <c r="AX175" s="21">
        <f t="shared" si="166"/>
        <v>59.441682991708653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534.98652480000089</v>
      </c>
      <c r="BF175" s="13">
        <f t="shared" si="167"/>
        <v>118.66313040568902</v>
      </c>
      <c r="BG175" s="20">
        <f t="shared" si="168"/>
        <v>1138.4398161499098</v>
      </c>
      <c r="BH175" s="59">
        <f t="shared" si="116"/>
        <v>1431.7731494832431</v>
      </c>
      <c r="BI175" s="59">
        <f ca="1">AVERAGE(OFFSET($BH$3,0,0,'Données projet'!$E$11+1,1))-AVERAGE(OFFSET($H$3,0,0,'Données projet'!$E$11+1,1))</f>
        <v>635.71275911100679</v>
      </c>
      <c r="BJ175" s="59">
        <f t="shared" si="146"/>
        <v>281.7776857269169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50.025032164230616</v>
      </c>
      <c r="BQ175" s="21">
        <f>EXP(-LN(2)/25)*BQ174+(1-EXP(-LN(2)/25))/(LN(2)/25)*Calculateur!BL175*Calculateur!BN175*VLOOKUP('Données projet'!$B$11,Paramètres!$A$1:$I$89,3,0)*0.475*44/12</f>
        <v>18.431074430333723</v>
      </c>
      <c r="BR175" s="21">
        <f>EXP(-LN(2)/2)*BR174+(1-EXP(-LN(2)/2))/(LN(2)/2)*BL175*BO175*VLOOKUP('Données projet'!$B$11,Paramètres!$A$1:$I$89,3,0)*0.475*44/12</f>
        <v>3.0434014424828487E-7</v>
      </c>
      <c r="BS175" s="22">
        <f t="shared" si="169"/>
        <v>68.456106898904494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7.688333333333337</v>
      </c>
      <c r="BY175" s="12">
        <f>IF('Données projet'!$A$114&gt;35,BY174+BX175-CG174,IF(A175&lt;'Données projet'!$A$114,$BV$205^A175,IF(A175='Données projet'!$A$114,'Données projet'!$B$114,BY174+BX175-CG174)))</f>
        <v>395.03333333333302</v>
      </c>
      <c r="BZ175" s="13">
        <f>BY175*VLOOKUP('Données projet'!$B$12,Paramètres!$A$1:$I$89,3,0)*VLOOKUP('Données projet'!$B$12,Paramètres!$A$1:$I$89,5,0)</f>
        <v>449.86395999999962</v>
      </c>
      <c r="CA175" s="13">
        <f t="shared" si="170"/>
        <v>101.81566797428304</v>
      </c>
      <c r="CB175" s="20">
        <f t="shared" si="171"/>
        <v>960.84201872187566</v>
      </c>
      <c r="CC175" s="59">
        <f t="shared" si="119"/>
        <v>1254.175352055209</v>
      </c>
      <c r="CD175" s="59">
        <f ca="1">AVERAGE(OFFSET($CC$3,0,0,'Données projet'!$E$12+1,1))-AVERAGE(OFFSET($H$3,0,0,'Données projet'!$E$12+1,1))</f>
        <v>593.28343396240075</v>
      </c>
      <c r="CE175" s="59">
        <f t="shared" si="148"/>
        <v>289.66477662068695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52.263944974087885</v>
      </c>
      <c r="CL175" s="21">
        <f>EXP(-LN(2)/25)*CL174+(1-EXP(-LN(2)/25))/(LN(2)/25)*Calculateur!CG175*Calculateur!CI175*VLOOKUP('Données projet'!$B$12,Paramètres!$A$1:$I$89,3,0)*0.475*44/12</f>
        <v>23.364760106604983</v>
      </c>
      <c r="CM175" s="21">
        <f>EXP(-LN(2)/2)*CM174+(1-EXP(-LN(2)/2))/(LN(2)/2)*CG175*CJ175*VLOOKUP('Données projet'!$B$12,Paramètres!$A$1:$I$89,3,0)*0.475*44/12</f>
        <v>4.0486292899790402E-4</v>
      </c>
      <c r="CN175" s="22">
        <f t="shared" si="172"/>
        <v>75.62910994362187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2.2737367544323206E-13</v>
      </c>
      <c r="CU175" s="17">
        <f>CT175*VLOOKUP('Données projet'!$B$13,Paramètres!$A$1:$I$89,3,0)*VLOOKUP('Données projet'!$B$13,Paramètres!$A$1:$I$89,5,0)</f>
        <v>2.3765096557326618E-13</v>
      </c>
      <c r="CV175" s="13">
        <f t="shared" si="173"/>
        <v>3.2279907425805489E-12</v>
      </c>
      <c r="CW175" s="20">
        <f t="shared" si="174"/>
        <v>6.0359926417012276E-12</v>
      </c>
      <c r="CX175" s="59">
        <f t="shared" si="122"/>
        <v>293.33333333333934</v>
      </c>
      <c r="CY175" s="59">
        <f ca="1">AVERAGE(OFFSET($CX$3,0,0,'Données projet'!$E$13+1,1))-AVERAGE(OFFSET($H$3,0,0,'Données projet'!$E$13+1,1))</f>
        <v>260.65406541614402</v>
      </c>
      <c r="CZ175" s="59">
        <f t="shared" si="150"/>
        <v>277.63456890196886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3.551036554841509</v>
      </c>
      <c r="DG175" s="21">
        <f>EXP(-LN(2)/25)*DG174+(1-EXP(-LN(2)/25))/(LN(2)/25)*Calculateur!DB175*Calculateur!DD175*VLOOKUP('Données projet'!$B$13,Paramètres!$A$1:$I$89,3,0)*0.475*44/12</f>
        <v>5.1000528402381722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8.6510893950796817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2.2737367544323206E-13</v>
      </c>
      <c r="DP175" s="17">
        <f>DO175*VLOOKUP('Données projet'!$B$14,Paramètres!$A$1:$I$89,3,0)*VLOOKUP('Données projet'!$B$14,Paramètres!$A$1:$I$89,5,0)</f>
        <v>1.4897523215040565E-13</v>
      </c>
      <c r="DQ175" s="13">
        <f t="shared" si="176"/>
        <v>2.136562777003313E-12</v>
      </c>
      <c r="DR175" s="20">
        <f t="shared" si="177"/>
        <v>3.9806453659427267E-12</v>
      </c>
      <c r="DS175" s="59">
        <f t="shared" si="125"/>
        <v>293.33333333333729</v>
      </c>
      <c r="DT175" s="59">
        <f ca="1">AVERAGE(OFFSET($DS$3,0,0,'Données projet'!$E$14+1,1))-AVERAGE(OFFSET($H$3,0,0,'Données projet'!$E$14+1,1))</f>
        <v>181.4272795535777</v>
      </c>
      <c r="DU175" s="59">
        <f t="shared" si="152"/>
        <v>187.67131775419904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3.3324060815955647</v>
      </c>
      <c r="EB175" s="21">
        <f>EXP(-LN(2)/25)*EB174+(1-EXP(-LN(2)/25))/(LN(2)/25)*Calculateur!DW175*Calculateur!DY175*VLOOKUP('Données projet'!$B$14,Paramètres!$A$1:$I$89,3,0)*0.475*44/12</f>
        <v>1.8574644337059969</v>
      </c>
      <c r="EC175" s="21">
        <f>EXP(-LN(2)/2)*EC174+(1-EXP(-LN(2)/2))/(LN(2)/2)*DW175*DZ175*VLOOKUP('Données projet'!$B$14,Paramètres!$A$1:$I$89,3,0)*0.475*44/12</f>
        <v>1.1410488535554779E-11</v>
      </c>
      <c r="ED175" s="22">
        <f t="shared" si="178"/>
        <v>5.1898705153129718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9.2222762759774927E-14</v>
      </c>
      <c r="EL175" s="13">
        <f t="shared" si="179"/>
        <v>1.3985662224947967E-12</v>
      </c>
      <c r="EM175" s="20">
        <f t="shared" si="180"/>
        <v>2.5964574826517121E-12</v>
      </c>
      <c r="EN175" s="59">
        <f t="shared" si="128"/>
        <v>293.33333333333593</v>
      </c>
      <c r="EO175" s="59">
        <f ca="1">AVERAGE(OFFSET($EN$3,0,0,'Données projet'!$E$15+1,1))-AVERAGE(OFFSET($H$3,0,0,'Données projet'!$E$15+1,1))</f>
        <v>159.68591355116837</v>
      </c>
      <c r="EP175" s="59">
        <f t="shared" si="154"/>
        <v>284.32631786390112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1.0679669052490075</v>
      </c>
      <c r="EW175" s="21">
        <f>EXP(-LN(2)/25)*EW174+(1-EXP(-LN(2)/25))/(LN(2)/25)*Calculateur!ER175*Calculateur!ET175*VLOOKUP('Données projet'!$B$15,Paramètres!$A$1:$I$89,3,0)*0.475*44/12</f>
        <v>0.49724375541645982</v>
      </c>
      <c r="EX175" s="21">
        <f>EXP(-LN(2)/2)*EX174+(1-EXP(-LN(2)/2))/(LN(2)/2)*ER175*EU175*VLOOKUP('Données projet'!$B$15,Paramètres!$A$1:$I$89,3,0)*0.475*44/12</f>
        <v>3.9549139780724822E-19</v>
      </c>
      <c r="EY175" s="22">
        <f t="shared" si="181"/>
        <v>1.5652106606654672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-1.3567387213697657E-13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299.10536994156814</v>
      </c>
      <c r="FK175" s="59">
        <f t="shared" si="156"/>
        <v>292.57799203101769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6.5689503764665744</v>
      </c>
      <c r="FR175" s="21">
        <f>EXP(-LN(2)/25)*FR174+(1-EXP(-LN(2)/25))/(LN(2)/25)*Calculateur!FM175*Calculateur!FO175*VLOOKUP('Données projet'!$B$16,Paramètres!$A$1:$I$89,3,0)*0.475*44/12</f>
        <v>3.30511689620936</v>
      </c>
      <c r="FS175" s="21">
        <f>EXP(-LN(2)/2)*FS174+(1-EXP(-LN(2)/2))/(LN(2)/2)*FM175*FP175*VLOOKUP('Données projet'!$B$16,Paramètres!$A$1:$I$89,3,0)*0.475*44/12</f>
        <v>7.3867932976362597E-13</v>
      </c>
      <c r="FT175" s="22">
        <f t="shared" si="184"/>
        <v>9.8740672726766725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5.6843418860808015E-14</v>
      </c>
      <c r="GA175" s="17">
        <f>FZ175*VLOOKUP('Données projet'!$B$17,Paramètres!$A$1:$I$89,3,0)*VLOOKUP('Données projet'!$B$17,Paramètres!$A$1:$I$89,5,0)</f>
        <v>5.1431925385259088E-14</v>
      </c>
      <c r="GB175" s="13">
        <f t="shared" si="185"/>
        <v>8.3482866290946129E-13</v>
      </c>
      <c r="GC175" s="20">
        <f t="shared" si="186"/>
        <v>1.5435705246133045E-12</v>
      </c>
      <c r="GD175" s="59">
        <f t="shared" si="134"/>
        <v>293.33333333333485</v>
      </c>
      <c r="GE175" s="59">
        <f ca="1">AVERAGE(OFFSET($GD$3,0,0,'Données projet'!$E$17+1,1))-AVERAGE(OFFSET($H$3,0,0,'Données projet'!$E$17+1,1))</f>
        <v>204.78565758021779</v>
      </c>
      <c r="GF175" s="59">
        <f t="shared" si="158"/>
        <v>287.25131613242439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1.2620413646610553</v>
      </c>
      <c r="GM175" s="21">
        <f>EXP(-LN(2)/25)*GM174+(1-EXP(-LN(2)/25))/(LN(2)/25)*Calculateur!GH175*Calculateur!GJ175*VLOOKUP('Données projet'!$B$17,Paramètres!$A$1:$I$89,3,0)*0.475*44/12</f>
        <v>0.39075145266597566</v>
      </c>
      <c r="GN175" s="21">
        <f>EXP(-LN(2)/2)*GN174+(1-EXP(-LN(2)/2))/(LN(2)/2)*GH175*GK175*VLOOKUP('Données projet'!$B$17,Paramètres!$A$1:$I$89,3,0)*0.475*44/12</f>
        <v>1.0572509957237555E-18</v>
      </c>
      <c r="GO175" s="21">
        <f t="shared" si="187"/>
        <v>1.652792817327031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5.6843418860808015E-14</v>
      </c>
      <c r="GV175" s="17">
        <f>GU175*VLOOKUP('Données projet'!$B$18,Paramètres!$A$1:$I$89,3,0)*VLOOKUP('Données projet'!$B$18,Paramètres!$A$1:$I$89,5,0)</f>
        <v>4.4337866711430253E-14</v>
      </c>
      <c r="GW175" s="13">
        <f t="shared" si="188"/>
        <v>7.3222115536967035E-13</v>
      </c>
      <c r="GX175" s="20">
        <f t="shared" si="189"/>
        <v>1.3525069634579169E-12</v>
      </c>
      <c r="GY175" s="59">
        <f t="shared" si="137"/>
        <v>293.33333333333468</v>
      </c>
      <c r="GZ175" s="59">
        <f ca="1">AVERAGE(OFFSET($GY$3,0,0,'Données projet'!$E$18+1,1))-AVERAGE(OFFSET($H$3,0,0,'Données projet'!$E$18+1,1))</f>
        <v>288.82868507674738</v>
      </c>
      <c r="HA175" s="59">
        <f t="shared" si="160"/>
        <v>283.48738729114024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5.5919829899412088</v>
      </c>
      <c r="HH175" s="21">
        <f>EXP(-LN(2)/25)*HH174+(1-EXP(-LN(2)/25))/(LN(2)/25)*Calculateur!HC175*Calculateur!HE175*VLOOKUP('Données projet'!$B$18,Paramètres!$A$1:$I$89,3,0)*0.475*44/12</f>
        <v>2.4347694743622719</v>
      </c>
      <c r="HI175" s="21">
        <f>EXP(-LN(2)/2)*HI174+(1-EXP(-LN(2)/2))/(LN(2)/2)*HC175*HF175*VLOOKUP('Données projet'!$B$18,Paramètres!$A$1:$I$89,3,0)*0.475*44/12</f>
        <v>1.9078514283489708E-14</v>
      </c>
      <c r="HJ175" s="22">
        <f t="shared" si="190"/>
        <v>8.0267524643035006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349.71285006949597</v>
      </c>
      <c r="T176" s="59">
        <f t="shared" si="142"/>
        <v>258.51550516456842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24.297986515912747</v>
      </c>
      <c r="AA176" s="21">
        <f>EXP(-LN(2)/25)*AA175+(1-EXP(-LN(2)/25))/(LN(2)/25)*Calculateur!V176*Calculateur!X176*VLOOKUP('Données projet'!$B$9,Paramètres!$A$1:$I$89,3,0)*0.475*44/12</f>
        <v>3.9267345452274829</v>
      </c>
      <c r="AB176" s="21">
        <f>EXP(-LN(2)/2)*AB175+(1-EXP(-LN(2)/2))/(LN(2)/2)*V176*Y176*VLOOKUP('Données projet'!$B$9,Paramètres!$A$1:$I$89,3,0)*0.475*44/12</f>
        <v>7.1060267241991719E-13</v>
      </c>
      <c r="AC176" s="22">
        <f t="shared" si="163"/>
        <v>28.22472106114094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2.5579538487363607E-13</v>
      </c>
      <c r="AJ176" s="13">
        <f>AI176*VLOOKUP('Données projet'!$B$10,Paramètres!$A$1:$I$89,3,0)*VLOOKUP('Données projet'!$B$10,Paramètres!$A$1:$I$89,5,0)</f>
        <v>2.4341488824575211E-13</v>
      </c>
      <c r="AK176" s="13">
        <f t="shared" si="164"/>
        <v>3.2970717324875541E-12</v>
      </c>
      <c r="AL176" s="20">
        <f t="shared" si="165"/>
        <v>6.1663475311105072E-12</v>
      </c>
      <c r="AM176" s="59">
        <f t="shared" si="113"/>
        <v>293.33333333333945</v>
      </c>
      <c r="AN176" s="59">
        <f ca="1">AVERAGE(OFFSET($AM$3,0,0,'Données projet'!$E$10+1,1))-AVERAGE(OFFSET($H$3,0,0,'Données projet'!$E$10+1,1))</f>
        <v>449.28947235329758</v>
      </c>
      <c r="AO176" s="59">
        <f t="shared" si="144"/>
        <v>289.36994109443964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50.700830275954502</v>
      </c>
      <c r="AV176" s="21">
        <f>EXP(-LN(2)/25)*AV175+(1-EXP(-LN(2)/25))/(LN(2)/25)*Calculateur!AQ176*Calculateur!AS176*VLOOKUP('Données projet'!$B$10,Paramètres!$A$1:$I$89,3,0)*0.475*44/12</f>
        <v>7.5154626813381311</v>
      </c>
      <c r="AW176" s="21">
        <f>EXP(-LN(2)/2)*AW175+(1-EXP(-LN(2)/2))/(LN(2)/2)*AQ176*AT176*VLOOKUP('Données projet'!$B$10,Paramètres!$A$1:$I$89,3,0)*0.475*44/12</f>
        <v>2.4146583542800484E-6</v>
      </c>
      <c r="AX176" s="21">
        <f t="shared" si="166"/>
        <v>58.216295371950984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543.69251040000086</v>
      </c>
      <c r="BF176" s="13">
        <f t="shared" si="167"/>
        <v>120.36778959614513</v>
      </c>
      <c r="BG176" s="20">
        <f t="shared" si="168"/>
        <v>1156.5716891599543</v>
      </c>
      <c r="BH176" s="59">
        <f t="shared" si="116"/>
        <v>1449.9050224932876</v>
      </c>
      <c r="BI176" s="59">
        <f ca="1">AVERAGE(OFFSET($BH$3,0,0,'Données projet'!$E$11+1,1))-AVERAGE(OFFSET($H$3,0,0,'Données projet'!$E$11+1,1))</f>
        <v>635.71275911100679</v>
      </c>
      <c r="BJ176" s="59">
        <f t="shared" si="146"/>
        <v>281.7776857269169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49.044071795746838</v>
      </c>
      <c r="BQ176" s="21">
        <f>EXP(-LN(2)/25)*BQ175+(1-EXP(-LN(2)/25))/(LN(2)/25)*Calculateur!BL176*Calculateur!BN176*VLOOKUP('Données projet'!$B$11,Paramètres!$A$1:$I$89,3,0)*0.475*44/12</f>
        <v>17.927075730788168</v>
      </c>
      <c r="BR176" s="21">
        <f>EXP(-LN(2)/2)*BR175+(1-EXP(-LN(2)/2))/(LN(2)/2)*BL176*BO176*VLOOKUP('Données projet'!$B$11,Paramètres!$A$1:$I$89,3,0)*0.475*44/12</f>
        <v>2.1520097978525428E-7</v>
      </c>
      <c r="BS176" s="22">
        <f t="shared" si="169"/>
        <v>66.97114774173599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7.688333333333337</v>
      </c>
      <c r="BY176" s="12">
        <f>IF('Données projet'!$A$114&gt;35,BY175+BX176-CG175,IF(A176&lt;'Données projet'!$A$114,$BV$205^A176,IF(A176='Données projet'!$A$114,'Données projet'!$B$114,BY175+BX176-CG175)))</f>
        <v>402.72166666666635</v>
      </c>
      <c r="BZ176" s="13">
        <f>BY176*VLOOKUP('Données projet'!$B$12,Paramètres!$A$1:$I$89,3,0)*VLOOKUP('Données projet'!$B$12,Paramètres!$A$1:$I$89,5,0)</f>
        <v>458.61943399999961</v>
      </c>
      <c r="CA176" s="13">
        <f t="shared" si="170"/>
        <v>103.56462888016677</v>
      </c>
      <c r="CB176" s="20">
        <f t="shared" si="171"/>
        <v>979.13724284962302</v>
      </c>
      <c r="CC176" s="59">
        <f t="shared" si="119"/>
        <v>1272.4705761829564</v>
      </c>
      <c r="CD176" s="59">
        <f ca="1">AVERAGE(OFFSET($CC$3,0,0,'Données projet'!$E$12+1,1))-AVERAGE(OFFSET($H$3,0,0,'Données projet'!$E$12+1,1))</f>
        <v>593.28343396240075</v>
      </c>
      <c r="CE176" s="59">
        <f t="shared" si="148"/>
        <v>289.66477662068695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51.239080891004775</v>
      </c>
      <c r="CL176" s="21">
        <f>EXP(-LN(2)/25)*CL175+(1-EXP(-LN(2)/25))/(LN(2)/25)*Calculateur!CG176*Calculateur!CI176*VLOOKUP('Données projet'!$B$12,Paramètres!$A$1:$I$89,3,0)*0.475*44/12</f>
        <v>22.725849512790536</v>
      </c>
      <c r="CM176" s="21">
        <f>EXP(-LN(2)/2)*CM175+(1-EXP(-LN(2)/2))/(LN(2)/2)*CG176*CJ176*VLOOKUP('Données projet'!$B$12,Paramètres!$A$1:$I$89,3,0)*0.475*44/12</f>
        <v>2.8628132254546564E-4</v>
      </c>
      <c r="CN176" s="22">
        <f t="shared" si="172"/>
        <v>73.965216685117852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2.2737367544323206E-13</v>
      </c>
      <c r="CU176" s="17">
        <f>CT176*VLOOKUP('Données projet'!$B$13,Paramètres!$A$1:$I$89,3,0)*VLOOKUP('Données projet'!$B$13,Paramètres!$A$1:$I$89,5,0)</f>
        <v>2.3765096557326618E-13</v>
      </c>
      <c r="CV176" s="13">
        <f t="shared" si="173"/>
        <v>3.2279907425805489E-12</v>
      </c>
      <c r="CW176" s="20">
        <f t="shared" si="174"/>
        <v>6.0359926417012276E-12</v>
      </c>
      <c r="CX176" s="59">
        <f t="shared" si="122"/>
        <v>293.33333333333934</v>
      </c>
      <c r="CY176" s="59">
        <f ca="1">AVERAGE(OFFSET($CX$3,0,0,'Données projet'!$E$13+1,1))-AVERAGE(OFFSET($H$3,0,0,'Données projet'!$E$13+1,1))</f>
        <v>260.65406541614402</v>
      </c>
      <c r="CZ176" s="59">
        <f t="shared" si="150"/>
        <v>277.63456890196886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3.481402893919499</v>
      </c>
      <c r="DG176" s="21">
        <f>EXP(-LN(2)/25)*DG175+(1-EXP(-LN(2)/25))/(LN(2)/25)*Calculateur!DB176*Calculateur!DD176*VLOOKUP('Données projet'!$B$13,Paramètres!$A$1:$I$89,3,0)*0.475*44/12</f>
        <v>4.9605916271217367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8.4419945210412362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2.2737367544323206E-13</v>
      </c>
      <c r="DP176" s="17">
        <f>DO176*VLOOKUP('Données projet'!$B$14,Paramètres!$A$1:$I$89,3,0)*VLOOKUP('Données projet'!$B$14,Paramètres!$A$1:$I$89,5,0)</f>
        <v>1.4897523215040565E-13</v>
      </c>
      <c r="DQ176" s="13">
        <f t="shared" si="176"/>
        <v>2.136562777003313E-12</v>
      </c>
      <c r="DR176" s="20">
        <f t="shared" si="177"/>
        <v>3.9806453659427267E-12</v>
      </c>
      <c r="DS176" s="59">
        <f t="shared" si="125"/>
        <v>293.33333333333729</v>
      </c>
      <c r="DT176" s="59">
        <f ca="1">AVERAGE(OFFSET($DS$3,0,0,'Données projet'!$E$14+1,1))-AVERAGE(OFFSET($H$3,0,0,'Données projet'!$E$14+1,1))</f>
        <v>181.4272795535777</v>
      </c>
      <c r="DU176" s="59">
        <f t="shared" si="152"/>
        <v>187.67131775419904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3.267059630902486</v>
      </c>
      <c r="EB176" s="21">
        <f>EXP(-LN(2)/25)*EB175+(1-EXP(-LN(2)/25))/(LN(2)/25)*Calculateur!DW176*Calculateur!DY176*VLOOKUP('Données projet'!$B$14,Paramètres!$A$1:$I$89,3,0)*0.475*44/12</f>
        <v>1.8066719710864971</v>
      </c>
      <c r="EC176" s="21">
        <f>EXP(-LN(2)/2)*EC175+(1-EXP(-LN(2)/2))/(LN(2)/2)*DW176*DZ176*VLOOKUP('Données projet'!$B$14,Paramètres!$A$1:$I$89,3,0)*0.475*44/12</f>
        <v>8.0684338201421419E-12</v>
      </c>
      <c r="ED176" s="22">
        <f t="shared" si="178"/>
        <v>5.0737316019970518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9.2222762759774927E-14</v>
      </c>
      <c r="EL176" s="13">
        <f t="shared" si="179"/>
        <v>1.3985662224947967E-12</v>
      </c>
      <c r="EM176" s="20">
        <f t="shared" si="180"/>
        <v>2.5964574826517121E-12</v>
      </c>
      <c r="EN176" s="59">
        <f t="shared" si="128"/>
        <v>293.33333333333593</v>
      </c>
      <c r="EO176" s="59">
        <f ca="1">AVERAGE(OFFSET($EN$3,0,0,'Données projet'!$E$15+1,1))-AVERAGE(OFFSET($H$3,0,0,'Données projet'!$E$15+1,1))</f>
        <v>159.68591355116837</v>
      </c>
      <c r="EP176" s="59">
        <f t="shared" si="154"/>
        <v>284.32631786390112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1.0470247256325667</v>
      </c>
      <c r="EW176" s="21">
        <f>EXP(-LN(2)/25)*EW175+(1-EXP(-LN(2)/25))/(LN(2)/25)*Calculateur!ER176*Calculateur!ET176*VLOOKUP('Données projet'!$B$15,Paramètres!$A$1:$I$89,3,0)*0.475*44/12</f>
        <v>0.48364659877568411</v>
      </c>
      <c r="EX176" s="21">
        <f>EXP(-LN(2)/2)*EX175+(1-EXP(-LN(2)/2))/(LN(2)/2)*ER176*EU176*VLOOKUP('Données projet'!$B$15,Paramètres!$A$1:$I$89,3,0)*0.475*44/12</f>
        <v>2.7965464929045169E-19</v>
      </c>
      <c r="EY176" s="22">
        <f t="shared" si="181"/>
        <v>1.5306713244082508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-1.3567387213697657E-13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299.10536994156814</v>
      </c>
      <c r="FK176" s="59">
        <f t="shared" si="156"/>
        <v>292.57799203101769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6.4401372662481693</v>
      </c>
      <c r="FR176" s="21">
        <f>EXP(-LN(2)/25)*FR175+(1-EXP(-LN(2)/25))/(LN(2)/25)*Calculateur!FM176*Calculateur!FO176*VLOOKUP('Données projet'!$B$16,Paramètres!$A$1:$I$89,3,0)*0.475*44/12</f>
        <v>3.2147383008739716</v>
      </c>
      <c r="FS176" s="21">
        <f>EXP(-LN(2)/2)*FS175+(1-EXP(-LN(2)/2))/(LN(2)/2)*FM176*FP176*VLOOKUP('Données projet'!$B$16,Paramètres!$A$1:$I$89,3,0)*0.475*44/12</f>
        <v>5.2232516319819384E-13</v>
      </c>
      <c r="FT176" s="22">
        <f t="shared" si="184"/>
        <v>9.6548755671226623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5.6843418860808015E-14</v>
      </c>
      <c r="GA176" s="17">
        <f>FZ176*VLOOKUP('Données projet'!$B$17,Paramètres!$A$1:$I$89,3,0)*VLOOKUP('Données projet'!$B$17,Paramètres!$A$1:$I$89,5,0)</f>
        <v>5.1431925385259088E-14</v>
      </c>
      <c r="GB176" s="13">
        <f t="shared" si="185"/>
        <v>8.3482866290946129E-13</v>
      </c>
      <c r="GC176" s="20">
        <f t="shared" si="186"/>
        <v>1.5435705246133045E-12</v>
      </c>
      <c r="GD176" s="59">
        <f t="shared" si="134"/>
        <v>293.33333333333485</v>
      </c>
      <c r="GE176" s="59">
        <f ca="1">AVERAGE(OFFSET($GD$3,0,0,'Données projet'!$E$17+1,1))-AVERAGE(OFFSET($H$3,0,0,'Données projet'!$E$17+1,1))</f>
        <v>204.78565758021779</v>
      </c>
      <c r="GF176" s="59">
        <f t="shared" si="158"/>
        <v>287.25131613242439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1.237293503269276</v>
      </c>
      <c r="GM176" s="21">
        <f>EXP(-LN(2)/25)*GM175+(1-EXP(-LN(2)/25))/(LN(2)/25)*Calculateur!GH176*Calculateur!GJ176*VLOOKUP('Données projet'!$B$17,Paramètres!$A$1:$I$89,3,0)*0.475*44/12</f>
        <v>0.38006633364409875</v>
      </c>
      <c r="GN176" s="21">
        <f>EXP(-LN(2)/2)*GN175+(1-EXP(-LN(2)/2))/(LN(2)/2)*GH176*GK176*VLOOKUP('Données projet'!$B$17,Paramètres!$A$1:$I$89,3,0)*0.475*44/12</f>
        <v>7.4758934849249707E-19</v>
      </c>
      <c r="GO176" s="21">
        <f t="shared" si="187"/>
        <v>1.6173598369133748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5.6843418860808015E-14</v>
      </c>
      <c r="GV176" s="17">
        <f>GU176*VLOOKUP('Données projet'!$B$18,Paramètres!$A$1:$I$89,3,0)*VLOOKUP('Données projet'!$B$18,Paramètres!$A$1:$I$89,5,0)</f>
        <v>4.4337866711430253E-14</v>
      </c>
      <c r="GW176" s="13">
        <f t="shared" si="188"/>
        <v>7.3222115536967035E-13</v>
      </c>
      <c r="GX176" s="20">
        <f t="shared" si="189"/>
        <v>1.3525069634579169E-12</v>
      </c>
      <c r="GY176" s="59">
        <f t="shared" si="137"/>
        <v>293.33333333333468</v>
      </c>
      <c r="GZ176" s="59">
        <f ca="1">AVERAGE(OFFSET($GY$3,0,0,'Données projet'!$E$18+1,1))-AVERAGE(OFFSET($H$3,0,0,'Données projet'!$E$18+1,1))</f>
        <v>288.82868507674738</v>
      </c>
      <c r="HA176" s="59">
        <f t="shared" si="160"/>
        <v>283.48738729114024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5.4823276142812993</v>
      </c>
      <c r="HH176" s="21">
        <f>EXP(-LN(2)/25)*HH175+(1-EXP(-LN(2)/25))/(LN(2)/25)*Calculateur!HC176*Calculateur!HE176*VLOOKUP('Données projet'!$B$18,Paramètres!$A$1:$I$89,3,0)*0.475*44/12</f>
        <v>2.3681905750468735</v>
      </c>
      <c r="HI176" s="21">
        <f>EXP(-LN(2)/2)*HI175+(1-EXP(-LN(2)/2))/(LN(2)/2)*HC176*HF176*VLOOKUP('Données projet'!$B$18,Paramètres!$A$1:$I$89,3,0)*0.475*44/12</f>
        <v>1.3490546824819978E-14</v>
      </c>
      <c r="HJ176" s="22">
        <f t="shared" si="190"/>
        <v>7.8505181893281861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349.71285006949597</v>
      </c>
      <c r="T177" s="59">
        <f t="shared" si="142"/>
        <v>258.51550516456842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23.82151782064409</v>
      </c>
      <c r="AA177" s="21">
        <f>EXP(-LN(2)/25)*AA176+(1-EXP(-LN(2)/25))/(LN(2)/25)*Calculateur!V177*Calculateur!X177*VLOOKUP('Données projet'!$B$9,Paramètres!$A$1:$I$89,3,0)*0.475*44/12</f>
        <v>3.8193577825902425</v>
      </c>
      <c r="AB177" s="21">
        <f>EXP(-LN(2)/2)*AB176+(1-EXP(-LN(2)/2))/(LN(2)/2)*V177*Y177*VLOOKUP('Données projet'!$B$9,Paramètres!$A$1:$I$89,3,0)*0.475*44/12</f>
        <v>5.0247196839740629E-13</v>
      </c>
      <c r="AC177" s="22">
        <f t="shared" si="163"/>
        <v>27.640875603234832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2.5579538487363607E-13</v>
      </c>
      <c r="AJ177" s="13">
        <f>AI177*VLOOKUP('Données projet'!$B$10,Paramètres!$A$1:$I$89,3,0)*VLOOKUP('Données projet'!$B$10,Paramètres!$A$1:$I$89,5,0)</f>
        <v>2.4341488824575211E-13</v>
      </c>
      <c r="AK177" s="13">
        <f t="shared" si="164"/>
        <v>3.2970717324875541E-12</v>
      </c>
      <c r="AL177" s="20">
        <f t="shared" si="165"/>
        <v>6.1663475311105072E-12</v>
      </c>
      <c r="AM177" s="59">
        <f t="shared" si="113"/>
        <v>293.33333333333945</v>
      </c>
      <c r="AN177" s="59">
        <f ca="1">AVERAGE(OFFSET($AM$3,0,0,'Données projet'!$E$10+1,1))-AVERAGE(OFFSET($H$3,0,0,'Données projet'!$E$10+1,1))</f>
        <v>449.28947235329758</v>
      </c>
      <c r="AO177" s="59">
        <f t="shared" si="144"/>
        <v>289.36994109443964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49.706617918695969</v>
      </c>
      <c r="AV177" s="21">
        <f>EXP(-LN(2)/25)*AV176+(1-EXP(-LN(2)/25))/(LN(2)/25)*Calculateur!AQ177*Calculateur!AS177*VLOOKUP('Données projet'!$B$10,Paramètres!$A$1:$I$89,3,0)*0.475*44/12</f>
        <v>7.3099519590959341</v>
      </c>
      <c r="AW177" s="21">
        <f>EXP(-LN(2)/2)*AW176+(1-EXP(-LN(2)/2))/(LN(2)/2)*AQ177*AT177*VLOOKUP('Données projet'!$B$10,Paramètres!$A$1:$I$89,3,0)*0.475*44/12</f>
        <v>1.7074212965601712E-6</v>
      </c>
      <c r="AX177" s="21">
        <f t="shared" si="166"/>
        <v>57.0165715852132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552.3984960000007</v>
      </c>
      <c r="BF177" s="13">
        <f t="shared" si="167"/>
        <v>122.06927432492597</v>
      </c>
      <c r="BG177" s="20">
        <f t="shared" si="168"/>
        <v>1174.698033315914</v>
      </c>
      <c r="BH177" s="59">
        <f t="shared" si="116"/>
        <v>1468.0313666492473</v>
      </c>
      <c r="BI177" s="59">
        <f ca="1">AVERAGE(OFFSET($BH$3,0,0,'Données projet'!$E$11+1,1))-AVERAGE(OFFSET($H$3,0,0,'Données projet'!$E$11+1,1))</f>
        <v>635.71275911100679</v>
      </c>
      <c r="BJ177" s="59">
        <f t="shared" si="146"/>
        <v>281.7776857269169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94.533010057963907</v>
      </c>
      <c r="BQ177" s="21">
        <f>EXP(-LN(2)/25)*BQ176+(1-EXP(-LN(2)/25))/(LN(2)/25)*Calculateur!BL177*Calculateur!BN177*VLOOKUP('Données projet'!$B$11,Paramètres!$A$1:$I$89,3,0)*0.475*44/12</f>
        <v>22.577722084238086</v>
      </c>
      <c r="BR177" s="21">
        <f>EXP(-LN(2)/2)*BR176+(1-EXP(-LN(2)/2))/(LN(2)/2)*BL177*BO177*VLOOKUP('Données projet'!$B$11,Paramètres!$A$1:$I$89,3,0)*0.475*44/12</f>
        <v>10.244437980189536</v>
      </c>
      <c r="BS177" s="22">
        <f t="shared" si="169"/>
        <v>127.35517012239153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7.688333333333337</v>
      </c>
      <c r="BY177" s="12">
        <f>IF('Données projet'!$A$114&gt;35,BY176+BX177-CG176,IF(A177&lt;'Données projet'!$A$114,$BV$205^A177,IF(A177='Données projet'!$A$114,'Données projet'!$B$114,BY176+BX177-CG176)))</f>
        <v>410.40999999999968</v>
      </c>
      <c r="BZ177" s="13">
        <f>BY177*VLOOKUP('Données projet'!$B$12,Paramètres!$A$1:$I$89,3,0)*VLOOKUP('Données projet'!$B$12,Paramètres!$A$1:$I$89,5,0)</f>
        <v>467.37490799999961</v>
      </c>
      <c r="CA177" s="13">
        <f t="shared" si="170"/>
        <v>105.30970733733747</v>
      </c>
      <c r="CB177" s="20">
        <f t="shared" si="171"/>
        <v>997.42570504586217</v>
      </c>
      <c r="CC177" s="59">
        <f t="shared" si="119"/>
        <v>1290.7590383791955</v>
      </c>
      <c r="CD177" s="59">
        <f ca="1">AVERAGE(OFFSET($CC$3,0,0,'Données projet'!$E$12+1,1))-AVERAGE(OFFSET($H$3,0,0,'Données projet'!$E$12+1,1))</f>
        <v>593.28343396240075</v>
      </c>
      <c r="CE177" s="59">
        <f t="shared" si="148"/>
        <v>289.66477662068695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50.23431376748556</v>
      </c>
      <c r="CL177" s="21">
        <f>EXP(-LN(2)/25)*CL176+(1-EXP(-LN(2)/25))/(LN(2)/25)*Calculateur!CG177*Calculateur!CI177*VLOOKUP('Données projet'!$B$12,Paramètres!$A$1:$I$89,3,0)*0.475*44/12</f>
        <v>22.104409962762794</v>
      </c>
      <c r="CM177" s="21">
        <f>EXP(-LN(2)/2)*CM176+(1-EXP(-LN(2)/2))/(LN(2)/2)*CG177*CJ177*VLOOKUP('Données projet'!$B$12,Paramètres!$A$1:$I$89,3,0)*0.475*44/12</f>
        <v>2.0243146449895201E-4</v>
      </c>
      <c r="CN177" s="22">
        <f t="shared" si="172"/>
        <v>72.338926161712848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2.2737367544323206E-13</v>
      </c>
      <c r="CU177" s="17">
        <f>CT177*VLOOKUP('Données projet'!$B$13,Paramètres!$A$1:$I$89,3,0)*VLOOKUP('Données projet'!$B$13,Paramètres!$A$1:$I$89,5,0)</f>
        <v>2.3765096557326618E-13</v>
      </c>
      <c r="CV177" s="13">
        <f t="shared" si="173"/>
        <v>3.2279907425805489E-12</v>
      </c>
      <c r="CW177" s="20">
        <f t="shared" si="174"/>
        <v>6.0359926417012276E-12</v>
      </c>
      <c r="CX177" s="59">
        <f t="shared" si="122"/>
        <v>293.33333333333934</v>
      </c>
      <c r="CY177" s="59">
        <f ca="1">AVERAGE(OFFSET($CX$3,0,0,'Données projet'!$E$13+1,1))-AVERAGE(OFFSET($H$3,0,0,'Données projet'!$E$13+1,1))</f>
        <v>260.65406541614402</v>
      </c>
      <c r="CZ177" s="59">
        <f t="shared" si="150"/>
        <v>277.63456890196886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3.4131347066158302</v>
      </c>
      <c r="DG177" s="21">
        <f>EXP(-LN(2)/25)*DG176+(1-EXP(-LN(2)/25))/(LN(2)/25)*Calculateur!DB177*Calculateur!DD177*VLOOKUP('Données projet'!$B$13,Paramètres!$A$1:$I$89,3,0)*0.475*44/12</f>
        <v>4.8249439882119169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8.2380786948277471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2.2737367544323206E-13</v>
      </c>
      <c r="DP177" s="17">
        <f>DO177*VLOOKUP('Données projet'!$B$14,Paramètres!$A$1:$I$89,3,0)*VLOOKUP('Données projet'!$B$14,Paramètres!$A$1:$I$89,5,0)</f>
        <v>1.4897523215040565E-13</v>
      </c>
      <c r="DQ177" s="13">
        <f t="shared" si="176"/>
        <v>2.136562777003313E-12</v>
      </c>
      <c r="DR177" s="20">
        <f t="shared" si="177"/>
        <v>3.9806453659427267E-12</v>
      </c>
      <c r="DS177" s="59">
        <f t="shared" si="125"/>
        <v>293.33333333333729</v>
      </c>
      <c r="DT177" s="59">
        <f ca="1">AVERAGE(OFFSET($DS$3,0,0,'Données projet'!$E$14+1,1))-AVERAGE(OFFSET($H$3,0,0,'Données projet'!$E$14+1,1))</f>
        <v>181.4272795535777</v>
      </c>
      <c r="DU177" s="59">
        <f t="shared" si="152"/>
        <v>187.67131775419904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3.2029945842500993</v>
      </c>
      <c r="EB177" s="21">
        <f>EXP(-LN(2)/25)*EB176+(1-EXP(-LN(2)/25))/(LN(2)/25)*Calculateur!DW177*Calculateur!DY177*VLOOKUP('Données projet'!$B$14,Paramètres!$A$1:$I$89,3,0)*0.475*44/12</f>
        <v>1.757268431028387</v>
      </c>
      <c r="EC177" s="21">
        <f>EXP(-LN(2)/2)*EC176+(1-EXP(-LN(2)/2))/(LN(2)/2)*DW177*DZ177*VLOOKUP('Données projet'!$B$14,Paramètres!$A$1:$I$89,3,0)*0.475*44/12</f>
        <v>5.7052442677773894E-12</v>
      </c>
      <c r="ED177" s="22">
        <f t="shared" si="178"/>
        <v>4.960263015284192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9.2222762759774927E-14</v>
      </c>
      <c r="EL177" s="13">
        <f t="shared" si="179"/>
        <v>1.3985662224947967E-12</v>
      </c>
      <c r="EM177" s="20">
        <f t="shared" si="180"/>
        <v>2.5964574826517121E-12</v>
      </c>
      <c r="EN177" s="59">
        <f t="shared" si="128"/>
        <v>293.33333333333593</v>
      </c>
      <c r="EO177" s="59">
        <f ca="1">AVERAGE(OFFSET($EN$3,0,0,'Données projet'!$E$15+1,1))-AVERAGE(OFFSET($H$3,0,0,'Données projet'!$E$15+1,1))</f>
        <v>159.68591355116837</v>
      </c>
      <c r="EP177" s="59">
        <f t="shared" si="154"/>
        <v>284.32631786390112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1.0264932093849359</v>
      </c>
      <c r="EW177" s="21">
        <f>EXP(-LN(2)/25)*EW176+(1-EXP(-LN(2)/25))/(LN(2)/25)*Calculateur!ER177*Calculateur!ET177*VLOOKUP('Données projet'!$B$15,Paramètres!$A$1:$I$89,3,0)*0.475*44/12</f>
        <v>0.4704212570982938</v>
      </c>
      <c r="EX177" s="21">
        <f>EXP(-LN(2)/2)*EX176+(1-EXP(-LN(2)/2))/(LN(2)/2)*ER177*EU177*VLOOKUP('Données projet'!$B$15,Paramètres!$A$1:$I$89,3,0)*0.475*44/12</f>
        <v>1.9774569890362411E-19</v>
      </c>
      <c r="EY177" s="22">
        <f t="shared" si="181"/>
        <v>1.4969144664832297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-1.3567387213697657E-13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299.10536994156814</v>
      </c>
      <c r="FK177" s="59">
        <f t="shared" si="156"/>
        <v>292.57799203101769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6.3138501025529079</v>
      </c>
      <c r="FR177" s="21">
        <f>EXP(-LN(2)/25)*FR176+(1-EXP(-LN(2)/25))/(LN(2)/25)*Calculateur!FM177*Calculateur!FO177*VLOOKUP('Données projet'!$B$16,Paramètres!$A$1:$I$89,3,0)*0.475*44/12</f>
        <v>3.1268311129808328</v>
      </c>
      <c r="FS177" s="21">
        <f>EXP(-LN(2)/2)*FS176+(1-EXP(-LN(2)/2))/(LN(2)/2)*FM177*FP177*VLOOKUP('Données projet'!$B$16,Paramètres!$A$1:$I$89,3,0)*0.475*44/12</f>
        <v>3.6933966488181298E-13</v>
      </c>
      <c r="FT177" s="22">
        <f t="shared" si="184"/>
        <v>9.4406812155341093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5.6843418860808015E-14</v>
      </c>
      <c r="GA177" s="17">
        <f>FZ177*VLOOKUP('Données projet'!$B$17,Paramètres!$A$1:$I$89,3,0)*VLOOKUP('Données projet'!$B$17,Paramètres!$A$1:$I$89,5,0)</f>
        <v>5.1431925385259088E-14</v>
      </c>
      <c r="GB177" s="13">
        <f t="shared" si="185"/>
        <v>8.3482866290946129E-13</v>
      </c>
      <c r="GC177" s="20">
        <f t="shared" si="186"/>
        <v>1.5435705246133045E-12</v>
      </c>
      <c r="GD177" s="59">
        <f t="shared" si="134"/>
        <v>293.33333333333485</v>
      </c>
      <c r="GE177" s="59">
        <f ca="1">AVERAGE(OFFSET($GD$3,0,0,'Données projet'!$E$17+1,1))-AVERAGE(OFFSET($H$3,0,0,'Données projet'!$E$17+1,1))</f>
        <v>204.78565758021779</v>
      </c>
      <c r="GF177" s="59">
        <f t="shared" si="158"/>
        <v>287.25131613242439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1.2130309323446846</v>
      </c>
      <c r="GM177" s="21">
        <f>EXP(-LN(2)/25)*GM176+(1-EXP(-LN(2)/25))/(LN(2)/25)*Calculateur!GH177*Calculateur!GJ177*VLOOKUP('Données projet'!$B$17,Paramètres!$A$1:$I$89,3,0)*0.475*44/12</f>
        <v>0.36967339976378105</v>
      </c>
      <c r="GN177" s="21">
        <f>EXP(-LN(2)/2)*GN176+(1-EXP(-LN(2)/2))/(LN(2)/2)*GH177*GK177*VLOOKUP('Données projet'!$B$17,Paramètres!$A$1:$I$89,3,0)*0.475*44/12</f>
        <v>5.2862549786187773E-19</v>
      </c>
      <c r="GO177" s="21">
        <f t="shared" si="187"/>
        <v>1.5827043321084657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5.6843418860808015E-14</v>
      </c>
      <c r="GV177" s="17">
        <f>GU177*VLOOKUP('Données projet'!$B$18,Paramètres!$A$1:$I$89,3,0)*VLOOKUP('Données projet'!$B$18,Paramètres!$A$1:$I$89,5,0)</f>
        <v>4.4337866711430253E-14</v>
      </c>
      <c r="GW177" s="13">
        <f t="shared" si="188"/>
        <v>7.3222115536967035E-13</v>
      </c>
      <c r="GX177" s="20">
        <f t="shared" si="189"/>
        <v>1.3525069634579169E-12</v>
      </c>
      <c r="GY177" s="59">
        <f t="shared" si="137"/>
        <v>293.33333333333468</v>
      </c>
      <c r="GZ177" s="59">
        <f ca="1">AVERAGE(OFFSET($GY$3,0,0,'Données projet'!$E$18+1,1))-AVERAGE(OFFSET($H$3,0,0,'Données projet'!$E$18+1,1))</f>
        <v>288.82868507674738</v>
      </c>
      <c r="HA177" s="59">
        <f t="shared" si="160"/>
        <v>283.48738729114024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5.3748225136549062</v>
      </c>
      <c r="HH177" s="21">
        <f>EXP(-LN(2)/25)*HH176+(1-EXP(-LN(2)/25))/(LN(2)/25)*Calculateur!HC177*Calculateur!HE177*VLOOKUP('Données projet'!$B$18,Paramètres!$A$1:$I$89,3,0)*0.475*44/12</f>
        <v>2.303432279234487</v>
      </c>
      <c r="HI177" s="21">
        <f>EXP(-LN(2)/2)*HI176+(1-EXP(-LN(2)/2))/(LN(2)/2)*HC177*HF177*VLOOKUP('Données projet'!$B$18,Paramètres!$A$1:$I$89,3,0)*0.475*44/12</f>
        <v>9.5392571417448539E-15</v>
      </c>
      <c r="HJ177" s="22">
        <f t="shared" si="190"/>
        <v>7.6782547928894029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349.71285006949597</v>
      </c>
      <c r="T178" s="59">
        <f t="shared" si="142"/>
        <v>258.51550516456842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23.35439238587244</v>
      </c>
      <c r="AA178" s="21">
        <f>EXP(-LN(2)/25)*AA177+(1-EXP(-LN(2)/25))/(LN(2)/25)*Calculateur!V178*Calculateur!X178*VLOOKUP('Données projet'!$B$9,Paramètres!$A$1:$I$89,3,0)*0.475*44/12</f>
        <v>3.7149172431740158</v>
      </c>
      <c r="AB178" s="21">
        <f>EXP(-LN(2)/2)*AB177+(1-EXP(-LN(2)/2))/(LN(2)/2)*V178*Y178*VLOOKUP('Données projet'!$B$9,Paramètres!$A$1:$I$89,3,0)*0.475*44/12</f>
        <v>3.553013362099586E-13</v>
      </c>
      <c r="AC178" s="22">
        <f t="shared" si="163"/>
        <v>27.069309629046813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2.5579538487363607E-13</v>
      </c>
      <c r="AJ178" s="13">
        <f>AI178*VLOOKUP('Données projet'!$B$10,Paramètres!$A$1:$I$89,3,0)*VLOOKUP('Données projet'!$B$10,Paramètres!$A$1:$I$89,5,0)</f>
        <v>2.4341488824575211E-13</v>
      </c>
      <c r="AK178" s="13">
        <f t="shared" si="164"/>
        <v>3.2970717324875541E-12</v>
      </c>
      <c r="AL178" s="20">
        <f t="shared" si="165"/>
        <v>6.1663475311105072E-12</v>
      </c>
      <c r="AM178" s="59">
        <f t="shared" si="113"/>
        <v>293.33333333333945</v>
      </c>
      <c r="AN178" s="59">
        <f ca="1">AVERAGE(OFFSET($AM$3,0,0,'Données projet'!$E$10+1,1))-AVERAGE(OFFSET($H$3,0,0,'Données projet'!$E$10+1,1))</f>
        <v>449.28947235329758</v>
      </c>
      <c r="AO178" s="59">
        <f t="shared" si="144"/>
        <v>289.36994109443964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48.731901459353615</v>
      </c>
      <c r="AV178" s="21">
        <f>EXP(-LN(2)/25)*AV177+(1-EXP(-LN(2)/25))/(LN(2)/25)*Calculateur!AQ178*Calculateur!AS178*VLOOKUP('Données projet'!$B$10,Paramètres!$A$1:$I$89,3,0)*0.475*44/12</f>
        <v>7.1100609383607898</v>
      </c>
      <c r="AW178" s="21">
        <f>EXP(-LN(2)/2)*AW177+(1-EXP(-LN(2)/2))/(LN(2)/2)*AQ178*AT178*VLOOKUP('Données projet'!$B$10,Paramètres!$A$1:$I$89,3,0)*0.475*44/12</f>
        <v>1.2073291771400242E-6</v>
      </c>
      <c r="AX178" s="21">
        <f t="shared" si="166"/>
        <v>55.841963605043581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340.80196800000078</v>
      </c>
      <c r="BF178" s="13">
        <f t="shared" si="167"/>
        <v>79.665615362245418</v>
      </c>
      <c r="BG178" s="20">
        <f t="shared" si="168"/>
        <v>732.31437435591215</v>
      </c>
      <c r="BH178" s="59">
        <f t="shared" si="116"/>
        <v>1025.6477076892454</v>
      </c>
      <c r="BI178" s="59">
        <f ca="1">AVERAGE(OFFSET($BH$3,0,0,'Données projet'!$E$11+1,1))-AVERAGE(OFFSET($H$3,0,0,'Données projet'!$E$11+1,1))</f>
        <v>635.71275911100679</v>
      </c>
      <c r="BJ178" s="59">
        <f t="shared" si="146"/>
        <v>281.7776857269169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92.679275390169977</v>
      </c>
      <c r="BQ178" s="21">
        <f>EXP(-LN(2)/25)*BQ177+(1-EXP(-LN(2)/25))/(LN(2)/25)*Calculateur!BL178*Calculateur!BN178*VLOOKUP('Données projet'!$B$11,Paramètres!$A$1:$I$89,3,0)*0.475*44/12</f>
        <v>21.960333086533794</v>
      </c>
      <c r="BR178" s="21">
        <f>EXP(-LN(2)/2)*BR177+(1-EXP(-LN(2)/2))/(LN(2)/2)*BL178*BO178*VLOOKUP('Données projet'!$B$11,Paramètres!$A$1:$I$89,3,0)*0.475*44/12</f>
        <v>7.2439115652370401</v>
      </c>
      <c r="BS178" s="22">
        <f t="shared" si="169"/>
        <v>121.88352004194081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7.688333333333337</v>
      </c>
      <c r="BY178" s="12">
        <f>IF('Données projet'!$A$114&gt;35,BY177+BX178-CG177,IF(A178&lt;'Données projet'!$A$114,$BV$205^A178,IF(A178='Données projet'!$A$114,'Données projet'!$B$114,BY177+BX178-CG177)))</f>
        <v>418.09833333333302</v>
      </c>
      <c r="BZ178" s="13">
        <f>BY178*VLOOKUP('Données projet'!$B$12,Paramètres!$A$1:$I$89,3,0)*VLOOKUP('Données projet'!$B$12,Paramètres!$A$1:$I$89,5,0)</f>
        <v>476.1303819999996</v>
      </c>
      <c r="CA178" s="13">
        <f t="shared" si="170"/>
        <v>107.05098446387258</v>
      </c>
      <c r="CB178" s="20">
        <f t="shared" si="171"/>
        <v>1015.7075465912441</v>
      </c>
      <c r="CC178" s="59">
        <f t="shared" si="119"/>
        <v>1309.0408799245774</v>
      </c>
      <c r="CD178" s="59">
        <f ca="1">AVERAGE(OFFSET($CC$3,0,0,'Données projet'!$E$12+1,1))-AVERAGE(OFFSET($H$3,0,0,'Données projet'!$E$12+1,1))</f>
        <v>593.28343396240075</v>
      </c>
      <c r="CE178" s="59">
        <f t="shared" si="148"/>
        <v>289.66477662068695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49.249249514411126</v>
      </c>
      <c r="CL178" s="21">
        <f>EXP(-LN(2)/25)*CL177+(1-EXP(-LN(2)/25))/(LN(2)/25)*Calculateur!CG178*Calculateur!CI178*VLOOKUP('Données projet'!$B$12,Paramètres!$A$1:$I$89,3,0)*0.475*44/12</f>
        <v>21.499963709910645</v>
      </c>
      <c r="CM178" s="21">
        <f>EXP(-LN(2)/2)*CM177+(1-EXP(-LN(2)/2))/(LN(2)/2)*CG178*CJ178*VLOOKUP('Données projet'!$B$12,Paramètres!$A$1:$I$89,3,0)*0.475*44/12</f>
        <v>1.4314066127273282E-4</v>
      </c>
      <c r="CN178" s="22">
        <f t="shared" si="172"/>
        <v>70.749356364983058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2.2737367544323206E-13</v>
      </c>
      <c r="CU178" s="17">
        <f>CT178*VLOOKUP('Données projet'!$B$13,Paramètres!$A$1:$I$89,3,0)*VLOOKUP('Données projet'!$B$13,Paramètres!$A$1:$I$89,5,0)</f>
        <v>2.3765096557326618E-13</v>
      </c>
      <c r="CV178" s="13">
        <f t="shared" si="173"/>
        <v>3.2279907425805489E-12</v>
      </c>
      <c r="CW178" s="20">
        <f t="shared" si="174"/>
        <v>6.0359926417012276E-12</v>
      </c>
      <c r="CX178" s="59">
        <f t="shared" si="122"/>
        <v>293.33333333333934</v>
      </c>
      <c r="CY178" s="59">
        <f ca="1">AVERAGE(OFFSET($CX$3,0,0,'Données projet'!$E$13+1,1))-AVERAGE(OFFSET($H$3,0,0,'Données projet'!$E$13+1,1))</f>
        <v>260.65406541614402</v>
      </c>
      <c r="CZ178" s="59">
        <f t="shared" si="150"/>
        <v>277.63456890196886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3.3462052168257035</v>
      </c>
      <c r="DG178" s="21">
        <f>EXP(-LN(2)/25)*DG177+(1-EXP(-LN(2)/25))/(LN(2)/25)*Calculateur!DB178*Calculateur!DD178*VLOOKUP('Données projet'!$B$13,Paramètres!$A$1:$I$89,3,0)*0.475*44/12</f>
        <v>4.6930056411214851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8.0392108579471895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2.2737367544323206E-13</v>
      </c>
      <c r="DP178" s="17">
        <f>DO178*VLOOKUP('Données projet'!$B$14,Paramètres!$A$1:$I$89,3,0)*VLOOKUP('Données projet'!$B$14,Paramètres!$A$1:$I$89,5,0)</f>
        <v>1.4897523215040565E-13</v>
      </c>
      <c r="DQ178" s="13">
        <f t="shared" si="176"/>
        <v>2.136562777003313E-12</v>
      </c>
      <c r="DR178" s="20">
        <f t="shared" si="177"/>
        <v>3.9806453659427267E-12</v>
      </c>
      <c r="DS178" s="59">
        <f t="shared" si="125"/>
        <v>293.33333333333729</v>
      </c>
      <c r="DT178" s="59">
        <f ca="1">AVERAGE(OFFSET($DS$3,0,0,'Données projet'!$E$14+1,1))-AVERAGE(OFFSET($H$3,0,0,'Données projet'!$E$14+1,1))</f>
        <v>181.4272795535777</v>
      </c>
      <c r="DU178" s="59">
        <f t="shared" si="152"/>
        <v>187.67131775419904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3.1401858140867458</v>
      </c>
      <c r="EB178" s="21">
        <f>EXP(-LN(2)/25)*EB177+(1-EXP(-LN(2)/25))/(LN(2)/25)*Calculateur!DW178*Calculateur!DY178*VLOOKUP('Données projet'!$B$14,Paramètres!$A$1:$I$89,3,0)*0.475*44/12</f>
        <v>1.7092158333711853</v>
      </c>
      <c r="EC178" s="21">
        <f>EXP(-LN(2)/2)*EC177+(1-EXP(-LN(2)/2))/(LN(2)/2)*DW178*DZ178*VLOOKUP('Données projet'!$B$14,Paramètres!$A$1:$I$89,3,0)*0.475*44/12</f>
        <v>4.034216910071071E-12</v>
      </c>
      <c r="ED178" s="22">
        <f t="shared" si="178"/>
        <v>4.8494016474619652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9.2222762759774927E-14</v>
      </c>
      <c r="EL178" s="13">
        <f t="shared" si="179"/>
        <v>1.3985662224947967E-12</v>
      </c>
      <c r="EM178" s="20">
        <f t="shared" si="180"/>
        <v>2.5964574826517121E-12</v>
      </c>
      <c r="EN178" s="59">
        <f t="shared" si="128"/>
        <v>293.33333333333593</v>
      </c>
      <c r="EO178" s="59">
        <f ca="1">AVERAGE(OFFSET($EN$3,0,0,'Données projet'!$E$15+1,1))-AVERAGE(OFFSET($H$3,0,0,'Données projet'!$E$15+1,1))</f>
        <v>159.68591355116837</v>
      </c>
      <c r="EP178" s="59">
        <f t="shared" si="154"/>
        <v>284.32631786390112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1.0063643036479328</v>
      </c>
      <c r="EW178" s="21">
        <f>EXP(-LN(2)/25)*EW177+(1-EXP(-LN(2)/25))/(LN(2)/25)*Calculateur!ER178*Calculateur!ET178*VLOOKUP('Données projet'!$B$15,Paramètres!$A$1:$I$89,3,0)*0.475*44/12</f>
        <v>0.45755756308456219</v>
      </c>
      <c r="EX178" s="21">
        <f>EXP(-LN(2)/2)*EX177+(1-EXP(-LN(2)/2))/(LN(2)/2)*ER178*EU178*VLOOKUP('Données projet'!$B$15,Paramètres!$A$1:$I$89,3,0)*0.475*44/12</f>
        <v>1.3982732464522584E-19</v>
      </c>
      <c r="EY178" s="22">
        <f t="shared" si="181"/>
        <v>1.4639218667324951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-1.3567387213697657E-13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299.10536994156814</v>
      </c>
      <c r="FK178" s="59">
        <f t="shared" si="156"/>
        <v>292.57799203101769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6.190039353110147</v>
      </c>
      <c r="FR178" s="21">
        <f>EXP(-LN(2)/25)*FR177+(1-EXP(-LN(2)/25))/(LN(2)/25)*Calculateur!FM178*Calculateur!FO178*VLOOKUP('Données projet'!$B$16,Paramètres!$A$1:$I$89,3,0)*0.475*44/12</f>
        <v>3.04132775176347</v>
      </c>
      <c r="FS178" s="21">
        <f>EXP(-LN(2)/2)*FS177+(1-EXP(-LN(2)/2))/(LN(2)/2)*FM178*FP178*VLOOKUP('Données projet'!$B$16,Paramètres!$A$1:$I$89,3,0)*0.475*44/12</f>
        <v>2.6116258159909692E-13</v>
      </c>
      <c r="FT178" s="22">
        <f t="shared" si="184"/>
        <v>9.2313671048738772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5.6843418860808015E-14</v>
      </c>
      <c r="GA178" s="17">
        <f>FZ178*VLOOKUP('Données projet'!$B$17,Paramètres!$A$1:$I$89,3,0)*VLOOKUP('Données projet'!$B$17,Paramètres!$A$1:$I$89,5,0)</f>
        <v>5.1431925385259088E-14</v>
      </c>
      <c r="GB178" s="13">
        <f t="shared" si="185"/>
        <v>8.3482866290946129E-13</v>
      </c>
      <c r="GC178" s="20">
        <f t="shared" si="186"/>
        <v>1.5435705246133045E-12</v>
      </c>
      <c r="GD178" s="59">
        <f t="shared" si="134"/>
        <v>293.33333333333485</v>
      </c>
      <c r="GE178" s="59">
        <f ca="1">AVERAGE(OFFSET($GD$3,0,0,'Données projet'!$E$17+1,1))-AVERAGE(OFFSET($H$3,0,0,'Données projet'!$E$17+1,1))</f>
        <v>204.78565758021779</v>
      </c>
      <c r="GF178" s="59">
        <f t="shared" si="158"/>
        <v>287.25131613242439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1.1892441356372174</v>
      </c>
      <c r="GM178" s="21">
        <f>EXP(-LN(2)/25)*GM177+(1-EXP(-LN(2)/25))/(LN(2)/25)*Calculateur!GH178*Calculateur!GJ178*VLOOKUP('Données projet'!$B$17,Paramètres!$A$1:$I$89,3,0)*0.475*44/12</f>
        <v>0.35956466120696129</v>
      </c>
      <c r="GN178" s="21">
        <f>EXP(-LN(2)/2)*GN177+(1-EXP(-LN(2)/2))/(LN(2)/2)*GH178*GK178*VLOOKUP('Données projet'!$B$17,Paramètres!$A$1:$I$89,3,0)*0.475*44/12</f>
        <v>3.7379467424624853E-19</v>
      </c>
      <c r="GO178" s="21">
        <f t="shared" si="187"/>
        <v>1.5488087968441788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5.6843418860808015E-14</v>
      </c>
      <c r="GV178" s="17">
        <f>GU178*VLOOKUP('Données projet'!$B$18,Paramètres!$A$1:$I$89,3,0)*VLOOKUP('Données projet'!$B$18,Paramètres!$A$1:$I$89,5,0)</f>
        <v>4.4337866711430253E-14</v>
      </c>
      <c r="GW178" s="13">
        <f t="shared" si="188"/>
        <v>7.3222115536967035E-13</v>
      </c>
      <c r="GX178" s="20">
        <f t="shared" si="189"/>
        <v>1.3525069634579169E-12</v>
      </c>
      <c r="GY178" s="59">
        <f t="shared" si="137"/>
        <v>293.33333333333468</v>
      </c>
      <c r="GZ178" s="59">
        <f ca="1">AVERAGE(OFFSET($GY$3,0,0,'Données projet'!$E$18+1,1))-AVERAGE(OFFSET($H$3,0,0,'Données projet'!$E$18+1,1))</f>
        <v>288.82868507674738</v>
      </c>
      <c r="HA178" s="59">
        <f t="shared" si="160"/>
        <v>283.48738729114024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5.2694255224801596</v>
      </c>
      <c r="HH178" s="21">
        <f>EXP(-LN(2)/25)*HH177+(1-EXP(-LN(2)/25))/(LN(2)/25)*Calculateur!HC178*Calculateur!HE178*VLOOKUP('Données projet'!$B$18,Paramètres!$A$1:$I$89,3,0)*0.475*44/12</f>
        <v>2.2404448024265808</v>
      </c>
      <c r="HI178" s="21">
        <f>EXP(-LN(2)/2)*HI177+(1-EXP(-LN(2)/2))/(LN(2)/2)*HC178*HF178*VLOOKUP('Données projet'!$B$18,Paramètres!$A$1:$I$89,3,0)*0.475*44/12</f>
        <v>6.7452734124099892E-15</v>
      </c>
      <c r="HJ178" s="22">
        <f t="shared" si="190"/>
        <v>7.509870324906748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349.71285006949597</v>
      </c>
      <c r="T179" s="59">
        <f t="shared" si="142"/>
        <v>258.51550516456842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22.896426995958283</v>
      </c>
      <c r="AA179" s="21">
        <f>EXP(-LN(2)/25)*AA178+(1-EXP(-LN(2)/25))/(LN(2)/25)*Calculateur!V179*Calculateur!X179*VLOOKUP('Données projet'!$B$9,Paramètres!$A$1:$I$89,3,0)*0.475*44/12</f>
        <v>3.6133326358004152</v>
      </c>
      <c r="AB179" s="21">
        <f>EXP(-LN(2)/2)*AB178+(1-EXP(-LN(2)/2))/(LN(2)/2)*V179*Y179*VLOOKUP('Données projet'!$B$9,Paramètres!$A$1:$I$89,3,0)*0.475*44/12</f>
        <v>2.5123598419870315E-13</v>
      </c>
      <c r="AC179" s="22">
        <f t="shared" si="163"/>
        <v>26.50975963175895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2.5579538487363607E-13</v>
      </c>
      <c r="AJ179" s="13">
        <f>AI179*VLOOKUP('Données projet'!$B$10,Paramètres!$A$1:$I$89,3,0)*VLOOKUP('Données projet'!$B$10,Paramètres!$A$1:$I$89,5,0)</f>
        <v>2.4341488824575211E-13</v>
      </c>
      <c r="AK179" s="13">
        <f t="shared" si="164"/>
        <v>3.2970717324875541E-12</v>
      </c>
      <c r="AL179" s="20">
        <f t="shared" si="165"/>
        <v>6.1663475311105072E-12</v>
      </c>
      <c r="AM179" s="59">
        <f t="shared" si="113"/>
        <v>293.33333333333945</v>
      </c>
      <c r="AN179" s="59">
        <f ca="1">AVERAGE(OFFSET($AM$3,0,0,'Données projet'!$E$10+1,1))-AVERAGE(OFFSET($H$3,0,0,'Données projet'!$E$10+1,1))</f>
        <v>449.28947235329758</v>
      </c>
      <c r="AO179" s="59">
        <f t="shared" si="144"/>
        <v>289.36994109443964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47.776298595260627</v>
      </c>
      <c r="AV179" s="21">
        <f>EXP(-LN(2)/25)*AV178+(1-EXP(-LN(2)/25))/(LN(2)/25)*Calculateur!AQ179*Calculateur!AS179*VLOOKUP('Données projet'!$B$10,Paramètres!$A$1:$I$89,3,0)*0.475*44/12</f>
        <v>6.9156359480994594</v>
      </c>
      <c r="AW179" s="21">
        <f>EXP(-LN(2)/2)*AW178+(1-EXP(-LN(2)/2))/(LN(2)/2)*AQ179*AT179*VLOOKUP('Données projet'!$B$10,Paramètres!$A$1:$I$89,3,0)*0.475*44/12</f>
        <v>8.5371064828008559E-7</v>
      </c>
      <c r="AX179" s="21">
        <f t="shared" si="166"/>
        <v>54.691935397070729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346.35744000000079</v>
      </c>
      <c r="BF179" s="13">
        <f t="shared" si="167"/>
        <v>80.812014230904367</v>
      </c>
      <c r="BG179" s="20">
        <f t="shared" si="168"/>
        <v>743.98679945215974</v>
      </c>
      <c r="BH179" s="59">
        <f t="shared" si="116"/>
        <v>1037.3201327854931</v>
      </c>
      <c r="BI179" s="59">
        <f ca="1">AVERAGE(OFFSET($BH$3,0,0,'Données projet'!$E$11+1,1))-AVERAGE(OFFSET($H$3,0,0,'Données projet'!$E$11+1,1))</f>
        <v>635.71275911100679</v>
      </c>
      <c r="BJ179" s="59">
        <f t="shared" si="146"/>
        <v>281.7776857269169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90.861891328544985</v>
      </c>
      <c r="BQ179" s="21">
        <f>EXP(-LN(2)/25)*BQ178+(1-EXP(-LN(2)/25))/(LN(2)/25)*Calculateur!BL179*Calculateur!BN179*VLOOKUP('Données projet'!$B$11,Paramètres!$A$1:$I$89,3,0)*0.475*44/12</f>
        <v>21.359826623438803</v>
      </c>
      <c r="BR179" s="21">
        <f>EXP(-LN(2)/2)*BR178+(1-EXP(-LN(2)/2))/(LN(2)/2)*BL179*BO179*VLOOKUP('Données projet'!$B$11,Paramètres!$A$1:$I$89,3,0)*0.475*44/12</f>
        <v>5.122218990094769</v>
      </c>
      <c r="BS179" s="22">
        <f t="shared" si="169"/>
        <v>117.34393694207856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7.688333333333337</v>
      </c>
      <c r="BY179" s="12">
        <f>IF('Données projet'!$A$114&gt;35,BY178+BX179-CG178,IF(A179&lt;'Données projet'!$A$114,$BV$205^A179,IF(A179='Données projet'!$A$114,'Données projet'!$B$114,BY178+BX179-CG178)))</f>
        <v>425.78666666666635</v>
      </c>
      <c r="BZ179" s="13">
        <f>BY179*VLOOKUP('Données projet'!$B$12,Paramètres!$A$1:$I$89,3,0)*VLOOKUP('Données projet'!$B$12,Paramètres!$A$1:$I$89,5,0)</f>
        <v>484.88585599999959</v>
      </c>
      <c r="CA179" s="13">
        <f t="shared" si="170"/>
        <v>108.78853822373283</v>
      </c>
      <c r="CB179" s="20">
        <f t="shared" si="171"/>
        <v>1033.9829032730006</v>
      </c>
      <c r="CC179" s="59">
        <f t="shared" si="119"/>
        <v>1327.3162366063339</v>
      </c>
      <c r="CD179" s="59">
        <f ca="1">AVERAGE(OFFSET($CC$3,0,0,'Données projet'!$E$12+1,1))-AVERAGE(OFFSET($H$3,0,0,'Données projet'!$E$12+1,1))</f>
        <v>593.28343396240075</v>
      </c>
      <c r="CE179" s="59">
        <f t="shared" si="148"/>
        <v>289.66477662068695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48.283501770509616</v>
      </c>
      <c r="CL179" s="21">
        <f>EXP(-LN(2)/25)*CL178+(1-EXP(-LN(2)/25))/(LN(2)/25)*Calculateur!CG179*Calculateur!CI179*VLOOKUP('Données projet'!$B$12,Paramètres!$A$1:$I$89,3,0)*0.475*44/12</f>
        <v>20.912046071629184</v>
      </c>
      <c r="CM179" s="21">
        <f>EXP(-LN(2)/2)*CM178+(1-EXP(-LN(2)/2))/(LN(2)/2)*CG179*CJ179*VLOOKUP('Données projet'!$B$12,Paramètres!$A$1:$I$89,3,0)*0.475*44/12</f>
        <v>1.0121573224947601E-4</v>
      </c>
      <c r="CN179" s="22">
        <f t="shared" si="172"/>
        <v>69.195649057871051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2.2737367544323206E-13</v>
      </c>
      <c r="CU179" s="17">
        <f>CT179*VLOOKUP('Données projet'!$B$13,Paramètres!$A$1:$I$89,3,0)*VLOOKUP('Données projet'!$B$13,Paramètres!$A$1:$I$89,5,0)</f>
        <v>2.3765096557326618E-13</v>
      </c>
      <c r="CV179" s="13">
        <f t="shared" si="173"/>
        <v>3.2279907425805489E-12</v>
      </c>
      <c r="CW179" s="20">
        <f t="shared" si="174"/>
        <v>6.0359926417012276E-12</v>
      </c>
      <c r="CX179" s="59">
        <f t="shared" si="122"/>
        <v>293.33333333333934</v>
      </c>
      <c r="CY179" s="59">
        <f ca="1">AVERAGE(OFFSET($CX$3,0,0,'Données projet'!$E$13+1,1))-AVERAGE(OFFSET($H$3,0,0,'Données projet'!$E$13+1,1))</f>
        <v>260.65406541614402</v>
      </c>
      <c r="CZ179" s="59">
        <f t="shared" si="150"/>
        <v>277.63456890196886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3.2805881735074034</v>
      </c>
      <c r="DG179" s="21">
        <f>EXP(-LN(2)/25)*DG178+(1-EXP(-LN(2)/25))/(LN(2)/25)*Calculateur!DB179*Calculateur!DD179*VLOOKUP('Données projet'!$B$13,Paramètres!$A$1:$I$89,3,0)*0.475*44/12</f>
        <v>4.5646751550705771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7.84526332857798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2.2737367544323206E-13</v>
      </c>
      <c r="DP179" s="17">
        <f>DO179*VLOOKUP('Données projet'!$B$14,Paramètres!$A$1:$I$89,3,0)*VLOOKUP('Données projet'!$B$14,Paramètres!$A$1:$I$89,5,0)</f>
        <v>1.4897523215040565E-13</v>
      </c>
      <c r="DQ179" s="13">
        <f t="shared" si="176"/>
        <v>2.136562777003313E-12</v>
      </c>
      <c r="DR179" s="20">
        <f t="shared" si="177"/>
        <v>3.9806453659427267E-12</v>
      </c>
      <c r="DS179" s="59">
        <f t="shared" si="125"/>
        <v>293.33333333333729</v>
      </c>
      <c r="DT179" s="59">
        <f ca="1">AVERAGE(OFFSET($DS$3,0,0,'Données projet'!$E$14+1,1))-AVERAGE(OFFSET($H$3,0,0,'Données projet'!$E$14+1,1))</f>
        <v>181.4272795535777</v>
      </c>
      <c r="DU179" s="59">
        <f t="shared" si="152"/>
        <v>187.67131775419904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3.0786086855967287</v>
      </c>
      <c r="EB179" s="21">
        <f>EXP(-LN(2)/25)*EB178+(1-EXP(-LN(2)/25))/(LN(2)/25)*Calculateur!DW179*Calculateur!DY179*VLOOKUP('Données projet'!$B$14,Paramètres!$A$1:$I$89,3,0)*0.475*44/12</f>
        <v>1.662477236523896</v>
      </c>
      <c r="EC179" s="21">
        <f>EXP(-LN(2)/2)*EC178+(1-EXP(-LN(2)/2))/(LN(2)/2)*DW179*DZ179*VLOOKUP('Données projet'!$B$14,Paramètres!$A$1:$I$89,3,0)*0.475*44/12</f>
        <v>2.8526221338886947E-12</v>
      </c>
      <c r="ED179" s="22">
        <f t="shared" si="178"/>
        <v>4.741085922123478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9.2222762759774927E-14</v>
      </c>
      <c r="EL179" s="13">
        <f t="shared" si="179"/>
        <v>1.3985662224947967E-12</v>
      </c>
      <c r="EM179" s="20">
        <f t="shared" si="180"/>
        <v>2.5964574826517121E-12</v>
      </c>
      <c r="EN179" s="59">
        <f t="shared" si="128"/>
        <v>293.33333333333593</v>
      </c>
      <c r="EO179" s="59">
        <f ca="1">AVERAGE(OFFSET($EN$3,0,0,'Données projet'!$E$15+1,1))-AVERAGE(OFFSET($H$3,0,0,'Données projet'!$E$15+1,1))</f>
        <v>159.68591355116837</v>
      </c>
      <c r="EP179" s="59">
        <f t="shared" si="154"/>
        <v>284.32631786390112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0.98663011347501228</v>
      </c>
      <c r="EW179" s="21">
        <f>EXP(-LN(2)/25)*EW178+(1-EXP(-LN(2)/25))/(LN(2)/25)*Calculateur!ER179*Calculateur!ET179*VLOOKUP('Données projet'!$B$15,Paramètres!$A$1:$I$89,3,0)*0.475*44/12</f>
        <v>0.44504562746010834</v>
      </c>
      <c r="EX179" s="21">
        <f>EXP(-LN(2)/2)*EX178+(1-EXP(-LN(2)/2))/(LN(2)/2)*ER179*EU179*VLOOKUP('Données projet'!$B$15,Paramètres!$A$1:$I$89,3,0)*0.475*44/12</f>
        <v>9.8872849451812055E-20</v>
      </c>
      <c r="EY179" s="22">
        <f t="shared" si="181"/>
        <v>1.4316757409351206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-1.3567387213697657E-13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299.10536994156814</v>
      </c>
      <c r="FK179" s="59">
        <f t="shared" si="156"/>
        <v>292.57799203101769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6.068656456946858</v>
      </c>
      <c r="FR179" s="21">
        <f>EXP(-LN(2)/25)*FR178+(1-EXP(-LN(2)/25))/(LN(2)/25)*Calculateur!FM179*Calculateur!FO179*VLOOKUP('Données projet'!$B$16,Paramètres!$A$1:$I$89,3,0)*0.475*44/12</f>
        <v>2.9581624844550225</v>
      </c>
      <c r="FS179" s="21">
        <f>EXP(-LN(2)/2)*FS178+(1-EXP(-LN(2)/2))/(LN(2)/2)*FM179*FP179*VLOOKUP('Données projet'!$B$16,Paramètres!$A$1:$I$89,3,0)*0.475*44/12</f>
        <v>1.8466983244090649E-13</v>
      </c>
      <c r="FT179" s="22">
        <f t="shared" si="184"/>
        <v>9.0268189414020661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5.6843418860808015E-14</v>
      </c>
      <c r="GA179" s="17">
        <f>FZ179*VLOOKUP('Données projet'!$B$17,Paramètres!$A$1:$I$89,3,0)*VLOOKUP('Données projet'!$B$17,Paramètres!$A$1:$I$89,5,0)</f>
        <v>5.1431925385259088E-14</v>
      </c>
      <c r="GB179" s="13">
        <f t="shared" si="185"/>
        <v>8.3482866290946129E-13</v>
      </c>
      <c r="GC179" s="20">
        <f t="shared" si="186"/>
        <v>1.5435705246133045E-12</v>
      </c>
      <c r="GD179" s="59">
        <f t="shared" si="134"/>
        <v>293.33333333333485</v>
      </c>
      <c r="GE179" s="59">
        <f ca="1">AVERAGE(OFFSET($GD$3,0,0,'Données projet'!$E$17+1,1))-AVERAGE(OFFSET($H$3,0,0,'Données projet'!$E$17+1,1))</f>
        <v>204.78565758021779</v>
      </c>
      <c r="GF179" s="59">
        <f t="shared" si="158"/>
        <v>287.25131613242439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1.1659237835046703</v>
      </c>
      <c r="GM179" s="21">
        <f>EXP(-LN(2)/25)*GM178+(1-EXP(-LN(2)/25))/(LN(2)/25)*Calculateur!GH179*Calculateur!GJ179*VLOOKUP('Données projet'!$B$17,Paramètres!$A$1:$I$89,3,0)*0.475*44/12</f>
        <v>0.34973234663757319</v>
      </c>
      <c r="GN179" s="21">
        <f>EXP(-LN(2)/2)*GN178+(1-EXP(-LN(2)/2))/(LN(2)/2)*GH179*GK179*VLOOKUP('Données projet'!$B$17,Paramètres!$A$1:$I$89,3,0)*0.475*44/12</f>
        <v>2.6431274893093887E-19</v>
      </c>
      <c r="GO179" s="21">
        <f t="shared" si="187"/>
        <v>1.5156561301422435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5.6843418860808015E-14</v>
      </c>
      <c r="GV179" s="17">
        <f>GU179*VLOOKUP('Données projet'!$B$18,Paramètres!$A$1:$I$89,3,0)*VLOOKUP('Données projet'!$B$18,Paramètres!$A$1:$I$89,5,0)</f>
        <v>4.4337866711430253E-14</v>
      </c>
      <c r="GW179" s="13">
        <f t="shared" si="188"/>
        <v>7.3222115536967035E-13</v>
      </c>
      <c r="GX179" s="20">
        <f t="shared" si="189"/>
        <v>1.3525069634579169E-12</v>
      </c>
      <c r="GY179" s="59">
        <f t="shared" si="137"/>
        <v>293.33333333333468</v>
      </c>
      <c r="GZ179" s="59">
        <f ca="1">AVERAGE(OFFSET($GY$3,0,0,'Données projet'!$E$18+1,1))-AVERAGE(OFFSET($H$3,0,0,'Données projet'!$E$18+1,1))</f>
        <v>288.82868507674738</v>
      </c>
      <c r="HA179" s="59">
        <f t="shared" si="160"/>
        <v>283.48738729114024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5.166095302016533</v>
      </c>
      <c r="HH179" s="21">
        <f>EXP(-LN(2)/25)*HH178+(1-EXP(-LN(2)/25))/(LN(2)/25)*Calculateur!HC179*Calculateur!HE179*VLOOKUP('Données projet'!$B$18,Paramètres!$A$1:$I$89,3,0)*0.475*44/12</f>
        <v>2.1791797214843545</v>
      </c>
      <c r="HI179" s="21">
        <f>EXP(-LN(2)/2)*HI178+(1-EXP(-LN(2)/2))/(LN(2)/2)*HC179*HF179*VLOOKUP('Données projet'!$B$18,Paramètres!$A$1:$I$89,3,0)*0.475*44/12</f>
        <v>4.7696285708724269E-15</v>
      </c>
      <c r="HJ179" s="22">
        <f t="shared" si="190"/>
        <v>7.3452750235008919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349.71285006949597</v>
      </c>
      <c r="T180" s="59">
        <f t="shared" si="142"/>
        <v>258.51550516456842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22.447442028009036</v>
      </c>
      <c r="AA180" s="21">
        <f>EXP(-LN(2)/25)*AA179+(1-EXP(-LN(2)/25))/(LN(2)/25)*Calculateur!V180*Calculateur!X180*VLOOKUP('Données projet'!$B$9,Paramètres!$A$1:$I$89,3,0)*0.475*44/12</f>
        <v>3.5145258648575477</v>
      </c>
      <c r="AB180" s="21">
        <f>EXP(-LN(2)/2)*AB179+(1-EXP(-LN(2)/2))/(LN(2)/2)*V180*Y180*VLOOKUP('Données projet'!$B$9,Paramètres!$A$1:$I$89,3,0)*0.475*44/12</f>
        <v>1.776506681049793E-13</v>
      </c>
      <c r="AC180" s="22">
        <f t="shared" si="163"/>
        <v>25.96196789286676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2.5579538487363607E-13</v>
      </c>
      <c r="AJ180" s="13">
        <f>AI180*VLOOKUP('Données projet'!$B$10,Paramètres!$A$1:$I$89,3,0)*VLOOKUP('Données projet'!$B$10,Paramètres!$A$1:$I$89,5,0)</f>
        <v>2.4341488824575211E-13</v>
      </c>
      <c r="AK180" s="13">
        <f t="shared" si="164"/>
        <v>3.2970717324875541E-12</v>
      </c>
      <c r="AL180" s="20">
        <f t="shared" si="165"/>
        <v>6.1663475311105072E-12</v>
      </c>
      <c r="AM180" s="59">
        <f t="shared" si="113"/>
        <v>293.33333333333945</v>
      </c>
      <c r="AN180" s="59">
        <f ca="1">AVERAGE(OFFSET($AM$3,0,0,'Données projet'!$E$10+1,1))-AVERAGE(OFFSET($H$3,0,0,'Données projet'!$E$10+1,1))</f>
        <v>449.28947235329758</v>
      </c>
      <c r="AO180" s="59">
        <f t="shared" si="144"/>
        <v>289.36994109443964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46.839434520472309</v>
      </c>
      <c r="AV180" s="21">
        <f>EXP(-LN(2)/25)*AV179+(1-EXP(-LN(2)/25))/(LN(2)/25)*Calculateur!AQ180*Calculateur!AS180*VLOOKUP('Données projet'!$B$10,Paramètres!$A$1:$I$89,3,0)*0.475*44/12</f>
        <v>6.7265275194211913</v>
      </c>
      <c r="AW180" s="21">
        <f>EXP(-LN(2)/2)*AW179+(1-EXP(-LN(2)/2))/(LN(2)/2)*AQ180*AT180*VLOOKUP('Données projet'!$B$10,Paramètres!$A$1:$I$89,3,0)*0.475*44/12</f>
        <v>6.0366458857001211E-7</v>
      </c>
      <c r="AX180" s="21">
        <f t="shared" si="166"/>
        <v>53.565962643558088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351.91291200000074</v>
      </c>
      <c r="BF180" s="13">
        <f t="shared" si="167"/>
        <v>81.956274647572329</v>
      </c>
      <c r="BG180" s="20">
        <f t="shared" si="168"/>
        <v>755.65550007785635</v>
      </c>
      <c r="BH180" s="59">
        <f t="shared" si="116"/>
        <v>1048.9888334111897</v>
      </c>
      <c r="BI180" s="59">
        <f ca="1">AVERAGE(OFFSET($BH$3,0,0,'Données projet'!$E$11+1,1))-AVERAGE(OFFSET($H$3,0,0,'Données projet'!$E$11+1,1))</f>
        <v>635.71275911100679</v>
      </c>
      <c r="BJ180" s="59">
        <f t="shared" si="146"/>
        <v>281.7776857269169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113.98157109998739</v>
      </c>
      <c r="BQ180" s="21">
        <f>EXP(-LN(2)/25)*BQ179+(1-EXP(-LN(2)/25))/(LN(2)/25)*Calculateur!BL180*Calculateur!BN180*VLOOKUP('Données projet'!$B$11,Paramètres!$A$1:$I$89,3,0)*0.475*44/12</f>
        <v>23.531672112001587</v>
      </c>
      <c r="BR180" s="21">
        <f>EXP(-LN(2)/2)*BR179+(1-EXP(-LN(2)/2))/(LN(2)/2)*BL180*BO180*VLOOKUP('Données projet'!$B$11,Paramètres!$A$1:$I$89,3,0)*0.475*44/12</f>
        <v>9.1138281615892875</v>
      </c>
      <c r="BS180" s="22">
        <f t="shared" si="169"/>
        <v>146.62707137357827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7.688333333333337</v>
      </c>
      <c r="BY180" s="12">
        <f>IF('Données projet'!$A$114&gt;35,BY179+BX180-CG179,IF(A180&lt;'Données projet'!$A$114,$BV$205^A180,IF(A180='Données projet'!$A$114,'Données projet'!$B$114,BY179+BX180-CG179)))</f>
        <v>433.47499999999968</v>
      </c>
      <c r="BZ180" s="13">
        <f>BY180*VLOOKUP('Données projet'!$B$12,Paramètres!$A$1:$I$89,3,0)*VLOOKUP('Données projet'!$B$12,Paramètres!$A$1:$I$89,5,0)</f>
        <v>493.64132999999958</v>
      </c>
      <c r="CA180" s="13">
        <f t="shared" si="170"/>
        <v>110.52244360410316</v>
      </c>
      <c r="CB180" s="20">
        <f t="shared" si="171"/>
        <v>1052.2519056938124</v>
      </c>
      <c r="CC180" s="59">
        <f t="shared" si="119"/>
        <v>1345.5852390271457</v>
      </c>
      <c r="CD180" s="59">
        <f ca="1">AVERAGE(OFFSET($CC$3,0,0,'Données projet'!$E$12+1,1))-AVERAGE(OFFSET($H$3,0,0,'Données projet'!$E$12+1,1))</f>
        <v>593.28343396240075</v>
      </c>
      <c r="CE180" s="59">
        <f t="shared" si="148"/>
        <v>289.66477662068695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47.336691750818055</v>
      </c>
      <c r="CL180" s="21">
        <f>EXP(-LN(2)/25)*CL179+(1-EXP(-LN(2)/25))/(LN(2)/25)*Calculateur!CG180*Calculateur!CI180*VLOOKUP('Données projet'!$B$12,Paramètres!$A$1:$I$89,3,0)*0.475*44/12</f>
        <v>20.340205072083776</v>
      </c>
      <c r="CM180" s="21">
        <f>EXP(-LN(2)/2)*CM179+(1-EXP(-LN(2)/2))/(LN(2)/2)*CG180*CJ180*VLOOKUP('Données projet'!$B$12,Paramètres!$A$1:$I$89,3,0)*0.475*44/12</f>
        <v>7.1570330636366411E-5</v>
      </c>
      <c r="CN180" s="22">
        <f t="shared" si="172"/>
        <v>67.676968393232457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2.2737367544323206E-13</v>
      </c>
      <c r="CU180" s="17">
        <f>CT180*VLOOKUP('Données projet'!$B$13,Paramètres!$A$1:$I$89,3,0)*VLOOKUP('Données projet'!$B$13,Paramètres!$A$1:$I$89,5,0)</f>
        <v>2.3765096557326618E-13</v>
      </c>
      <c r="CV180" s="13">
        <f t="shared" si="173"/>
        <v>3.2279907425805489E-12</v>
      </c>
      <c r="CW180" s="20">
        <f t="shared" si="174"/>
        <v>6.0359926417012276E-12</v>
      </c>
      <c r="CX180" s="59">
        <f t="shared" si="122"/>
        <v>293.33333333333934</v>
      </c>
      <c r="CY180" s="59">
        <f ca="1">AVERAGE(OFFSET($CX$3,0,0,'Données projet'!$E$13+1,1))-AVERAGE(OFFSET($H$3,0,0,'Données projet'!$E$13+1,1))</f>
        <v>260.65406541614402</v>
      </c>
      <c r="CZ180" s="59">
        <f t="shared" si="150"/>
        <v>277.63456890196886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3.2162578403861306</v>
      </c>
      <c r="DG180" s="21">
        <f>EXP(-LN(2)/25)*DG179+(1-EXP(-LN(2)/25))/(LN(2)/25)*Calculateur!DB180*Calculateur!DD180*VLOOKUP('Données projet'!$B$13,Paramètres!$A$1:$I$89,3,0)*0.475*44/12</f>
        <v>4.4398538729093389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7.6561117132954699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2.2737367544323206E-13</v>
      </c>
      <c r="DP180" s="17">
        <f>DO180*VLOOKUP('Données projet'!$B$14,Paramètres!$A$1:$I$89,3,0)*VLOOKUP('Données projet'!$B$14,Paramètres!$A$1:$I$89,5,0)</f>
        <v>1.4897523215040565E-13</v>
      </c>
      <c r="DQ180" s="13">
        <f t="shared" si="176"/>
        <v>2.136562777003313E-12</v>
      </c>
      <c r="DR180" s="20">
        <f t="shared" si="177"/>
        <v>3.9806453659427267E-12</v>
      </c>
      <c r="DS180" s="59">
        <f t="shared" si="125"/>
        <v>293.33333333333729</v>
      </c>
      <c r="DT180" s="59">
        <f ca="1">AVERAGE(OFFSET($DS$3,0,0,'Données projet'!$E$14+1,1))-AVERAGE(OFFSET($H$3,0,0,'Données projet'!$E$14+1,1))</f>
        <v>181.4272795535777</v>
      </c>
      <c r="DU180" s="59">
        <f t="shared" si="152"/>
        <v>187.67131775419904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3.0182390470380609</v>
      </c>
      <c r="EB180" s="21">
        <f>EXP(-LN(2)/25)*EB179+(1-EXP(-LN(2)/25))/(LN(2)/25)*Calculateur!DW180*Calculateur!DY180*VLOOKUP('Données projet'!$B$14,Paramètres!$A$1:$I$89,3,0)*0.475*44/12</f>
        <v>1.6170167090652718</v>
      </c>
      <c r="EC180" s="21">
        <f>EXP(-LN(2)/2)*EC179+(1-EXP(-LN(2)/2))/(LN(2)/2)*DW180*DZ180*VLOOKUP('Données projet'!$B$14,Paramètres!$A$1:$I$89,3,0)*0.475*44/12</f>
        <v>2.0171084550355355E-12</v>
      </c>
      <c r="ED180" s="22">
        <f t="shared" si="178"/>
        <v>4.6352557561053498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9.2222762759774927E-14</v>
      </c>
      <c r="EL180" s="13">
        <f t="shared" si="179"/>
        <v>1.3985662224947967E-12</v>
      </c>
      <c r="EM180" s="20">
        <f t="shared" si="180"/>
        <v>2.5964574826517121E-12</v>
      </c>
      <c r="EN180" s="59">
        <f t="shared" si="128"/>
        <v>293.33333333333593</v>
      </c>
      <c r="EO180" s="59">
        <f ca="1">AVERAGE(OFFSET($EN$3,0,0,'Données projet'!$E$15+1,1))-AVERAGE(OFFSET($H$3,0,0,'Données projet'!$E$15+1,1))</f>
        <v>159.68591355116837</v>
      </c>
      <c r="EP180" s="59">
        <f t="shared" si="154"/>
        <v>284.32631786390112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0.96728289873471518</v>
      </c>
      <c r="EW180" s="21">
        <f>EXP(-LN(2)/25)*EW179+(1-EXP(-LN(2)/25))/(LN(2)/25)*Calculateur!ER180*Calculateur!ET180*VLOOKUP('Données projet'!$B$15,Paramètres!$A$1:$I$89,3,0)*0.475*44/12</f>
        <v>0.43287583137327929</v>
      </c>
      <c r="EX180" s="21">
        <f>EXP(-LN(2)/2)*EX179+(1-EXP(-LN(2)/2))/(LN(2)/2)*ER180*EU180*VLOOKUP('Données projet'!$B$15,Paramètres!$A$1:$I$89,3,0)*0.475*44/12</f>
        <v>6.9913662322612921E-20</v>
      </c>
      <c r="EY180" s="22">
        <f t="shared" si="181"/>
        <v>1.4001587301079945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-1.3567387213697657E-13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299.10536994156814</v>
      </c>
      <c r="FK180" s="59">
        <f t="shared" si="156"/>
        <v>292.57799203101769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5.9496538053410744</v>
      </c>
      <c r="FR180" s="21">
        <f>EXP(-LN(2)/25)*FR179+(1-EXP(-LN(2)/25))/(LN(2)/25)*Calculateur!FM180*Calculateur!FO180*VLOOKUP('Données projet'!$B$16,Paramètres!$A$1:$I$89,3,0)*0.475*44/12</f>
        <v>2.8772713757545958</v>
      </c>
      <c r="FS180" s="21">
        <f>EXP(-LN(2)/2)*FS179+(1-EXP(-LN(2)/2))/(LN(2)/2)*FM180*FP180*VLOOKUP('Données projet'!$B$16,Paramètres!$A$1:$I$89,3,0)*0.475*44/12</f>
        <v>1.3058129079954846E-13</v>
      </c>
      <c r="FT180" s="22">
        <f t="shared" si="184"/>
        <v>8.8269251810958025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5.6843418860808015E-14</v>
      </c>
      <c r="GA180" s="17">
        <f>FZ180*VLOOKUP('Données projet'!$B$17,Paramètres!$A$1:$I$89,3,0)*VLOOKUP('Données projet'!$B$17,Paramètres!$A$1:$I$89,5,0)</f>
        <v>5.1431925385259088E-14</v>
      </c>
      <c r="GB180" s="13">
        <f t="shared" si="185"/>
        <v>8.3482866290946129E-13</v>
      </c>
      <c r="GC180" s="20">
        <f t="shared" si="186"/>
        <v>1.5435705246133045E-12</v>
      </c>
      <c r="GD180" s="59">
        <f t="shared" si="134"/>
        <v>293.33333333333485</v>
      </c>
      <c r="GE180" s="59">
        <f ca="1">AVERAGE(OFFSET($GD$3,0,0,'Données projet'!$E$17+1,1))-AVERAGE(OFFSET($H$3,0,0,'Données projet'!$E$17+1,1))</f>
        <v>204.78565758021779</v>
      </c>
      <c r="GF180" s="59">
        <f t="shared" si="158"/>
        <v>287.25131613242439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1.1430607292534321</v>
      </c>
      <c r="GM180" s="21">
        <f>EXP(-LN(2)/25)*GM179+(1-EXP(-LN(2)/25))/(LN(2)/25)*Calculateur!GH180*Calculateur!GJ180*VLOOKUP('Données projet'!$B$17,Paramètres!$A$1:$I$89,3,0)*0.475*44/12</f>
        <v>0.34016889722714394</v>
      </c>
      <c r="GN180" s="21">
        <f>EXP(-LN(2)/2)*GN179+(1-EXP(-LN(2)/2))/(LN(2)/2)*GH180*GK180*VLOOKUP('Données projet'!$B$17,Paramètres!$A$1:$I$89,3,0)*0.475*44/12</f>
        <v>1.8689733712312427E-19</v>
      </c>
      <c r="GO180" s="21">
        <f t="shared" si="187"/>
        <v>1.483229626480576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5.6843418860808015E-14</v>
      </c>
      <c r="GV180" s="17">
        <f>GU180*VLOOKUP('Données projet'!$B$18,Paramètres!$A$1:$I$89,3,0)*VLOOKUP('Données projet'!$B$18,Paramètres!$A$1:$I$89,5,0)</f>
        <v>4.4337866711430253E-14</v>
      </c>
      <c r="GW180" s="13">
        <f t="shared" si="188"/>
        <v>7.3222115536967035E-13</v>
      </c>
      <c r="GX180" s="20">
        <f t="shared" si="189"/>
        <v>1.3525069634579169E-12</v>
      </c>
      <c r="GY180" s="59">
        <f t="shared" si="137"/>
        <v>293.33333333333468</v>
      </c>
      <c r="GZ180" s="59">
        <f ca="1">AVERAGE(OFFSET($GY$3,0,0,'Données projet'!$E$18+1,1))-AVERAGE(OFFSET($H$3,0,0,'Données projet'!$E$18+1,1))</f>
        <v>288.82868507674738</v>
      </c>
      <c r="HA180" s="59">
        <f t="shared" si="160"/>
        <v>283.48738729114024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5.0647913241509865</v>
      </c>
      <c r="HH180" s="21">
        <f>EXP(-LN(2)/25)*HH179+(1-EXP(-LN(2)/25))/(LN(2)/25)*Calculateur!HC180*Calculateur!HE180*VLOOKUP('Données projet'!$B$18,Paramètres!$A$1:$I$89,3,0)*0.475*44/12</f>
        <v>2.1195899374022837</v>
      </c>
      <c r="HI180" s="21">
        <f>EXP(-LN(2)/2)*HI179+(1-EXP(-LN(2)/2))/(LN(2)/2)*HC180*HF180*VLOOKUP('Données projet'!$B$18,Paramètres!$A$1:$I$89,3,0)*0.475*44/12</f>
        <v>3.3726367062049946E-15</v>
      </c>
      <c r="HJ180" s="22">
        <f t="shared" si="190"/>
        <v>7.1843812615532734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349.71285006949597</v>
      </c>
      <c r="T181" s="59">
        <f t="shared" si="142"/>
        <v>258.51550516456842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22.007261381427483</v>
      </c>
      <c r="AA181" s="21">
        <f>EXP(-LN(2)/25)*AA180+(1-EXP(-LN(2)/25))/(LN(2)/25)*Calculateur!V181*Calculateur!X181*VLOOKUP('Données projet'!$B$9,Paramètres!$A$1:$I$89,3,0)*0.475*44/12</f>
        <v>3.4184209702621353</v>
      </c>
      <c r="AB181" s="21">
        <f>EXP(-LN(2)/2)*AB180+(1-EXP(-LN(2)/2))/(LN(2)/2)*V181*Y181*VLOOKUP('Données projet'!$B$9,Paramètres!$A$1:$I$89,3,0)*0.475*44/12</f>
        <v>1.2561799209935157E-13</v>
      </c>
      <c r="AC181" s="22">
        <f t="shared" si="163"/>
        <v>25.425682351689744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2.5579538487363607E-13</v>
      </c>
      <c r="AJ181" s="13">
        <f>AI181*VLOOKUP('Données projet'!$B$10,Paramètres!$A$1:$I$89,3,0)*VLOOKUP('Données projet'!$B$10,Paramètres!$A$1:$I$89,5,0)</f>
        <v>2.4341488824575211E-13</v>
      </c>
      <c r="AK181" s="13">
        <f t="shared" si="164"/>
        <v>3.2970717324875541E-12</v>
      </c>
      <c r="AL181" s="20">
        <f t="shared" si="165"/>
        <v>6.1663475311105072E-12</v>
      </c>
      <c r="AM181" s="59">
        <f t="shared" si="113"/>
        <v>293.33333333333945</v>
      </c>
      <c r="AN181" s="59">
        <f ca="1">AVERAGE(OFFSET($AM$3,0,0,'Données projet'!$E$10+1,1))-AVERAGE(OFFSET($H$3,0,0,'Données projet'!$E$10+1,1))</f>
        <v>449.28947235329758</v>
      </c>
      <c r="AO181" s="59">
        <f t="shared" si="144"/>
        <v>289.36994109443964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45.920941778759925</v>
      </c>
      <c r="AV181" s="21">
        <f>EXP(-LN(2)/25)*AV180+(1-EXP(-LN(2)/25))/(LN(2)/25)*Calculateur!AQ181*Calculateur!AS181*VLOOKUP('Données projet'!$B$10,Paramètres!$A$1:$I$89,3,0)*0.475*44/12</f>
        <v>6.5425902706699102</v>
      </c>
      <c r="AW181" s="21">
        <f>EXP(-LN(2)/2)*AW180+(1-EXP(-LN(2)/2))/(LN(2)/2)*AQ181*AT181*VLOOKUP('Données projet'!$B$10,Paramètres!$A$1:$I$89,3,0)*0.475*44/12</f>
        <v>4.2685532414004279E-7</v>
      </c>
      <c r="AX181" s="21">
        <f t="shared" si="166"/>
        <v>52.46353247628516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238.90339200000074</v>
      </c>
      <c r="BF181" s="13">
        <f t="shared" si="167"/>
        <v>58.203527078995975</v>
      </c>
      <c r="BG181" s="20">
        <f t="shared" si="168"/>
        <v>517.46121739591933</v>
      </c>
      <c r="BH181" s="59">
        <f t="shared" si="116"/>
        <v>810.79455072925271</v>
      </c>
      <c r="BI181" s="59">
        <f ca="1">AVERAGE(OFFSET($BH$3,0,0,'Données projet'!$E$11+1,1))-AVERAGE(OFFSET($H$3,0,0,'Données projet'!$E$11+1,1))</f>
        <v>635.71275911100679</v>
      </c>
      <c r="BJ181" s="59">
        <f t="shared" si="146"/>
        <v>281.7776857269169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111.74646201261029</v>
      </c>
      <c r="BQ181" s="21">
        <f>EXP(-LN(2)/25)*BQ180+(1-EXP(-LN(2)/25))/(LN(2)/25)*Calculateur!BL181*Calculateur!BN181*VLOOKUP('Données projet'!$B$11,Paramètres!$A$1:$I$89,3,0)*0.475*44/12</f>
        <v>22.88819730062205</v>
      </c>
      <c r="BR181" s="21">
        <f>EXP(-LN(2)/2)*BR180+(1-EXP(-LN(2)/2))/(LN(2)/2)*BL181*BO181*VLOOKUP('Données projet'!$B$11,Paramètres!$A$1:$I$89,3,0)*0.475*44/12</f>
        <v>6.4444496956287116</v>
      </c>
      <c r="BS181" s="22">
        <f t="shared" si="169"/>
        <v>141.07910900886105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7.688333333333337</v>
      </c>
      <c r="BY181" s="12">
        <f>IF('Données projet'!$A$114&gt;35,BY180+BX181-CG180,IF(A181&lt;'Données projet'!$A$114,$BV$205^A181,IF(A181='Données projet'!$A$114,'Données projet'!$B$114,BY180+BX181-CG180)))</f>
        <v>441.16333333333301</v>
      </c>
      <c r="BZ181" s="13">
        <f>BY181*VLOOKUP('Données projet'!$B$12,Paramètres!$A$1:$I$89,3,0)*VLOOKUP('Données projet'!$B$12,Paramètres!$A$1:$I$89,5,0)</f>
        <v>502.39680399999969</v>
      </c>
      <c r="CA181" s="13">
        <f t="shared" si="170"/>
        <v>112.25277277979573</v>
      </c>
      <c r="CB181" s="20">
        <f t="shared" si="171"/>
        <v>1070.5146795581438</v>
      </c>
      <c r="CC181" s="59">
        <f t="shared" si="119"/>
        <v>1363.8480128914771</v>
      </c>
      <c r="CD181" s="59">
        <f ca="1">AVERAGE(OFFSET($CC$3,0,0,'Données projet'!$E$12+1,1))-AVERAGE(OFFSET($H$3,0,0,'Données projet'!$E$12+1,1))</f>
        <v>593.28343396240075</v>
      </c>
      <c r="CE181" s="59">
        <f t="shared" si="148"/>
        <v>289.66477662068695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46.408448098115556</v>
      </c>
      <c r="CL181" s="21">
        <f>EXP(-LN(2)/25)*CL180+(1-EXP(-LN(2)/25))/(LN(2)/25)*Calculateur!CG181*Calculateur!CI181*VLOOKUP('Données projet'!$B$12,Paramètres!$A$1:$I$89,3,0)*0.475*44/12</f>
        <v>19.784001094742749</v>
      </c>
      <c r="CM181" s="21">
        <f>EXP(-LN(2)/2)*CM180+(1-EXP(-LN(2)/2))/(LN(2)/2)*CG181*CJ181*VLOOKUP('Données projet'!$B$12,Paramètres!$A$1:$I$89,3,0)*0.475*44/12</f>
        <v>5.0607866124738003E-5</v>
      </c>
      <c r="CN181" s="22">
        <f t="shared" si="172"/>
        <v>66.192499800724434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2.2737367544323206E-13</v>
      </c>
      <c r="CU181" s="17">
        <f>CT181*VLOOKUP('Données projet'!$B$13,Paramètres!$A$1:$I$89,3,0)*VLOOKUP('Données projet'!$B$13,Paramètres!$A$1:$I$89,5,0)</f>
        <v>2.3765096557326618E-13</v>
      </c>
      <c r="CV181" s="13">
        <f t="shared" si="173"/>
        <v>3.2279907425805489E-12</v>
      </c>
      <c r="CW181" s="20">
        <f t="shared" si="174"/>
        <v>6.0359926417012276E-12</v>
      </c>
      <c r="CX181" s="59">
        <f t="shared" si="122"/>
        <v>293.33333333333934</v>
      </c>
      <c r="CY181" s="59">
        <f ca="1">AVERAGE(OFFSET($CX$3,0,0,'Données projet'!$E$13+1,1))-AVERAGE(OFFSET($H$3,0,0,'Données projet'!$E$13+1,1))</f>
        <v>260.65406541614402</v>
      </c>
      <c r="CZ181" s="59">
        <f t="shared" si="150"/>
        <v>277.63456890196886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3.1531889858597371</v>
      </c>
      <c r="DG181" s="21">
        <f>EXP(-LN(2)/25)*DG180+(1-EXP(-LN(2)/25))/(LN(2)/25)*Calculateur!DB181*Calculateur!DD181*VLOOKUP('Données projet'!$B$13,Paramètres!$A$1:$I$89,3,0)*0.475*44/12</f>
        <v>4.3184458352728656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7.4716348211326027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2.2737367544323206E-13</v>
      </c>
      <c r="DP181" s="17">
        <f>DO181*VLOOKUP('Données projet'!$B$14,Paramètres!$A$1:$I$89,3,0)*VLOOKUP('Données projet'!$B$14,Paramètres!$A$1:$I$89,5,0)</f>
        <v>1.4897523215040565E-13</v>
      </c>
      <c r="DQ181" s="13">
        <f t="shared" si="176"/>
        <v>2.136562777003313E-12</v>
      </c>
      <c r="DR181" s="20">
        <f t="shared" si="177"/>
        <v>3.9806453659427267E-12</v>
      </c>
      <c r="DS181" s="59">
        <f t="shared" si="125"/>
        <v>293.33333333333729</v>
      </c>
      <c r="DT181" s="59">
        <f ca="1">AVERAGE(OFFSET($DS$3,0,0,'Données projet'!$E$14+1,1))-AVERAGE(OFFSET($H$3,0,0,'Données projet'!$E$14+1,1))</f>
        <v>181.4272795535777</v>
      </c>
      <c r="DU181" s="59">
        <f t="shared" si="152"/>
        <v>187.67131775419904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2.9590532202696851</v>
      </c>
      <c r="EB181" s="21">
        <f>EXP(-LN(2)/25)*EB180+(1-EXP(-LN(2)/25))/(LN(2)/25)*Calculateur!DW181*Calculateur!DY181*VLOOKUP('Données projet'!$B$14,Paramètres!$A$1:$I$89,3,0)*0.475*44/12</f>
        <v>1.572799302120669</v>
      </c>
      <c r="EC181" s="21">
        <f>EXP(-LN(2)/2)*EC180+(1-EXP(-LN(2)/2))/(LN(2)/2)*DW181*DZ181*VLOOKUP('Données projet'!$B$14,Paramètres!$A$1:$I$89,3,0)*0.475*44/12</f>
        <v>1.4263110669443473E-12</v>
      </c>
      <c r="ED181" s="22">
        <f t="shared" si="178"/>
        <v>4.5318525223917803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9.2222762759774927E-14</v>
      </c>
      <c r="EL181" s="13">
        <f t="shared" si="179"/>
        <v>1.3985662224947967E-12</v>
      </c>
      <c r="EM181" s="20">
        <f t="shared" si="180"/>
        <v>2.5964574826517121E-12</v>
      </c>
      <c r="EN181" s="59">
        <f t="shared" si="128"/>
        <v>293.33333333333593</v>
      </c>
      <c r="EO181" s="59">
        <f ca="1">AVERAGE(OFFSET($EN$3,0,0,'Données projet'!$E$15+1,1))-AVERAGE(OFFSET($H$3,0,0,'Données projet'!$E$15+1,1))</f>
        <v>159.68591355116837</v>
      </c>
      <c r="EP181" s="59">
        <f t="shared" si="154"/>
        <v>284.32631786390112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0.94831507107483948</v>
      </c>
      <c r="EW181" s="21">
        <f>EXP(-LN(2)/25)*EW180+(1-EXP(-LN(2)/25))/(LN(2)/25)*Calculateur!ER181*Calculateur!ET181*VLOOKUP('Données projet'!$B$15,Paramètres!$A$1:$I$89,3,0)*0.475*44/12</f>
        <v>0.42103881900042633</v>
      </c>
      <c r="EX181" s="21">
        <f>EXP(-LN(2)/2)*EX180+(1-EXP(-LN(2)/2))/(LN(2)/2)*ER181*EU181*VLOOKUP('Données projet'!$B$15,Paramètres!$A$1:$I$89,3,0)*0.475*44/12</f>
        <v>4.9436424725906028E-20</v>
      </c>
      <c r="EY181" s="22">
        <f t="shared" si="181"/>
        <v>1.3693538900752658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-1.3567387213697657E-13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299.10536994156814</v>
      </c>
      <c r="FK181" s="59">
        <f t="shared" si="156"/>
        <v>292.57799203101769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5.8329847231488303</v>
      </c>
      <c r="FR181" s="21">
        <f>EXP(-LN(2)/25)*FR180+(1-EXP(-LN(2)/25))/(LN(2)/25)*Calculateur!FM181*Calculateur!FO181*VLOOKUP('Données projet'!$B$16,Paramètres!$A$1:$I$89,3,0)*0.475*44/12</f>
        <v>2.7985922386754609</v>
      </c>
      <c r="FS181" s="21">
        <f>EXP(-LN(2)/2)*FS180+(1-EXP(-LN(2)/2))/(LN(2)/2)*FM181*FP181*VLOOKUP('Données projet'!$B$16,Paramètres!$A$1:$I$89,3,0)*0.475*44/12</f>
        <v>9.2334916220453246E-14</v>
      </c>
      <c r="FT181" s="22">
        <f t="shared" si="184"/>
        <v>8.6315769618243827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5.6843418860808015E-14</v>
      </c>
      <c r="GA181" s="17">
        <f>FZ181*VLOOKUP('Données projet'!$B$17,Paramètres!$A$1:$I$89,3,0)*VLOOKUP('Données projet'!$B$17,Paramètres!$A$1:$I$89,5,0)</f>
        <v>5.1431925385259088E-14</v>
      </c>
      <c r="GB181" s="13">
        <f t="shared" si="185"/>
        <v>8.3482866290946129E-13</v>
      </c>
      <c r="GC181" s="20">
        <f t="shared" si="186"/>
        <v>1.5435705246133045E-12</v>
      </c>
      <c r="GD181" s="59">
        <f t="shared" si="134"/>
        <v>293.33333333333485</v>
      </c>
      <c r="GE181" s="59">
        <f ca="1">AVERAGE(OFFSET($GD$3,0,0,'Données projet'!$E$17+1,1))-AVERAGE(OFFSET($H$3,0,0,'Données projet'!$E$17+1,1))</f>
        <v>204.78565758021779</v>
      </c>
      <c r="GF181" s="59">
        <f t="shared" si="158"/>
        <v>287.25131613242439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1.1206460055509744</v>
      </c>
      <c r="GM181" s="21">
        <f>EXP(-LN(2)/25)*GM180+(1-EXP(-LN(2)/25))/(LN(2)/25)*Calculateur!GH181*Calculateur!GJ181*VLOOKUP('Données projet'!$B$17,Paramètres!$A$1:$I$89,3,0)*0.475*44/12</f>
        <v>0.33086696084376283</v>
      </c>
      <c r="GN181" s="21">
        <f>EXP(-LN(2)/2)*GN180+(1-EXP(-LN(2)/2))/(LN(2)/2)*GH181*GK181*VLOOKUP('Données projet'!$B$17,Paramètres!$A$1:$I$89,3,0)*0.475*44/12</f>
        <v>1.3215637446546943E-19</v>
      </c>
      <c r="GO181" s="21">
        <f t="shared" si="187"/>
        <v>1.4515129663947373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5.6843418860808015E-14</v>
      </c>
      <c r="GV181" s="17">
        <f>GU181*VLOOKUP('Données projet'!$B$18,Paramètres!$A$1:$I$89,3,0)*VLOOKUP('Données projet'!$B$18,Paramètres!$A$1:$I$89,5,0)</f>
        <v>4.4337866711430253E-14</v>
      </c>
      <c r="GW181" s="13">
        <f t="shared" si="188"/>
        <v>7.3222115536967035E-13</v>
      </c>
      <c r="GX181" s="20">
        <f t="shared" si="189"/>
        <v>1.3525069634579169E-12</v>
      </c>
      <c r="GY181" s="59">
        <f t="shared" si="137"/>
        <v>293.33333333333468</v>
      </c>
      <c r="GZ181" s="59">
        <f ca="1">AVERAGE(OFFSET($GY$3,0,0,'Données projet'!$E$18+1,1))-AVERAGE(OFFSET($H$3,0,0,'Données projet'!$E$18+1,1))</f>
        <v>288.82868507674738</v>
      </c>
      <c r="HA181" s="59">
        <f t="shared" si="160"/>
        <v>283.48738729114024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4.9654738555020588</v>
      </c>
      <c r="HH181" s="21">
        <f>EXP(-LN(2)/25)*HH180+(1-EXP(-LN(2)/25))/(LN(2)/25)*Calculateur!HC181*Calculateur!HE181*VLOOKUP('Données projet'!$B$18,Paramètres!$A$1:$I$89,3,0)*0.475*44/12</f>
        <v>2.0616296390996278</v>
      </c>
      <c r="HI181" s="21">
        <f>EXP(-LN(2)/2)*HI180+(1-EXP(-LN(2)/2))/(LN(2)/2)*HC181*HF181*VLOOKUP('Données projet'!$B$18,Paramètres!$A$1:$I$89,3,0)*0.475*44/12</f>
        <v>2.3848142854362135E-15</v>
      </c>
      <c r="HJ181" s="22">
        <f t="shared" si="190"/>
        <v>7.0271034946016888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349.71285006949597</v>
      </c>
      <c r="T182" s="59">
        <f t="shared" si="142"/>
        <v>258.51550516456842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21.57571240884171</v>
      </c>
      <c r="AA182" s="21">
        <f>EXP(-LN(2)/25)*AA181+(1-EXP(-LN(2)/25))/(LN(2)/25)*Calculateur!V182*Calculateur!X182*VLOOKUP('Données projet'!$B$9,Paramètres!$A$1:$I$89,3,0)*0.475*44/12</f>
        <v>3.3249440690633714</v>
      </c>
      <c r="AB182" s="21">
        <f>EXP(-LN(2)/2)*AB181+(1-EXP(-LN(2)/2))/(LN(2)/2)*V182*Y182*VLOOKUP('Données projet'!$B$9,Paramètres!$A$1:$I$89,3,0)*0.475*44/12</f>
        <v>8.8825334052489649E-14</v>
      </c>
      <c r="AC182" s="22">
        <f t="shared" si="163"/>
        <v>24.900656477905169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2.5579538487363607E-13</v>
      </c>
      <c r="AJ182" s="13">
        <f>AI182*VLOOKUP('Données projet'!$B$10,Paramètres!$A$1:$I$89,3,0)*VLOOKUP('Données projet'!$B$10,Paramètres!$A$1:$I$89,5,0)</f>
        <v>2.4341488824575211E-13</v>
      </c>
      <c r="AK182" s="13">
        <f t="shared" si="164"/>
        <v>3.2970717324875541E-12</v>
      </c>
      <c r="AL182" s="20">
        <f t="shared" si="165"/>
        <v>6.1663475311105072E-12</v>
      </c>
      <c r="AM182" s="59">
        <f t="shared" si="113"/>
        <v>293.33333333333945</v>
      </c>
      <c r="AN182" s="59">
        <f ca="1">AVERAGE(OFFSET($AM$3,0,0,'Données projet'!$E$10+1,1))-AVERAGE(OFFSET($H$3,0,0,'Données projet'!$E$10+1,1))</f>
        <v>449.28947235329758</v>
      </c>
      <c r="AO182" s="59">
        <f t="shared" si="144"/>
        <v>289.36994109443964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45.020460119487268</v>
      </c>
      <c r="AV182" s="21">
        <f>EXP(-LN(2)/25)*AV181+(1-EXP(-LN(2)/25))/(LN(2)/25)*Calculateur!AQ182*Calculateur!AS182*VLOOKUP('Données projet'!$B$10,Paramètres!$A$1:$I$89,3,0)*0.475*44/12</f>
        <v>6.3636827956585726</v>
      </c>
      <c r="AW182" s="21">
        <f>EXP(-LN(2)/2)*AW181+(1-EXP(-LN(2)/2))/(LN(2)/2)*AQ182*AT182*VLOOKUP('Données projet'!$B$10,Paramètres!$A$1:$I$89,3,0)*0.475*44/12</f>
        <v>3.0183229428500605E-7</v>
      </c>
      <c r="AX182" s="21">
        <f t="shared" si="166"/>
        <v>51.384143216978138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242.30544000000074</v>
      </c>
      <c r="BF182" s="13">
        <f t="shared" si="167"/>
        <v>58.935280802002858</v>
      </c>
      <c r="BG182" s="20">
        <f t="shared" si="168"/>
        <v>524.66092206348958</v>
      </c>
      <c r="BH182" s="59">
        <f t="shared" si="116"/>
        <v>817.99425539682284</v>
      </c>
      <c r="BI182" s="59">
        <f ca="1">AVERAGE(OFFSET($BH$3,0,0,'Données projet'!$E$11+1,1))-AVERAGE(OFFSET($H$3,0,0,'Données projet'!$E$11+1,1))</f>
        <v>635.71275911100679</v>
      </c>
      <c r="BJ182" s="59">
        <f t="shared" si="146"/>
        <v>281.7776857269169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109.55518205115473</v>
      </c>
      <c r="BQ182" s="21">
        <f>EXP(-LN(2)/25)*BQ181+(1-EXP(-LN(2)/25))/(LN(2)/25)*Calculateur!BL182*Calculateur!BN182*VLOOKUP('Données projet'!$B$11,Paramètres!$A$1:$I$89,3,0)*0.475*44/12</f>
        <v>22.262318341798554</v>
      </c>
      <c r="BR182" s="21">
        <f>EXP(-LN(2)/2)*BR181+(1-EXP(-LN(2)/2))/(LN(2)/2)*BL182*BO182*VLOOKUP('Données projet'!$B$11,Paramètres!$A$1:$I$89,3,0)*0.475*44/12</f>
        <v>4.5569140807946447</v>
      </c>
      <c r="BS182" s="22">
        <f t="shared" si="169"/>
        <v>136.37441447374795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7.688333333333337</v>
      </c>
      <c r="BY182" s="12">
        <f>IF('Données projet'!$A$114&gt;35,BY181+BX182-CG181,IF(A182&lt;'Données projet'!$A$114,$BV$205^A182,IF(A182='Données projet'!$A$114,'Données projet'!$B$114,BY181+BX182-CG181)))</f>
        <v>448.85166666666635</v>
      </c>
      <c r="BZ182" s="13">
        <f>BY182*VLOOKUP('Données projet'!$B$12,Paramètres!$A$1:$I$89,3,0)*VLOOKUP('Données projet'!$B$12,Paramètres!$A$1:$I$89,5,0)</f>
        <v>511.15227799999968</v>
      </c>
      <c r="CA182" s="13">
        <f t="shared" si="170"/>
        <v>113.9795952658682</v>
      </c>
      <c r="CB182" s="20">
        <f t="shared" si="171"/>
        <v>1088.7713459380532</v>
      </c>
      <c r="CC182" s="59">
        <f t="shared" si="119"/>
        <v>1382.1046792713864</v>
      </c>
      <c r="CD182" s="59">
        <f ca="1">AVERAGE(OFFSET($CC$3,0,0,'Données projet'!$E$12+1,1))-AVERAGE(OFFSET($H$3,0,0,'Données projet'!$E$12+1,1))</f>
        <v>593.28343396240075</v>
      </c>
      <c r="CE182" s="59">
        <f t="shared" si="148"/>
        <v>289.66477662068695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45.498406737269832</v>
      </c>
      <c r="CL182" s="21">
        <f>EXP(-LN(2)/25)*CL181+(1-EXP(-LN(2)/25))/(LN(2)/25)*Calculateur!CG182*Calculateur!CI182*VLOOKUP('Données projet'!$B$12,Paramètres!$A$1:$I$89,3,0)*0.475*44/12</f>
        <v>19.243006544411607</v>
      </c>
      <c r="CM182" s="21">
        <f>EXP(-LN(2)/2)*CM181+(1-EXP(-LN(2)/2))/(LN(2)/2)*CG182*CJ182*VLOOKUP('Données projet'!$B$12,Paramètres!$A$1:$I$89,3,0)*0.475*44/12</f>
        <v>3.5785165318183205E-5</v>
      </c>
      <c r="CN182" s="22">
        <f t="shared" si="172"/>
        <v>64.741449066846769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2.2737367544323206E-13</v>
      </c>
      <c r="CU182" s="17">
        <f>CT182*VLOOKUP('Données projet'!$B$13,Paramètres!$A$1:$I$89,3,0)*VLOOKUP('Données projet'!$B$13,Paramètres!$A$1:$I$89,5,0)</f>
        <v>2.3765096557326618E-13</v>
      </c>
      <c r="CV182" s="13">
        <f t="shared" si="173"/>
        <v>3.2279907425805489E-12</v>
      </c>
      <c r="CW182" s="20">
        <f t="shared" si="174"/>
        <v>6.0359926417012276E-12</v>
      </c>
      <c r="CX182" s="59">
        <f t="shared" si="122"/>
        <v>293.33333333333934</v>
      </c>
      <c r="CY182" s="59">
        <f ca="1">AVERAGE(OFFSET($CX$3,0,0,'Données projet'!$E$13+1,1))-AVERAGE(OFFSET($H$3,0,0,'Données projet'!$E$13+1,1))</f>
        <v>260.65406541614402</v>
      </c>
      <c r="CZ182" s="59">
        <f t="shared" si="150"/>
        <v>277.63456890196886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3.0913568731024035</v>
      </c>
      <c r="DG182" s="21">
        <f>EXP(-LN(2)/25)*DG181+(1-EXP(-LN(2)/25))/(LN(2)/25)*Calculateur!DB182*Calculateur!DD182*VLOOKUP('Données projet'!$B$13,Paramètres!$A$1:$I$89,3,0)*0.475*44/12</f>
        <v>4.2003577068101325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7.2917145799125365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2.2737367544323206E-13</v>
      </c>
      <c r="DP182" s="17">
        <f>DO182*VLOOKUP('Données projet'!$B$14,Paramètres!$A$1:$I$89,3,0)*VLOOKUP('Données projet'!$B$14,Paramètres!$A$1:$I$89,5,0)</f>
        <v>1.4897523215040565E-13</v>
      </c>
      <c r="DQ182" s="13">
        <f t="shared" si="176"/>
        <v>2.136562777003313E-12</v>
      </c>
      <c r="DR182" s="20">
        <f t="shared" si="177"/>
        <v>3.9806453659427267E-12</v>
      </c>
      <c r="DS182" s="59">
        <f t="shared" si="125"/>
        <v>293.33333333333729</v>
      </c>
      <c r="DT182" s="59">
        <f ca="1">AVERAGE(OFFSET($DS$3,0,0,'Données projet'!$E$14+1,1))-AVERAGE(OFFSET($H$3,0,0,'Données projet'!$E$14+1,1))</f>
        <v>181.4272795535777</v>
      </c>
      <c r="DU182" s="59">
        <f t="shared" si="152"/>
        <v>187.67131775419904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2.9010279914644475</v>
      </c>
      <c r="EB182" s="21">
        <f>EXP(-LN(2)/25)*EB181+(1-EXP(-LN(2)/25))/(LN(2)/25)*Calculateur!DW182*Calculateur!DY182*VLOOKUP('Données projet'!$B$14,Paramètres!$A$1:$I$89,3,0)*0.475*44/12</f>
        <v>1.5297910224942586</v>
      </c>
      <c r="EC182" s="21">
        <f>EXP(-LN(2)/2)*EC181+(1-EXP(-LN(2)/2))/(LN(2)/2)*DW182*DZ182*VLOOKUP('Données projet'!$B$14,Paramètres!$A$1:$I$89,3,0)*0.475*44/12</f>
        <v>1.0085542275177677E-12</v>
      </c>
      <c r="ED182" s="22">
        <f t="shared" si="178"/>
        <v>4.4308190139597148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9.2222762759774927E-14</v>
      </c>
      <c r="EL182" s="13">
        <f t="shared" si="179"/>
        <v>1.3985662224947967E-12</v>
      </c>
      <c r="EM182" s="20">
        <f t="shared" si="180"/>
        <v>2.5964574826517121E-12</v>
      </c>
      <c r="EN182" s="59">
        <f t="shared" si="128"/>
        <v>293.33333333333593</v>
      </c>
      <c r="EO182" s="59">
        <f ca="1">AVERAGE(OFFSET($EN$3,0,0,'Données projet'!$E$15+1,1))-AVERAGE(OFFSET($H$3,0,0,'Données projet'!$E$15+1,1))</f>
        <v>159.68591355116837</v>
      </c>
      <c r="EP182" s="59">
        <f t="shared" si="154"/>
        <v>284.32631786390112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0.92971919094614153</v>
      </c>
      <c r="EW182" s="21">
        <f>EXP(-LN(2)/25)*EW181+(1-EXP(-LN(2)/25))/(LN(2)/25)*Calculateur!ER182*Calculateur!ET182*VLOOKUP('Données projet'!$B$15,Paramètres!$A$1:$I$89,3,0)*0.475*44/12</f>
        <v>0.40952549035339048</v>
      </c>
      <c r="EX182" s="21">
        <f>EXP(-LN(2)/2)*EX181+(1-EXP(-LN(2)/2))/(LN(2)/2)*ER182*EU182*VLOOKUP('Données projet'!$B$15,Paramètres!$A$1:$I$89,3,0)*0.475*44/12</f>
        <v>3.4956831161306461E-20</v>
      </c>
      <c r="EY182" s="22">
        <f t="shared" si="181"/>
        <v>1.339244681299532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-1.3567387213697657E-13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299.10536994156814</v>
      </c>
      <c r="FK182" s="59">
        <f t="shared" si="156"/>
        <v>292.57799203101769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5.7186034504972625</v>
      </c>
      <c r="FR182" s="21">
        <f>EXP(-LN(2)/25)*FR181+(1-EXP(-LN(2)/25))/(LN(2)/25)*Calculateur!FM182*Calculateur!FO182*VLOOKUP('Données projet'!$B$16,Paramètres!$A$1:$I$89,3,0)*0.475*44/12</f>
        <v>2.7220645867373108</v>
      </c>
      <c r="FS182" s="21">
        <f>EXP(-LN(2)/2)*FS181+(1-EXP(-LN(2)/2))/(LN(2)/2)*FM182*FP182*VLOOKUP('Données projet'!$B$16,Paramètres!$A$1:$I$89,3,0)*0.475*44/12</f>
        <v>6.529064539977423E-14</v>
      </c>
      <c r="FT182" s="22">
        <f t="shared" si="184"/>
        <v>8.440668037234639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5.6843418860808015E-14</v>
      </c>
      <c r="GA182" s="17">
        <f>FZ182*VLOOKUP('Données projet'!$B$17,Paramètres!$A$1:$I$89,3,0)*VLOOKUP('Données projet'!$B$17,Paramètres!$A$1:$I$89,5,0)</f>
        <v>5.1431925385259088E-14</v>
      </c>
      <c r="GB182" s="13">
        <f t="shared" si="185"/>
        <v>8.3482866290946129E-13</v>
      </c>
      <c r="GC182" s="20">
        <f t="shared" si="186"/>
        <v>1.5435705246133045E-12</v>
      </c>
      <c r="GD182" s="59">
        <f t="shared" si="134"/>
        <v>293.33333333333485</v>
      </c>
      <c r="GE182" s="59">
        <f ca="1">AVERAGE(OFFSET($GD$3,0,0,'Données projet'!$E$17+1,1))-AVERAGE(OFFSET($H$3,0,0,'Données projet'!$E$17+1,1))</f>
        <v>204.78565758021779</v>
      </c>
      <c r="GF182" s="59">
        <f t="shared" si="158"/>
        <v>287.25131613242439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1.0986708209086906</v>
      </c>
      <c r="GM182" s="21">
        <f>EXP(-LN(2)/25)*GM181+(1-EXP(-LN(2)/25))/(LN(2)/25)*Calculateur!GH182*Calculateur!GJ182*VLOOKUP('Données projet'!$B$17,Paramètres!$A$1:$I$89,3,0)*0.475*44/12</f>
        <v>0.32181938639995289</v>
      </c>
      <c r="GN182" s="21">
        <f>EXP(-LN(2)/2)*GN181+(1-EXP(-LN(2)/2))/(LN(2)/2)*GH182*GK182*VLOOKUP('Données projet'!$B$17,Paramètres!$A$1:$I$89,3,0)*0.475*44/12</f>
        <v>9.3448668561562133E-20</v>
      </c>
      <c r="GO182" s="21">
        <f t="shared" si="187"/>
        <v>1.4204902073086436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5.6843418860808015E-14</v>
      </c>
      <c r="GV182" s="17">
        <f>GU182*VLOOKUP('Données projet'!$B$18,Paramètres!$A$1:$I$89,3,0)*VLOOKUP('Données projet'!$B$18,Paramètres!$A$1:$I$89,5,0)</f>
        <v>4.4337866711430253E-14</v>
      </c>
      <c r="GW182" s="13">
        <f t="shared" si="188"/>
        <v>7.3222115536967035E-13</v>
      </c>
      <c r="GX182" s="20">
        <f t="shared" si="189"/>
        <v>1.3525069634579169E-12</v>
      </c>
      <c r="GY182" s="59">
        <f t="shared" si="137"/>
        <v>293.33333333333468</v>
      </c>
      <c r="GZ182" s="59">
        <f ca="1">AVERAGE(OFFSET($GY$3,0,0,'Données projet'!$E$18+1,1))-AVERAGE(OFFSET($H$3,0,0,'Données projet'!$E$18+1,1))</f>
        <v>288.82868507674738</v>
      </c>
      <c r="HA182" s="59">
        <f t="shared" si="160"/>
        <v>283.48738729114024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4.8681039418356615</v>
      </c>
      <c r="HH182" s="21">
        <f>EXP(-LN(2)/25)*HH181+(1-EXP(-LN(2)/25))/(LN(2)/25)*Calculateur!HC182*Calculateur!HE182*VLOOKUP('Données projet'!$B$18,Paramètres!$A$1:$I$89,3,0)*0.475*44/12</f>
        <v>2.0052542682020578</v>
      </c>
      <c r="HI182" s="21">
        <f>EXP(-LN(2)/2)*HI181+(1-EXP(-LN(2)/2))/(LN(2)/2)*HC182*HF182*VLOOKUP('Données projet'!$B$18,Paramètres!$A$1:$I$89,3,0)*0.475*44/12</f>
        <v>1.6863183531024973E-15</v>
      </c>
      <c r="HJ182" s="22">
        <f t="shared" si="190"/>
        <v>6.8733582100377211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349.71285006949597</v>
      </c>
      <c r="T183" s="59">
        <f t="shared" si="142"/>
        <v>258.51550516456842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21.152625848389462</v>
      </c>
      <c r="AA183" s="21">
        <f>EXP(-LN(2)/25)*AA182+(1-EXP(-LN(2)/25))/(LN(2)/25)*Calculateur!V183*Calculateur!X183*VLOOKUP('Données projet'!$B$9,Paramètres!$A$1:$I$89,3,0)*0.475*44/12</f>
        <v>3.2340232986436241</v>
      </c>
      <c r="AB183" s="21">
        <f>EXP(-LN(2)/2)*AB182+(1-EXP(-LN(2)/2))/(LN(2)/2)*V183*Y183*VLOOKUP('Données projet'!$B$9,Paramètres!$A$1:$I$89,3,0)*0.475*44/12</f>
        <v>6.2808996049675786E-14</v>
      </c>
      <c r="AC183" s="22">
        <f t="shared" si="163"/>
        <v>24.38664914703315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2.5579538487363607E-13</v>
      </c>
      <c r="AJ183" s="13">
        <f>AI183*VLOOKUP('Données projet'!$B$10,Paramètres!$A$1:$I$89,3,0)*VLOOKUP('Données projet'!$B$10,Paramètres!$A$1:$I$89,5,0)</f>
        <v>2.4341488824575211E-13</v>
      </c>
      <c r="AK183" s="13">
        <f t="shared" si="164"/>
        <v>3.2970717324875541E-12</v>
      </c>
      <c r="AL183" s="20">
        <f t="shared" si="165"/>
        <v>6.1663475311105072E-12</v>
      </c>
      <c r="AM183" s="59">
        <f t="shared" si="113"/>
        <v>293.33333333333945</v>
      </c>
      <c r="AN183" s="59">
        <f ca="1">AVERAGE(OFFSET($AM$3,0,0,'Données projet'!$E$10+1,1))-AVERAGE(OFFSET($H$3,0,0,'Données projet'!$E$10+1,1))</f>
        <v>449.28947235329758</v>
      </c>
      <c r="AO183" s="59">
        <f t="shared" si="144"/>
        <v>289.36994109443964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44.137636356313365</v>
      </c>
      <c r="AV183" s="21">
        <f>EXP(-LN(2)/25)*AV182+(1-EXP(-LN(2)/25))/(LN(2)/25)*Calculateur!AQ183*Calculateur!AS183*VLOOKUP('Données projet'!$B$10,Paramètres!$A$1:$I$89,3,0)*0.475*44/12</f>
        <v>6.1896675549597555</v>
      </c>
      <c r="AW183" s="21">
        <f>EXP(-LN(2)/2)*AW182+(1-EXP(-LN(2)/2))/(LN(2)/2)*AQ183*AT183*VLOOKUP('Données projet'!$B$10,Paramètres!$A$1:$I$89,3,0)*0.475*44/12</f>
        <v>2.134276620700214E-7</v>
      </c>
      <c r="AX183" s="21">
        <f t="shared" si="166"/>
        <v>50.327304124700781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245.70748800000069</v>
      </c>
      <c r="BF183" s="13">
        <f t="shared" si="167"/>
        <v>59.665839559289225</v>
      </c>
      <c r="BG183" s="20">
        <f t="shared" si="168"/>
        <v>531.85854549909652</v>
      </c>
      <c r="BH183" s="59">
        <f t="shared" si="116"/>
        <v>825.19187883242989</v>
      </c>
      <c r="BI183" s="59">
        <f ca="1">AVERAGE(OFFSET($BH$3,0,0,'Données projet'!$E$11+1,1))-AVERAGE(OFFSET($H$3,0,0,'Données projet'!$E$11+1,1))</f>
        <v>635.71275911100679</v>
      </c>
      <c r="BJ183" s="59">
        <f t="shared" si="146"/>
        <v>281.7776857269169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124.23943061149308</v>
      </c>
      <c r="BQ183" s="21">
        <f>EXP(-LN(2)/25)*BQ182+(1-EXP(-LN(2)/25))/(LN(2)/25)*Calculateur!BL183*Calculateur!BN183*VLOOKUP('Données projet'!$B$11,Paramètres!$A$1:$I$89,3,0)*0.475*44/12</f>
        <v>23.516474371613818</v>
      </c>
      <c r="BR183" s="21">
        <f>EXP(-LN(2)/2)*BR182+(1-EXP(-LN(2)/2))/(LN(2)/2)*BL183*BO183*VLOOKUP('Données projet'!$B$11,Paramètres!$A$1:$I$89,3,0)*0.475*44/12</f>
        <v>6.9345530057429094</v>
      </c>
      <c r="BS183" s="22">
        <f t="shared" si="169"/>
        <v>154.6904579888498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456.54</v>
      </c>
      <c r="BW183" s="12">
        <f>VLOOKUP(A183,'Données projet'!$A$113:$I$133,9,0)</f>
        <v>7.688333333333337</v>
      </c>
      <c r="BX183" s="12">
        <f t="array" ref="BX183">INDEX(BW:BW,MIN(IF(ISNUMBER(BW183:BW379),ROW(BW183:BW379),"")))</f>
        <v>7.688333333333337</v>
      </c>
      <c r="BY183" s="12">
        <f>IF('Données projet'!$A$114&gt;35,BY182+BX183-CG182,IF(A183&lt;'Données projet'!$A$114,$BV$205^A183,IF(A183='Données projet'!$A$114,'Données projet'!$B$114,BY182+BX183-CG182)))</f>
        <v>456.53999999999968</v>
      </c>
      <c r="BZ183" s="13">
        <f>BY183*VLOOKUP('Données projet'!$B$12,Paramètres!$A$1:$I$89,3,0)*VLOOKUP('Données projet'!$B$12,Paramètres!$A$1:$I$89,5,0)</f>
        <v>519.90775199999962</v>
      </c>
      <c r="CA183" s="13">
        <f t="shared" si="170"/>
        <v>115.70297805948883</v>
      </c>
      <c r="CB183" s="20">
        <f t="shared" si="171"/>
        <v>1107.0220215202758</v>
      </c>
      <c r="CC183" s="59">
        <f t="shared" si="119"/>
        <v>1400.355354853609</v>
      </c>
      <c r="CD183" s="59">
        <f ca="1">AVERAGE(OFFSET($CC$3,0,0,'Données projet'!$E$12+1,1))-AVERAGE(OFFSET($H$3,0,0,'Données projet'!$E$12+1,1))</f>
        <v>593.28343396240075</v>
      </c>
      <c r="CE183" s="59">
        <f t="shared" si="148"/>
        <v>289.66477662068695</v>
      </c>
      <c r="CF183" s="15">
        <f>IF(ISNA(VLOOKUP(A183,'Données projet'!$A$113:$I$133,3,0)),0,VLOOKUP(A183,'Données projet'!$A$113:$I$133,3,0))</f>
        <v>13</v>
      </c>
      <c r="CG183" s="15">
        <f>IF(ISNA(VLOOKUP(A183,'Données projet'!$A$113:$I$133,4,0)),0,VLOOKUP(A183,'Données projet'!$A$113:$I$133,4,0))</f>
        <v>175.59000000000003</v>
      </c>
      <c r="CH183" s="16">
        <f>IF(ISNA(VLOOKUP(A183,'Données projet'!$A$113:$I$133,5,0)),0%,VLOOKUP(A183,'Données projet'!$A$113:$I$133,5,0)*VLOOKUP('Données projet'!$B$12,Paramètres!$A$1:$I$89,7,0))</f>
        <v>0.215</v>
      </c>
      <c r="CI183" s="16">
        <f>IF(ISNA(VLOOKUP(A183,'Données projet'!$A$113:$I$133,6,0)),0%,VLOOKUP(A183,'Données projet'!$A$113:$I$133,6,0)*VLOOKUP('Données projet'!$B$12,Paramètres!$A$1:$I$89,7,0))</f>
        <v>8.6000000000000007E-2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92.132379690333735</v>
      </c>
      <c r="CL183" s="21">
        <f>EXP(-LN(2)/25)*CL182+(1-EXP(-LN(2)/25))/(LN(2)/25)*Calculateur!CG183*Calculateur!CI183*VLOOKUP('Données projet'!$B$12,Paramètres!$A$1:$I$89,3,0)*0.475*44/12</f>
        <v>37.652421647235556</v>
      </c>
      <c r="CM183" s="21">
        <f>EXP(-LN(2)/2)*CM182+(1-EXP(-LN(2)/2))/(LN(2)/2)*CG183*CJ183*VLOOKUP('Données projet'!$B$12,Paramètres!$A$1:$I$89,3,0)*0.475*44/12</f>
        <v>2.5303933062369001E-5</v>
      </c>
      <c r="CN183" s="22">
        <f t="shared" si="172"/>
        <v>129.78482664150235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2.2737367544323206E-13</v>
      </c>
      <c r="CU183" s="17">
        <f>CT183*VLOOKUP('Données projet'!$B$13,Paramètres!$A$1:$I$89,3,0)*VLOOKUP('Données projet'!$B$13,Paramètres!$A$1:$I$89,5,0)</f>
        <v>2.3765096557326618E-13</v>
      </c>
      <c r="CV183" s="13">
        <f t="shared" si="173"/>
        <v>3.2279907425805489E-12</v>
      </c>
      <c r="CW183" s="20">
        <f t="shared" si="174"/>
        <v>6.0359926417012276E-12</v>
      </c>
      <c r="CX183" s="59">
        <f t="shared" si="122"/>
        <v>293.33333333333934</v>
      </c>
      <c r="CY183" s="59">
        <f ca="1">AVERAGE(OFFSET($CX$3,0,0,'Données projet'!$E$13+1,1))-AVERAGE(OFFSET($H$3,0,0,'Données projet'!$E$13+1,1))</f>
        <v>260.65406541614402</v>
      </c>
      <c r="CZ183" s="59">
        <f t="shared" si="150"/>
        <v>277.63456890196886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3.0307372503623764</v>
      </c>
      <c r="DG183" s="21">
        <f>EXP(-LN(2)/25)*DG182+(1-EXP(-LN(2)/25))/(LN(2)/25)*Calculateur!DB183*Calculateur!DD183*VLOOKUP('Données projet'!$B$13,Paramètres!$A$1:$I$89,3,0)*0.475*44/12</f>
        <v>4.085498704430198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7.1162359547925744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2.2737367544323206E-13</v>
      </c>
      <c r="DP183" s="17">
        <f>DO183*VLOOKUP('Données projet'!$B$14,Paramètres!$A$1:$I$89,3,0)*VLOOKUP('Données projet'!$B$14,Paramètres!$A$1:$I$89,5,0)</f>
        <v>1.4897523215040565E-13</v>
      </c>
      <c r="DQ183" s="13">
        <f t="shared" si="176"/>
        <v>2.136562777003313E-12</v>
      </c>
      <c r="DR183" s="20">
        <f t="shared" si="177"/>
        <v>3.9806453659427267E-12</v>
      </c>
      <c r="DS183" s="59">
        <f t="shared" si="125"/>
        <v>293.33333333333729</v>
      </c>
      <c r="DT183" s="59">
        <f ca="1">AVERAGE(OFFSET($DS$3,0,0,'Données projet'!$E$14+1,1))-AVERAGE(OFFSET($H$3,0,0,'Données projet'!$E$14+1,1))</f>
        <v>181.4272795535777</v>
      </c>
      <c r="DU183" s="59">
        <f t="shared" si="152"/>
        <v>187.67131775419904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2.8441406020041855</v>
      </c>
      <c r="EB183" s="21">
        <f>EXP(-LN(2)/25)*EB182+(1-EXP(-LN(2)/25))/(LN(2)/25)*Calculateur!DW183*Calculateur!DY183*VLOOKUP('Données projet'!$B$14,Paramètres!$A$1:$I$89,3,0)*0.475*44/12</f>
        <v>1.4879588065359395</v>
      </c>
      <c r="EC183" s="21">
        <f>EXP(-LN(2)/2)*EC182+(1-EXP(-LN(2)/2))/(LN(2)/2)*DW183*DZ183*VLOOKUP('Données projet'!$B$14,Paramètres!$A$1:$I$89,3,0)*0.475*44/12</f>
        <v>7.1315553347217367E-13</v>
      </c>
      <c r="ED183" s="22">
        <f t="shared" si="178"/>
        <v>4.332099408540838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9.2222762759774927E-14</v>
      </c>
      <c r="EL183" s="13">
        <f t="shared" si="179"/>
        <v>1.3985662224947967E-12</v>
      </c>
      <c r="EM183" s="20">
        <f t="shared" si="180"/>
        <v>2.5964574826517121E-12</v>
      </c>
      <c r="EN183" s="59">
        <f t="shared" si="128"/>
        <v>293.33333333333593</v>
      </c>
      <c r="EO183" s="59">
        <f ca="1">AVERAGE(OFFSET($EN$3,0,0,'Données projet'!$E$15+1,1))-AVERAGE(OFFSET($H$3,0,0,'Données projet'!$E$15+1,1))</f>
        <v>159.68591355116837</v>
      </c>
      <c r="EP183" s="59">
        <f t="shared" si="154"/>
        <v>284.32631786390112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0.91148796468440041</v>
      </c>
      <c r="EW183" s="21">
        <f>EXP(-LN(2)/25)*EW182+(1-EXP(-LN(2)/25))/(LN(2)/25)*Calculateur!ER183*Calculateur!ET183*VLOOKUP('Données projet'!$B$15,Paramètres!$A$1:$I$89,3,0)*0.475*44/12</f>
        <v>0.39832699428366747</v>
      </c>
      <c r="EX183" s="21">
        <f>EXP(-LN(2)/2)*EX182+(1-EXP(-LN(2)/2))/(LN(2)/2)*ER183*EU183*VLOOKUP('Données projet'!$B$15,Paramètres!$A$1:$I$89,3,0)*0.475*44/12</f>
        <v>2.4718212362953014E-20</v>
      </c>
      <c r="EY183" s="22">
        <f t="shared" si="181"/>
        <v>1.3098149589680679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-1.3567387213697657E-13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299.10536994156814</v>
      </c>
      <c r="FK183" s="59">
        <f t="shared" si="156"/>
        <v>292.57799203101769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5.6064651248367046</v>
      </c>
      <c r="FR183" s="21">
        <f>EXP(-LN(2)/25)*FR182+(1-EXP(-LN(2)/25))/(LN(2)/25)*Calculateur!FM183*Calculateur!FO183*VLOOKUP('Données projet'!$B$16,Paramètres!$A$1:$I$89,3,0)*0.475*44/12</f>
        <v>2.6476295874658238</v>
      </c>
      <c r="FS183" s="21">
        <f>EXP(-LN(2)/2)*FS182+(1-EXP(-LN(2)/2))/(LN(2)/2)*FM183*FP183*VLOOKUP('Données projet'!$B$16,Paramètres!$A$1:$I$89,3,0)*0.475*44/12</f>
        <v>4.6167458110226623E-14</v>
      </c>
      <c r="FT183" s="22">
        <f t="shared" si="184"/>
        <v>8.2540947123025745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5.6843418860808015E-14</v>
      </c>
      <c r="GA183" s="17">
        <f>FZ183*VLOOKUP('Données projet'!$B$17,Paramètres!$A$1:$I$89,3,0)*VLOOKUP('Données projet'!$B$17,Paramètres!$A$1:$I$89,5,0)</f>
        <v>5.1431925385259088E-14</v>
      </c>
      <c r="GB183" s="13">
        <f t="shared" si="185"/>
        <v>8.3482866290946129E-13</v>
      </c>
      <c r="GC183" s="20">
        <f t="shared" si="186"/>
        <v>1.5435705246133045E-12</v>
      </c>
      <c r="GD183" s="59">
        <f t="shared" si="134"/>
        <v>293.33333333333485</v>
      </c>
      <c r="GE183" s="59">
        <f ca="1">AVERAGE(OFFSET($GD$3,0,0,'Données projet'!$E$17+1,1))-AVERAGE(OFFSET($H$3,0,0,'Données projet'!$E$17+1,1))</f>
        <v>204.78565758021779</v>
      </c>
      <c r="GF183" s="59">
        <f t="shared" si="158"/>
        <v>287.25131613242439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1.0771265562337029</v>
      </c>
      <c r="GM183" s="21">
        <f>EXP(-LN(2)/25)*GM182+(1-EXP(-LN(2)/25))/(LN(2)/25)*Calculateur!GH183*Calculateur!GJ183*VLOOKUP('Données projet'!$B$17,Paramètres!$A$1:$I$89,3,0)*0.475*44/12</f>
        <v>0.31301921835510016</v>
      </c>
      <c r="GN183" s="21">
        <f>EXP(-LN(2)/2)*GN182+(1-EXP(-LN(2)/2))/(LN(2)/2)*GH183*GK183*VLOOKUP('Données projet'!$B$17,Paramètres!$A$1:$I$89,3,0)*0.475*44/12</f>
        <v>6.6078187232734717E-20</v>
      </c>
      <c r="GO183" s="21">
        <f t="shared" si="187"/>
        <v>1.3901457745888031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5.6843418860808015E-14</v>
      </c>
      <c r="GV183" s="17">
        <f>GU183*VLOOKUP('Données projet'!$B$18,Paramètres!$A$1:$I$89,3,0)*VLOOKUP('Données projet'!$B$18,Paramètres!$A$1:$I$89,5,0)</f>
        <v>4.4337866711430253E-14</v>
      </c>
      <c r="GW183" s="13">
        <f t="shared" si="188"/>
        <v>7.3222115536967035E-13</v>
      </c>
      <c r="GX183" s="20">
        <f t="shared" si="189"/>
        <v>1.3525069634579169E-12</v>
      </c>
      <c r="GY183" s="59">
        <f t="shared" si="137"/>
        <v>293.33333333333468</v>
      </c>
      <c r="GZ183" s="59">
        <f ca="1">AVERAGE(OFFSET($GY$3,0,0,'Données projet'!$E$18+1,1))-AVERAGE(OFFSET($H$3,0,0,'Données projet'!$E$18+1,1))</f>
        <v>288.82868507674738</v>
      </c>
      <c r="HA183" s="59">
        <f t="shared" si="160"/>
        <v>283.48738729114024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4.7726433927864793</v>
      </c>
      <c r="HH183" s="21">
        <f>EXP(-LN(2)/25)*HH182+(1-EXP(-LN(2)/25))/(LN(2)/25)*Calculateur!HC183*Calculateur!HE183*VLOOKUP('Données projet'!$B$18,Paramètres!$A$1:$I$89,3,0)*0.475*44/12</f>
        <v>1.9504204847863336</v>
      </c>
      <c r="HI183" s="21">
        <f>EXP(-LN(2)/2)*HI182+(1-EXP(-LN(2)/2))/(LN(2)/2)*HC183*HF183*VLOOKUP('Données projet'!$B$18,Paramètres!$A$1:$I$89,3,0)*0.475*44/12</f>
        <v>1.1924071427181067E-15</v>
      </c>
      <c r="HJ183" s="22">
        <f t="shared" si="190"/>
        <v>6.7230638775728133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349.71285006949597</v>
      </c>
      <c r="T184" s="59">
        <f t="shared" si="142"/>
        <v>258.51550516456842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20.737835757330362</v>
      </c>
      <c r="AA184" s="21">
        <f>EXP(-LN(2)/25)*AA183+(1-EXP(-LN(2)/25))/(LN(2)/25)*Calculateur!V184*Calculateur!X184*VLOOKUP('Données projet'!$B$9,Paramètres!$A$1:$I$89,3,0)*0.475*44/12</f>
        <v>3.1455887614723204</v>
      </c>
      <c r="AB184" s="21">
        <f>EXP(-LN(2)/2)*AB183+(1-EXP(-LN(2)/2))/(LN(2)/2)*V184*Y184*VLOOKUP('Données projet'!$B$9,Paramètres!$A$1:$I$89,3,0)*0.475*44/12</f>
        <v>4.4412667026244825E-14</v>
      </c>
      <c r="AC184" s="22">
        <f t="shared" si="163"/>
        <v>23.88342451880273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2.5579538487363607E-13</v>
      </c>
      <c r="AJ184" s="13">
        <f>AI184*VLOOKUP('Données projet'!$B$10,Paramètres!$A$1:$I$89,3,0)*VLOOKUP('Données projet'!$B$10,Paramètres!$A$1:$I$89,5,0)</f>
        <v>2.4341488824575211E-13</v>
      </c>
      <c r="AK184" s="13">
        <f t="shared" si="164"/>
        <v>3.2970717324875541E-12</v>
      </c>
      <c r="AL184" s="20">
        <f t="shared" si="165"/>
        <v>6.1663475311105072E-12</v>
      </c>
      <c r="AM184" s="59">
        <f t="shared" si="113"/>
        <v>293.33333333333945</v>
      </c>
      <c r="AN184" s="59">
        <f ca="1">AVERAGE(OFFSET($AM$3,0,0,'Données projet'!$E$10+1,1))-AVERAGE(OFFSET($H$3,0,0,'Données projet'!$E$10+1,1))</f>
        <v>449.28947235329758</v>
      </c>
      <c r="AO184" s="59">
        <f t="shared" si="144"/>
        <v>289.36994109443964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43.27212422866598</v>
      </c>
      <c r="AV184" s="21">
        <f>EXP(-LN(2)/25)*AV183+(1-EXP(-LN(2)/25))/(LN(2)/25)*Calculateur!AQ184*Calculateur!AS184*VLOOKUP('Données projet'!$B$10,Paramètres!$A$1:$I$89,3,0)*0.475*44/12</f>
        <v>6.0204107701689109</v>
      </c>
      <c r="AW184" s="21">
        <f>EXP(-LN(2)/2)*AW183+(1-EXP(-LN(2)/2))/(LN(2)/2)*AQ184*AT184*VLOOKUP('Données projet'!$B$10,Paramètres!$A$1:$I$89,3,0)*0.475*44/12</f>
        <v>1.5091614714250303E-7</v>
      </c>
      <c r="AX184" s="21">
        <f t="shared" si="166"/>
        <v>49.292535149751039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169.09204000000074</v>
      </c>
      <c r="BF184" s="13">
        <f t="shared" si="167"/>
        <v>42.886607412438856</v>
      </c>
      <c r="BG184" s="20">
        <f t="shared" si="168"/>
        <v>369.1961442433323</v>
      </c>
      <c r="BH184" s="59">
        <f t="shared" si="116"/>
        <v>662.52947757666561</v>
      </c>
      <c r="BI184" s="59">
        <f ca="1">AVERAGE(OFFSET($BH$3,0,0,'Données projet'!$E$11+1,1))-AVERAGE(OFFSET($H$3,0,0,'Données projet'!$E$11+1,1))</f>
        <v>635.71275911100679</v>
      </c>
      <c r="BJ184" s="59">
        <f t="shared" si="146"/>
        <v>281.7776857269169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121.80317115577186</v>
      </c>
      <c r="BQ184" s="21">
        <f>EXP(-LN(2)/25)*BQ183+(1-EXP(-LN(2)/25))/(LN(2)/25)*Calculateur!BL184*Calculateur!BN184*VLOOKUP('Données projet'!$B$11,Paramètres!$A$1:$I$89,3,0)*0.475*44/12</f>
        <v>22.873415143244397</v>
      </c>
      <c r="BR184" s="21">
        <f>EXP(-LN(2)/2)*BR183+(1-EXP(-LN(2)/2))/(LN(2)/2)*BL184*BO184*VLOOKUP('Données projet'!$B$11,Paramètres!$A$1:$I$89,3,0)*0.475*44/12</f>
        <v>4.9034694548583673</v>
      </c>
      <c r="BS184" s="22">
        <f t="shared" si="169"/>
        <v>149.58005575387463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4.7974999999999994</v>
      </c>
      <c r="BY184" s="12">
        <f>IF('Données projet'!$A$114&gt;35,BY183+BX184-CG183,IF(A184&lt;'Données projet'!$A$114,$BV$205^A184,IF(A184='Données projet'!$A$114,'Données projet'!$B$114,BY183+BX184-CG183)))</f>
        <v>285.74749999999966</v>
      </c>
      <c r="BZ184" s="13">
        <f>BY184*VLOOKUP('Données projet'!$B$12,Paramètres!$A$1:$I$89,3,0)*VLOOKUP('Données projet'!$B$12,Paramètres!$A$1:$I$89,5,0)</f>
        <v>325.40925299999964</v>
      </c>
      <c r="CA184" s="13">
        <f t="shared" si="170"/>
        <v>76.477753575181453</v>
      </c>
      <c r="CB184" s="20">
        <f t="shared" si="171"/>
        <v>699.95320311844034</v>
      </c>
      <c r="CC184" s="59">
        <f t="shared" si="119"/>
        <v>993.2865364517736</v>
      </c>
      <c r="CD184" s="59">
        <f ca="1">AVERAGE(OFFSET($CC$3,0,0,'Données projet'!$E$12+1,1))-AVERAGE(OFFSET($H$3,0,0,'Données projet'!$E$12+1,1))</f>
        <v>593.28343396240075</v>
      </c>
      <c r="CE184" s="59">
        <f t="shared" si="148"/>
        <v>289.66477662068695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90.325719919809089</v>
      </c>
      <c r="CL184" s="21">
        <f>EXP(-LN(2)/25)*CL183+(1-EXP(-LN(2)/25))/(LN(2)/25)*Calculateur!CG184*Calculateur!CI184*VLOOKUP('Données projet'!$B$12,Paramètres!$A$1:$I$89,3,0)*0.475*44/12</f>
        <v>36.622814197237098</v>
      </c>
      <c r="CM184" s="21">
        <f>EXP(-LN(2)/2)*CM183+(1-EXP(-LN(2)/2))/(LN(2)/2)*CG184*CJ184*VLOOKUP('Données projet'!$B$12,Paramètres!$A$1:$I$89,3,0)*0.475*44/12</f>
        <v>1.7892582659091603E-5</v>
      </c>
      <c r="CN184" s="22">
        <f t="shared" si="172"/>
        <v>126.94855200962886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2.2737367544323206E-13</v>
      </c>
      <c r="CU184" s="17">
        <f>CT184*VLOOKUP('Données projet'!$B$13,Paramètres!$A$1:$I$89,3,0)*VLOOKUP('Données projet'!$B$13,Paramètres!$A$1:$I$89,5,0)</f>
        <v>2.3765096557326618E-13</v>
      </c>
      <c r="CV184" s="13">
        <f t="shared" si="173"/>
        <v>3.2279907425805489E-12</v>
      </c>
      <c r="CW184" s="20">
        <f t="shared" si="174"/>
        <v>6.0359926417012276E-12</v>
      </c>
      <c r="CX184" s="59">
        <f t="shared" si="122"/>
        <v>293.33333333333934</v>
      </c>
      <c r="CY184" s="59">
        <f ca="1">AVERAGE(OFFSET($CX$3,0,0,'Données projet'!$E$13+1,1))-AVERAGE(OFFSET($H$3,0,0,'Données projet'!$E$13+1,1))</f>
        <v>260.65406541614402</v>
      </c>
      <c r="CZ184" s="59">
        <f t="shared" si="150"/>
        <v>277.63456890196886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2.9713063414499619</v>
      </c>
      <c r="DG184" s="21">
        <f>EXP(-LN(2)/25)*DG183+(1-EXP(-LN(2)/25))/(LN(2)/25)*Calculateur!DB184*Calculateur!DD184*VLOOKUP('Données projet'!$B$13,Paramètres!$A$1:$I$89,3,0)*0.475*44/12</f>
        <v>3.9737805275105149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6.9450868689604768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1.4897523215040565E-13</v>
      </c>
      <c r="DQ184" s="13">
        <f t="shared" si="176"/>
        <v>2.136562777003313E-12</v>
      </c>
      <c r="DR184" s="20">
        <f t="shared" si="177"/>
        <v>3.9806453659427267E-12</v>
      </c>
      <c r="DS184" s="59">
        <f t="shared" si="125"/>
        <v>293.33333333333729</v>
      </c>
      <c r="DT184" s="59">
        <f ca="1">AVERAGE(OFFSET($DS$3,0,0,'Données projet'!$E$14+1,1))-AVERAGE(OFFSET($H$3,0,0,'Données projet'!$E$14+1,1))</f>
        <v>181.4272795535777</v>
      </c>
      <c r="DU184" s="59">
        <f t="shared" si="152"/>
        <v>187.67131775419904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2.7883687395533578</v>
      </c>
      <c r="EB184" s="21">
        <f>EXP(-LN(2)/25)*EB183+(1-EXP(-LN(2)/25))/(LN(2)/25)*Calculateur!DW184*Calculateur!DY184*VLOOKUP('Données projet'!$B$14,Paramètres!$A$1:$I$89,3,0)*0.475*44/12</f>
        <v>1.4472704947228614</v>
      </c>
      <c r="EC184" s="21">
        <f>EXP(-LN(2)/2)*EC183+(1-EXP(-LN(2)/2))/(LN(2)/2)*DW184*DZ184*VLOOKUP('Données projet'!$B$14,Paramètres!$A$1:$I$89,3,0)*0.475*44/12</f>
        <v>5.0427711375888387E-13</v>
      </c>
      <c r="ED184" s="22">
        <f t="shared" si="178"/>
        <v>4.2356392342767233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9.2222762759774927E-14</v>
      </c>
      <c r="EL184" s="13">
        <f t="shared" si="179"/>
        <v>1.3985662224947967E-12</v>
      </c>
      <c r="EM184" s="20">
        <f t="shared" si="180"/>
        <v>2.5964574826517121E-12</v>
      </c>
      <c r="EN184" s="59">
        <f t="shared" si="128"/>
        <v>293.33333333333593</v>
      </c>
      <c r="EO184" s="59">
        <f ca="1">AVERAGE(OFFSET($EN$3,0,0,'Données projet'!$E$15+1,1))-AVERAGE(OFFSET($H$3,0,0,'Données projet'!$E$15+1,1))</f>
        <v>159.68591355116837</v>
      </c>
      <c r="EP184" s="59">
        <f t="shared" si="154"/>
        <v>284.32631786390112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0.89361424164970205</v>
      </c>
      <c r="EW184" s="21">
        <f>EXP(-LN(2)/25)*EW183+(1-EXP(-LN(2)/25))/(LN(2)/25)*Calculateur!ER184*Calculateur!ET184*VLOOKUP('Données projet'!$B$15,Paramètres!$A$1:$I$89,3,0)*0.475*44/12</f>
        <v>0.38743472167787435</v>
      </c>
      <c r="EX184" s="21">
        <f>EXP(-LN(2)/2)*EX183+(1-EXP(-LN(2)/2))/(LN(2)/2)*ER184*EU184*VLOOKUP('Données projet'!$B$15,Paramètres!$A$1:$I$89,3,0)*0.475*44/12</f>
        <v>1.747841558065323E-20</v>
      </c>
      <c r="EY184" s="22">
        <f t="shared" si="181"/>
        <v>1.2810489633275763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-1.3567387213697657E-13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299.10536994156814</v>
      </c>
      <c r="FK184" s="59">
        <f t="shared" si="156"/>
        <v>292.57799203101769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5.4965257633447253</v>
      </c>
      <c r="FR184" s="21">
        <f>EXP(-LN(2)/25)*FR183+(1-EXP(-LN(2)/25))/(LN(2)/25)*Calculateur!FM184*Calculateur!FO184*VLOOKUP('Données projet'!$B$16,Paramètres!$A$1:$I$89,3,0)*0.475*44/12</f>
        <v>2.5752300171637819</v>
      </c>
      <c r="FS184" s="21">
        <f>EXP(-LN(2)/2)*FS183+(1-EXP(-LN(2)/2))/(LN(2)/2)*FM184*FP184*VLOOKUP('Données projet'!$B$16,Paramètres!$A$1:$I$89,3,0)*0.475*44/12</f>
        <v>3.2645322699887115E-14</v>
      </c>
      <c r="FT184" s="22">
        <f t="shared" si="184"/>
        <v>8.0717557805085391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5.6843418860808015E-14</v>
      </c>
      <c r="GA184" s="17">
        <f>FZ184*VLOOKUP('Données projet'!$B$17,Paramètres!$A$1:$I$89,3,0)*VLOOKUP('Données projet'!$B$17,Paramètres!$A$1:$I$89,5,0)</f>
        <v>5.1431925385259088E-14</v>
      </c>
      <c r="GB184" s="13">
        <f t="shared" si="185"/>
        <v>8.3482866290946129E-13</v>
      </c>
      <c r="GC184" s="20">
        <f t="shared" si="186"/>
        <v>1.5435705246133045E-12</v>
      </c>
      <c r="GD184" s="59">
        <f t="shared" si="134"/>
        <v>293.33333333333485</v>
      </c>
      <c r="GE184" s="59">
        <f ca="1">AVERAGE(OFFSET($GD$3,0,0,'Données projet'!$E$17+1,1))-AVERAGE(OFFSET($H$3,0,0,'Données projet'!$E$17+1,1))</f>
        <v>204.78565758021779</v>
      </c>
      <c r="GF184" s="59">
        <f t="shared" si="158"/>
        <v>287.25131613242439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1.0560047614482877</v>
      </c>
      <c r="GM184" s="21">
        <f>EXP(-LN(2)/25)*GM183+(1-EXP(-LN(2)/25))/(LN(2)/25)*Calculateur!GH184*Calculateur!GJ184*VLOOKUP('Données projet'!$B$17,Paramètres!$A$1:$I$89,3,0)*0.475*44/12</f>
        <v>0.30445969136821466</v>
      </c>
      <c r="GN184" s="21">
        <f>EXP(-LN(2)/2)*GN183+(1-EXP(-LN(2)/2))/(LN(2)/2)*GH184*GK184*VLOOKUP('Données projet'!$B$17,Paramètres!$A$1:$I$89,3,0)*0.475*44/12</f>
        <v>4.6724334280781067E-20</v>
      </c>
      <c r="GO184" s="21">
        <f t="shared" si="187"/>
        <v>1.3604644528165024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5.6843418860808015E-14</v>
      </c>
      <c r="GV184" s="17">
        <f>GU184*VLOOKUP('Données projet'!$B$18,Paramètres!$A$1:$I$89,3,0)*VLOOKUP('Données projet'!$B$18,Paramètres!$A$1:$I$89,5,0)</f>
        <v>4.4337866711430253E-14</v>
      </c>
      <c r="GW184" s="13">
        <f t="shared" si="188"/>
        <v>7.3222115536967035E-13</v>
      </c>
      <c r="GX184" s="20">
        <f t="shared" si="189"/>
        <v>1.3525069634579169E-12</v>
      </c>
      <c r="GY184" s="59">
        <f t="shared" si="137"/>
        <v>293.33333333333468</v>
      </c>
      <c r="GZ184" s="59">
        <f ca="1">AVERAGE(OFFSET($GY$3,0,0,'Données projet'!$E$18+1,1))-AVERAGE(OFFSET($H$3,0,0,'Données projet'!$E$18+1,1))</f>
        <v>288.82868507674738</v>
      </c>
      <c r="HA184" s="59">
        <f t="shared" si="160"/>
        <v>283.48738729114024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4.6790547668789664</v>
      </c>
      <c r="HH184" s="21">
        <f>EXP(-LN(2)/25)*HH183+(1-EXP(-LN(2)/25))/(LN(2)/25)*Calculateur!HC184*Calculateur!HE184*VLOOKUP('Données projet'!$B$18,Paramètres!$A$1:$I$89,3,0)*0.475*44/12</f>
        <v>1.8970861340616958</v>
      </c>
      <c r="HI184" s="21">
        <f>EXP(-LN(2)/2)*HI183+(1-EXP(-LN(2)/2))/(LN(2)/2)*HC184*HF184*VLOOKUP('Données projet'!$B$18,Paramètres!$A$1:$I$89,3,0)*0.475*44/12</f>
        <v>8.4315917655124865E-16</v>
      </c>
      <c r="HJ184" s="22">
        <f t="shared" si="190"/>
        <v>6.5761409009406631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349.71285006949597</v>
      </c>
      <c r="T185" s="59">
        <f t="shared" si="142"/>
        <v>258.51550516456842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20.331179446959958</v>
      </c>
      <c r="AA185" s="21">
        <f>EXP(-LN(2)/25)*AA184+(1-EXP(-LN(2)/25))/(LN(2)/25)*Calculateur!V185*Calculateur!X185*VLOOKUP('Données projet'!$B$9,Paramètres!$A$1:$I$89,3,0)*0.475*44/12</f>
        <v>3.0595724713705361</v>
      </c>
      <c r="AB185" s="21">
        <f>EXP(-LN(2)/2)*AB184+(1-EXP(-LN(2)/2))/(LN(2)/2)*V185*Y185*VLOOKUP('Données projet'!$B$9,Paramètres!$A$1:$I$89,3,0)*0.475*44/12</f>
        <v>3.1404498024837893E-14</v>
      </c>
      <c r="AC185" s="22">
        <f t="shared" si="163"/>
        <v>23.390751918330526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2.5579538487363607E-13</v>
      </c>
      <c r="AJ185" s="13">
        <f>AI185*VLOOKUP('Données projet'!$B$10,Paramètres!$A$1:$I$89,3,0)*VLOOKUP('Données projet'!$B$10,Paramètres!$A$1:$I$89,5,0)</f>
        <v>2.4341488824575211E-13</v>
      </c>
      <c r="AK185" s="13">
        <f t="shared" si="164"/>
        <v>3.2970717324875541E-12</v>
      </c>
      <c r="AL185" s="20">
        <f t="shared" si="165"/>
        <v>6.1663475311105072E-12</v>
      </c>
      <c r="AM185" s="59">
        <f t="shared" si="113"/>
        <v>293.33333333333945</v>
      </c>
      <c r="AN185" s="59">
        <f ca="1">AVERAGE(OFFSET($AM$3,0,0,'Données projet'!$E$10+1,1))-AVERAGE(OFFSET($H$3,0,0,'Données projet'!$E$10+1,1))</f>
        <v>449.28947235329758</v>
      </c>
      <c r="AO185" s="59">
        <f t="shared" si="144"/>
        <v>289.36994109443964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42.423584265931488</v>
      </c>
      <c r="AV185" s="21">
        <f>EXP(-LN(2)/25)*AV184+(1-EXP(-LN(2)/25))/(LN(2)/25)*Calculateur!AQ185*Calculateur!AS185*VLOOKUP('Données projet'!$B$10,Paramètres!$A$1:$I$89,3,0)*0.475*44/12</f>
        <v>5.8557823210589994</v>
      </c>
      <c r="AW185" s="21">
        <f>EXP(-LN(2)/2)*AW184+(1-EXP(-LN(2)/2))/(LN(2)/2)*AQ185*AT185*VLOOKUP('Données projet'!$B$10,Paramètres!$A$1:$I$89,3,0)*0.475*44/12</f>
        <v>1.067138310350107E-7</v>
      </c>
      <c r="AX185" s="21">
        <f t="shared" si="166"/>
        <v>48.279366693704326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171.16704800000073</v>
      </c>
      <c r="BF185" s="13">
        <f t="shared" si="167"/>
        <v>43.351299348190551</v>
      </c>
      <c r="BG185" s="20">
        <f t="shared" si="168"/>
        <v>373.61945496476648</v>
      </c>
      <c r="BH185" s="59">
        <f t="shared" si="116"/>
        <v>666.95278829809979</v>
      </c>
      <c r="BI185" s="59">
        <f ca="1">AVERAGE(OFFSET($BH$3,0,0,'Données projet'!$E$11+1,1))-AVERAGE(OFFSET($H$3,0,0,'Données projet'!$E$11+1,1))</f>
        <v>635.71275911100679</v>
      </c>
      <c r="BJ185" s="59">
        <f t="shared" si="146"/>
        <v>281.7776857269169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119.4146852620058</v>
      </c>
      <c r="BQ185" s="21">
        <f>EXP(-LN(2)/25)*BQ184+(1-EXP(-LN(2)/25))/(LN(2)/25)*Calculateur!BL185*Calculateur!BN185*VLOOKUP('Données projet'!$B$11,Paramètres!$A$1:$I$89,3,0)*0.475*44/12</f>
        <v>22.247940403291754</v>
      </c>
      <c r="BR185" s="21">
        <f>EXP(-LN(2)/2)*BR184+(1-EXP(-LN(2)/2))/(LN(2)/2)*BL185*BO185*VLOOKUP('Données projet'!$B$11,Paramètres!$A$1:$I$89,3,0)*0.475*44/12</f>
        <v>3.4672765028714552</v>
      </c>
      <c r="BS185" s="22">
        <f t="shared" si="169"/>
        <v>145.129902168169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4.7974999999999994</v>
      </c>
      <c r="BY185" s="12">
        <f>IF('Données projet'!$A$114&gt;35,BY184+BX185-CG184,IF(A185&lt;'Données projet'!$A$114,$BV$205^A185,IF(A185='Données projet'!$A$114,'Données projet'!$B$114,BY184+BX185-CG184)))</f>
        <v>290.54499999999967</v>
      </c>
      <c r="BZ185" s="13">
        <f>BY185*VLOOKUP('Données projet'!$B$12,Paramètres!$A$1:$I$89,3,0)*VLOOKUP('Données projet'!$B$12,Paramètres!$A$1:$I$89,5,0)</f>
        <v>330.87264599999963</v>
      </c>
      <c r="CA185" s="13">
        <f t="shared" si="170"/>
        <v>77.611201134728788</v>
      </c>
      <c r="CB185" s="20">
        <f t="shared" si="171"/>
        <v>711.44270042631854</v>
      </c>
      <c r="CC185" s="59">
        <f t="shared" si="119"/>
        <v>1004.7760337596519</v>
      </c>
      <c r="CD185" s="59">
        <f ca="1">AVERAGE(OFFSET($CC$3,0,0,'Données projet'!$E$12+1,1))-AVERAGE(OFFSET($H$3,0,0,'Données projet'!$E$12+1,1))</f>
        <v>593.28343396240075</v>
      </c>
      <c r="CE185" s="59">
        <f t="shared" si="148"/>
        <v>289.66477662068695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88.554487645430783</v>
      </c>
      <c r="CL185" s="21">
        <f>EXP(-LN(2)/25)*CL184+(1-EXP(-LN(2)/25))/(LN(2)/25)*Calculateur!CG185*Calculateur!CI185*VLOOKUP('Données projet'!$B$12,Paramètres!$A$1:$I$89,3,0)*0.475*44/12</f>
        <v>35.62136141710355</v>
      </c>
      <c r="CM185" s="21">
        <f>EXP(-LN(2)/2)*CM184+(1-EXP(-LN(2)/2))/(LN(2)/2)*CG185*CJ185*VLOOKUP('Données projet'!$B$12,Paramètres!$A$1:$I$89,3,0)*0.475*44/12</f>
        <v>1.2651966531184501E-5</v>
      </c>
      <c r="CN185" s="22">
        <f t="shared" si="172"/>
        <v>124.17586171450085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2.2737367544323206E-13</v>
      </c>
      <c r="CU185" s="17">
        <f>CT185*VLOOKUP('Données projet'!$B$13,Paramètres!$A$1:$I$89,3,0)*VLOOKUP('Données projet'!$B$13,Paramètres!$A$1:$I$89,5,0)</f>
        <v>2.3765096557326618E-13</v>
      </c>
      <c r="CV185" s="13">
        <f t="shared" si="173"/>
        <v>3.2279907425805489E-12</v>
      </c>
      <c r="CW185" s="20">
        <f t="shared" si="174"/>
        <v>6.0359926417012276E-12</v>
      </c>
      <c r="CX185" s="59">
        <f t="shared" si="122"/>
        <v>293.33333333333934</v>
      </c>
      <c r="CY185" s="59">
        <f ca="1">AVERAGE(OFFSET($CX$3,0,0,'Données projet'!$E$13+1,1))-AVERAGE(OFFSET($H$3,0,0,'Données projet'!$E$13+1,1))</f>
        <v>260.65406541614402</v>
      </c>
      <c r="CZ185" s="59">
        <f t="shared" si="150"/>
        <v>277.63456890196886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2.913040836412045</v>
      </c>
      <c r="DG185" s="21">
        <f>EXP(-LN(2)/25)*DG184+(1-EXP(-LN(2)/25))/(LN(2)/25)*Calculateur!DB185*Calculateur!DD185*VLOOKUP('Données projet'!$B$13,Paramètres!$A$1:$I$89,3,0)*0.475*44/12</f>
        <v>3.8651172900137043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6.7781581264257493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1.4897523215040565E-13</v>
      </c>
      <c r="DQ185" s="13">
        <f t="shared" si="176"/>
        <v>2.136562777003313E-12</v>
      </c>
      <c r="DR185" s="20">
        <f t="shared" si="177"/>
        <v>3.9806453659427267E-12</v>
      </c>
      <c r="DS185" s="59">
        <f t="shared" si="125"/>
        <v>293.33333333333729</v>
      </c>
      <c r="DT185" s="59">
        <f ca="1">AVERAGE(OFFSET($DS$3,0,0,'Données projet'!$E$14+1,1))-AVERAGE(OFFSET($H$3,0,0,'Données projet'!$E$14+1,1))</f>
        <v>181.4272795535777</v>
      </c>
      <c r="DU185" s="59">
        <f t="shared" si="152"/>
        <v>187.67131775419904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2.7336905293077138</v>
      </c>
      <c r="EB185" s="21">
        <f>EXP(-LN(2)/25)*EB184+(1-EXP(-LN(2)/25))/(LN(2)/25)*Calculateur!DW185*Calculateur!DY185*VLOOKUP('Données projet'!$B$14,Paramètres!$A$1:$I$89,3,0)*0.475*44/12</f>
        <v>1.4076948069360171</v>
      </c>
      <c r="EC185" s="21">
        <f>EXP(-LN(2)/2)*EC184+(1-EXP(-LN(2)/2))/(LN(2)/2)*DW185*DZ185*VLOOKUP('Données projet'!$B$14,Paramètres!$A$1:$I$89,3,0)*0.475*44/12</f>
        <v>3.5657776673608683E-13</v>
      </c>
      <c r="ED185" s="22">
        <f t="shared" si="178"/>
        <v>4.1413853362440873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9.2222762759774927E-14</v>
      </c>
      <c r="EL185" s="13">
        <f t="shared" si="179"/>
        <v>1.3985662224947967E-12</v>
      </c>
      <c r="EM185" s="20">
        <f t="shared" si="180"/>
        <v>2.5964574826517121E-12</v>
      </c>
      <c r="EN185" s="59">
        <f t="shared" si="128"/>
        <v>293.33333333333593</v>
      </c>
      <c r="EO185" s="59">
        <f ca="1">AVERAGE(OFFSET($EN$3,0,0,'Données projet'!$E$15+1,1))-AVERAGE(OFFSET($H$3,0,0,'Données projet'!$E$15+1,1))</f>
        <v>159.68591355116837</v>
      </c>
      <c r="EP185" s="59">
        <f t="shared" si="154"/>
        <v>284.32631786390112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0.87609101142181944</v>
      </c>
      <c r="EW185" s="21">
        <f>EXP(-LN(2)/25)*EW184+(1-EXP(-LN(2)/25))/(LN(2)/25)*Calculateur!ER185*Calculateur!ET185*VLOOKUP('Données projet'!$B$15,Paramètres!$A$1:$I$89,3,0)*0.475*44/12</f>
        <v>0.37684029883928638</v>
      </c>
      <c r="EX185" s="21">
        <f>EXP(-LN(2)/2)*EX184+(1-EXP(-LN(2)/2))/(LN(2)/2)*ER185*EU185*VLOOKUP('Données projet'!$B$15,Paramètres!$A$1:$I$89,3,0)*0.475*44/12</f>
        <v>1.2359106181476507E-20</v>
      </c>
      <c r="EY185" s="22">
        <f t="shared" si="181"/>
        <v>1.2529313102611059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-1.3567387213697657E-13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299.10536994156814</v>
      </c>
      <c r="FK185" s="59">
        <f t="shared" si="156"/>
        <v>292.57799203101769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5.3887422456752141</v>
      </c>
      <c r="FR185" s="21">
        <f>EXP(-LN(2)/25)*FR184+(1-EXP(-LN(2)/25))/(LN(2)/25)*Calculateur!FM185*Calculateur!FO185*VLOOKUP('Données projet'!$B$16,Paramètres!$A$1:$I$89,3,0)*0.475*44/12</f>
        <v>2.5048102169189774</v>
      </c>
      <c r="FS185" s="21">
        <f>EXP(-LN(2)/2)*FS184+(1-EXP(-LN(2)/2))/(LN(2)/2)*FM185*FP185*VLOOKUP('Données projet'!$B$16,Paramètres!$A$1:$I$89,3,0)*0.475*44/12</f>
        <v>2.3083729055113311E-14</v>
      </c>
      <c r="FT185" s="22">
        <f t="shared" si="184"/>
        <v>7.8935524625942151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5.6843418860808015E-14</v>
      </c>
      <c r="GA185" s="17">
        <f>FZ185*VLOOKUP('Données projet'!$B$17,Paramètres!$A$1:$I$89,3,0)*VLOOKUP('Données projet'!$B$17,Paramètres!$A$1:$I$89,5,0)</f>
        <v>5.1431925385259088E-14</v>
      </c>
      <c r="GB185" s="13">
        <f t="shared" si="185"/>
        <v>8.3482866290946129E-13</v>
      </c>
      <c r="GC185" s="20">
        <f t="shared" si="186"/>
        <v>1.5435705246133045E-12</v>
      </c>
      <c r="GD185" s="59">
        <f t="shared" si="134"/>
        <v>293.33333333333485</v>
      </c>
      <c r="GE185" s="59">
        <f ca="1">AVERAGE(OFFSET($GD$3,0,0,'Données projet'!$E$17+1,1))-AVERAGE(OFFSET($H$3,0,0,'Données projet'!$E$17+1,1))</f>
        <v>204.78565758021779</v>
      </c>
      <c r="GF185" s="59">
        <f t="shared" si="158"/>
        <v>287.25131613242439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1.0352971521755918</v>
      </c>
      <c r="GM185" s="21">
        <f>EXP(-LN(2)/25)*GM184+(1-EXP(-LN(2)/25))/(LN(2)/25)*Calculateur!GH185*Calculateur!GJ185*VLOOKUP('Données projet'!$B$17,Paramètres!$A$1:$I$89,3,0)*0.475*44/12</f>
        <v>0.29613422509691151</v>
      </c>
      <c r="GN185" s="21">
        <f>EXP(-LN(2)/2)*GN184+(1-EXP(-LN(2)/2))/(LN(2)/2)*GH185*GK185*VLOOKUP('Données projet'!$B$17,Paramètres!$A$1:$I$89,3,0)*0.475*44/12</f>
        <v>3.3039093616367358E-20</v>
      </c>
      <c r="GO185" s="21">
        <f t="shared" si="187"/>
        <v>1.3314313772725033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5.6843418860808015E-14</v>
      </c>
      <c r="GV185" s="17">
        <f>GU185*VLOOKUP('Données projet'!$B$18,Paramètres!$A$1:$I$89,3,0)*VLOOKUP('Données projet'!$B$18,Paramètres!$A$1:$I$89,5,0)</f>
        <v>4.4337866711430253E-14</v>
      </c>
      <c r="GW185" s="13">
        <f t="shared" si="188"/>
        <v>7.3222115536967035E-13</v>
      </c>
      <c r="GX185" s="20">
        <f t="shared" si="189"/>
        <v>1.3525069634579169E-12</v>
      </c>
      <c r="GY185" s="59">
        <f t="shared" si="137"/>
        <v>293.33333333333468</v>
      </c>
      <c r="GZ185" s="59">
        <f ca="1">AVERAGE(OFFSET($GY$3,0,0,'Données projet'!$E$18+1,1))-AVERAGE(OFFSET($H$3,0,0,'Données projet'!$E$18+1,1))</f>
        <v>288.82868507674738</v>
      </c>
      <c r="HA185" s="59">
        <f t="shared" si="160"/>
        <v>283.48738729114024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4.5873013568420742</v>
      </c>
      <c r="HH185" s="21">
        <f>EXP(-LN(2)/25)*HH184+(1-EXP(-LN(2)/25))/(LN(2)/25)*Calculateur!HC185*Calculateur!HE185*VLOOKUP('Données projet'!$B$18,Paramètres!$A$1:$I$89,3,0)*0.475*44/12</f>
        <v>1.8452102139623547</v>
      </c>
      <c r="HI185" s="21">
        <f>EXP(-LN(2)/2)*HI184+(1-EXP(-LN(2)/2))/(LN(2)/2)*HC185*HF185*VLOOKUP('Données projet'!$B$18,Paramètres!$A$1:$I$89,3,0)*0.475*44/12</f>
        <v>5.9620357135905337E-16</v>
      </c>
      <c r="HJ185" s="22">
        <f t="shared" si="190"/>
        <v>6.4325115708044303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349.71285006949597</v>
      </c>
      <c r="T186" s="59">
        <f t="shared" si="142"/>
        <v>258.51550516456842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19.932497418800057</v>
      </c>
      <c r="AA186" s="21">
        <f>EXP(-LN(2)/25)*AA185+(1-EXP(-LN(2)/25))/(LN(2)/25)*Calculateur!V186*Calculateur!X186*VLOOKUP('Données projet'!$B$9,Paramètres!$A$1:$I$89,3,0)*0.475*44/12</f>
        <v>2.9759083012449854</v>
      </c>
      <c r="AB186" s="21">
        <f>EXP(-LN(2)/2)*AB185+(1-EXP(-LN(2)/2))/(LN(2)/2)*V186*Y186*VLOOKUP('Données projet'!$B$9,Paramètres!$A$1:$I$89,3,0)*0.475*44/12</f>
        <v>2.2206333513122412E-14</v>
      </c>
      <c r="AC186" s="22">
        <f t="shared" si="163"/>
        <v>22.908405720045064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2.5579538487363607E-13</v>
      </c>
      <c r="AJ186" s="13">
        <f>AI186*VLOOKUP('Données projet'!$B$10,Paramètres!$A$1:$I$89,3,0)*VLOOKUP('Données projet'!$B$10,Paramètres!$A$1:$I$89,5,0)</f>
        <v>2.4341488824575211E-13</v>
      </c>
      <c r="AK186" s="13">
        <f t="shared" si="164"/>
        <v>3.2970717324875541E-12</v>
      </c>
      <c r="AL186" s="20">
        <f t="shared" si="165"/>
        <v>6.1663475311105072E-12</v>
      </c>
      <c r="AM186" s="59">
        <f t="shared" si="113"/>
        <v>293.33333333333945</v>
      </c>
      <c r="AN186" s="59">
        <f ca="1">AVERAGE(OFFSET($AM$3,0,0,'Données projet'!$E$10+1,1))-AVERAGE(OFFSET($H$3,0,0,'Données projet'!$E$10+1,1))</f>
        <v>449.28947235329758</v>
      </c>
      <c r="AO186" s="59">
        <f t="shared" si="144"/>
        <v>289.36994109443964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41.59168365430795</v>
      </c>
      <c r="AV186" s="21">
        <f>EXP(-LN(2)/25)*AV185+(1-EXP(-LN(2)/25))/(LN(2)/25)*Calculateur!AQ186*Calculateur!AS186*VLOOKUP('Données projet'!$B$10,Paramètres!$A$1:$I$89,3,0)*0.475*44/12</f>
        <v>5.6956556455474328</v>
      </c>
      <c r="AW186" s="21">
        <f>EXP(-LN(2)/2)*AW185+(1-EXP(-LN(2)/2))/(LN(2)/2)*AQ186*AT186*VLOOKUP('Données projet'!$B$10,Paramètres!$A$1:$I$89,3,0)*0.475*44/12</f>
        <v>7.5458073571251513E-8</v>
      </c>
      <c r="AX186" s="21">
        <f t="shared" si="166"/>
        <v>47.287339375313458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173.2420560000007</v>
      </c>
      <c r="BF186" s="13">
        <f t="shared" si="167"/>
        <v>43.815336010445158</v>
      </c>
      <c r="BG186" s="20">
        <f t="shared" si="168"/>
        <v>378.04162441819318</v>
      </c>
      <c r="BH186" s="59">
        <f t="shared" si="116"/>
        <v>671.37495775152649</v>
      </c>
      <c r="BI186" s="59">
        <f ca="1">AVERAGE(OFFSET($BH$3,0,0,'Données projet'!$E$11+1,1))-AVERAGE(OFFSET($H$3,0,0,'Données projet'!$E$11+1,1))</f>
        <v>635.71275911100679</v>
      </c>
      <c r="BJ186" s="59">
        <f t="shared" si="146"/>
        <v>281.7776857269169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154.13098765017864</v>
      </c>
      <c r="BQ186" s="21">
        <f>EXP(-LN(2)/25)*BQ185+(1-EXP(-LN(2)/25))/(LN(2)/25)*Calculateur!BL186*Calculateur!BN186*VLOOKUP('Données projet'!$B$11,Paramètres!$A$1:$I$89,3,0)*0.475*44/12</f>
        <v>25.740907109110182</v>
      </c>
      <c r="BR186" s="21">
        <f>EXP(-LN(2)/2)*BR185+(1-EXP(-LN(2)/2))/(LN(2)/2)*BL186*BO186*VLOOKUP('Données projet'!$B$11,Paramètres!$A$1:$I$89,3,0)*0.475*44/12</f>
        <v>10.624661856307879</v>
      </c>
      <c r="BS186" s="22">
        <f t="shared" si="169"/>
        <v>190.49655661559669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4.7974999999999994</v>
      </c>
      <c r="BY186" s="12">
        <f>IF('Données projet'!$A$114&gt;35,BY185+BX186-CG185,IF(A186&lt;'Données projet'!$A$114,$BV$205^A186,IF(A186='Données projet'!$A$114,'Données projet'!$B$114,BY185+BX186-CG185)))</f>
        <v>295.34249999999969</v>
      </c>
      <c r="BZ186" s="13">
        <f>BY186*VLOOKUP('Données projet'!$B$12,Paramètres!$A$1:$I$89,3,0)*VLOOKUP('Données projet'!$B$12,Paramètres!$A$1:$I$89,5,0)</f>
        <v>336.33603899999963</v>
      </c>
      <c r="CA186" s="13">
        <f t="shared" si="170"/>
        <v>78.742472189805937</v>
      </c>
      <c r="CB186" s="20">
        <f t="shared" si="171"/>
        <v>722.92840698891132</v>
      </c>
      <c r="CC186" s="59">
        <f t="shared" si="119"/>
        <v>1016.2617403222446</v>
      </c>
      <c r="CD186" s="59">
        <f ca="1">AVERAGE(OFFSET($CC$3,0,0,'Données projet'!$E$12+1,1))-AVERAGE(OFFSET($H$3,0,0,'Données projet'!$E$12+1,1))</f>
        <v>593.28343396240075</v>
      </c>
      <c r="CE186" s="59">
        <f t="shared" si="148"/>
        <v>289.66477662068695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86.81798815560802</v>
      </c>
      <c r="CL186" s="21">
        <f>EXP(-LN(2)/25)*CL185+(1-EXP(-LN(2)/25))/(LN(2)/25)*Calculateur!CG186*Calculateur!CI186*VLOOKUP('Données projet'!$B$12,Paramètres!$A$1:$I$89,3,0)*0.475*44/12</f>
        <v>34.647293415906873</v>
      </c>
      <c r="CM186" s="21">
        <f>EXP(-LN(2)/2)*CM185+(1-EXP(-LN(2)/2))/(LN(2)/2)*CG186*CJ186*VLOOKUP('Données projet'!$B$12,Paramètres!$A$1:$I$89,3,0)*0.475*44/12</f>
        <v>8.9462913295458013E-6</v>
      </c>
      <c r="CN186" s="22">
        <f t="shared" si="172"/>
        <v>121.46529051780622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2.2737367544323206E-13</v>
      </c>
      <c r="CU186" s="17">
        <f>CT186*VLOOKUP('Données projet'!$B$13,Paramètres!$A$1:$I$89,3,0)*VLOOKUP('Données projet'!$B$13,Paramètres!$A$1:$I$89,5,0)</f>
        <v>2.3765096557326618E-13</v>
      </c>
      <c r="CV186" s="13">
        <f t="shared" si="173"/>
        <v>3.2279907425805489E-12</v>
      </c>
      <c r="CW186" s="20">
        <f t="shared" si="174"/>
        <v>6.0359926417012276E-12</v>
      </c>
      <c r="CX186" s="59">
        <f t="shared" si="122"/>
        <v>293.33333333333934</v>
      </c>
      <c r="CY186" s="59">
        <f ca="1">AVERAGE(OFFSET($CX$3,0,0,'Données projet'!$E$13+1,1))-AVERAGE(OFFSET($H$3,0,0,'Données projet'!$E$13+1,1))</f>
        <v>260.65406541614402</v>
      </c>
      <c r="CZ186" s="59">
        <f t="shared" si="150"/>
        <v>277.63456890196886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2.8559178823894724</v>
      </c>
      <c r="DG186" s="21">
        <f>EXP(-LN(2)/25)*DG185+(1-EXP(-LN(2)/25))/(LN(2)/25)*Calculateur!DB186*Calculateur!DD186*VLOOKUP('Données projet'!$B$13,Paramètres!$A$1:$I$89,3,0)*0.475*44/12</f>
        <v>3.7594254544605952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6.6153433368500671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1.4897523215040565E-13</v>
      </c>
      <c r="DQ186" s="13">
        <f t="shared" si="176"/>
        <v>2.136562777003313E-12</v>
      </c>
      <c r="DR186" s="20">
        <f t="shared" si="177"/>
        <v>3.9806453659427267E-12</v>
      </c>
      <c r="DS186" s="59">
        <f t="shared" si="125"/>
        <v>293.33333333333729</v>
      </c>
      <c r="DT186" s="59">
        <f ca="1">AVERAGE(OFFSET($DS$3,0,0,'Données projet'!$E$14+1,1))-AVERAGE(OFFSET($H$3,0,0,'Données projet'!$E$14+1,1))</f>
        <v>181.4272795535777</v>
      </c>
      <c r="DU186" s="59">
        <f t="shared" si="152"/>
        <v>187.67131775419904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2.6800845254145718</v>
      </c>
      <c r="EB186" s="21">
        <f>EXP(-LN(2)/25)*EB185+(1-EXP(-LN(2)/25))/(LN(2)/25)*Calculateur!DW186*Calculateur!DY186*VLOOKUP('Données projet'!$B$14,Paramètres!$A$1:$I$89,3,0)*0.475*44/12</f>
        <v>1.3692013184128993</v>
      </c>
      <c r="EC186" s="21">
        <f>EXP(-LN(2)/2)*EC185+(1-EXP(-LN(2)/2))/(LN(2)/2)*DW186*DZ186*VLOOKUP('Données projet'!$B$14,Paramètres!$A$1:$I$89,3,0)*0.475*44/12</f>
        <v>2.5213855687944193E-13</v>
      </c>
      <c r="ED186" s="22">
        <f t="shared" si="178"/>
        <v>4.0492858438277235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9.2222762759774927E-14</v>
      </c>
      <c r="EL186" s="13">
        <f t="shared" si="179"/>
        <v>1.3985662224947967E-12</v>
      </c>
      <c r="EM186" s="20">
        <f t="shared" si="180"/>
        <v>2.5964574826517121E-12</v>
      </c>
      <c r="EN186" s="59">
        <f t="shared" si="128"/>
        <v>293.33333333333593</v>
      </c>
      <c r="EO186" s="59">
        <f ca="1">AVERAGE(OFFSET($EN$3,0,0,'Données projet'!$E$15+1,1))-AVERAGE(OFFSET($H$3,0,0,'Données projet'!$E$15+1,1))</f>
        <v>159.68591355116837</v>
      </c>
      <c r="EP186" s="59">
        <f t="shared" si="154"/>
        <v>284.32631786390112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0.85891140105059061</v>
      </c>
      <c r="EW186" s="21">
        <f>EXP(-LN(2)/25)*EW185+(1-EXP(-LN(2)/25))/(LN(2)/25)*Calculateur!ER186*Calculateur!ET186*VLOOKUP('Données projet'!$B$15,Paramètres!$A$1:$I$89,3,0)*0.475*44/12</f>
        <v>0.36653558105035605</v>
      </c>
      <c r="EX186" s="21">
        <f>EXP(-LN(2)/2)*EX185+(1-EXP(-LN(2)/2))/(LN(2)/2)*ER186*EU186*VLOOKUP('Données projet'!$B$15,Paramètres!$A$1:$I$89,3,0)*0.475*44/12</f>
        <v>8.7392077903266152E-21</v>
      </c>
      <c r="EY186" s="22">
        <f t="shared" si="181"/>
        <v>1.2254469821009466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-1.3567387213697657E-13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299.10536994156814</v>
      </c>
      <c r="FK186" s="59">
        <f t="shared" si="156"/>
        <v>292.57799203101769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5.2830722970457478</v>
      </c>
      <c r="FR186" s="21">
        <f>EXP(-LN(2)/25)*FR185+(1-EXP(-LN(2)/25))/(LN(2)/25)*Calculateur!FM186*Calculateur!FO186*VLOOKUP('Données projet'!$B$16,Paramètres!$A$1:$I$89,3,0)*0.475*44/12</f>
        <v>2.4363160498150833</v>
      </c>
      <c r="FS186" s="21">
        <f>EXP(-LN(2)/2)*FS185+(1-EXP(-LN(2)/2))/(LN(2)/2)*FM186*FP186*VLOOKUP('Données projet'!$B$16,Paramètres!$A$1:$I$89,3,0)*0.475*44/12</f>
        <v>1.6322661349943558E-14</v>
      </c>
      <c r="FT186" s="22">
        <f t="shared" si="184"/>
        <v>7.7193883468608471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5.6843418860808015E-14</v>
      </c>
      <c r="GA186" s="17">
        <f>FZ186*VLOOKUP('Données projet'!$B$17,Paramètres!$A$1:$I$89,3,0)*VLOOKUP('Données projet'!$B$17,Paramètres!$A$1:$I$89,5,0)</f>
        <v>5.1431925385259088E-14</v>
      </c>
      <c r="GB186" s="13">
        <f t="shared" si="185"/>
        <v>8.3482866290946129E-13</v>
      </c>
      <c r="GC186" s="20">
        <f t="shared" si="186"/>
        <v>1.5435705246133045E-12</v>
      </c>
      <c r="GD186" s="59">
        <f t="shared" si="134"/>
        <v>293.33333333333485</v>
      </c>
      <c r="GE186" s="59">
        <f ca="1">AVERAGE(OFFSET($GD$3,0,0,'Données projet'!$E$17+1,1))-AVERAGE(OFFSET($H$3,0,0,'Données projet'!$E$17+1,1))</f>
        <v>204.78565758021779</v>
      </c>
      <c r="GF186" s="59">
        <f t="shared" si="158"/>
        <v>287.25131613242439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1.0149956064903389</v>
      </c>
      <c r="GM186" s="21">
        <f>EXP(-LN(2)/25)*GM185+(1-EXP(-LN(2)/25))/(LN(2)/25)*Calculateur!GH186*Calculateur!GJ186*VLOOKUP('Données projet'!$B$17,Paramètres!$A$1:$I$89,3,0)*0.475*44/12</f>
        <v>0.28803641913861439</v>
      </c>
      <c r="GN186" s="21">
        <f>EXP(-LN(2)/2)*GN185+(1-EXP(-LN(2)/2))/(LN(2)/2)*GH186*GK186*VLOOKUP('Données projet'!$B$17,Paramètres!$A$1:$I$89,3,0)*0.475*44/12</f>
        <v>2.3362167140390533E-20</v>
      </c>
      <c r="GO186" s="21">
        <f t="shared" si="187"/>
        <v>1.3030320256289534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5.6843418860808015E-14</v>
      </c>
      <c r="GV186" s="17">
        <f>GU186*VLOOKUP('Données projet'!$B$18,Paramètres!$A$1:$I$89,3,0)*VLOOKUP('Données projet'!$B$18,Paramètres!$A$1:$I$89,5,0)</f>
        <v>4.4337866711430253E-14</v>
      </c>
      <c r="GW186" s="13">
        <f t="shared" si="188"/>
        <v>7.3222115536967035E-13</v>
      </c>
      <c r="GX186" s="20">
        <f t="shared" si="189"/>
        <v>1.3525069634579169E-12</v>
      </c>
      <c r="GY186" s="59">
        <f t="shared" si="137"/>
        <v>293.33333333333468</v>
      </c>
      <c r="GZ186" s="59">
        <f ca="1">AVERAGE(OFFSET($GY$3,0,0,'Données projet'!$E$18+1,1))-AVERAGE(OFFSET($H$3,0,0,'Données projet'!$E$18+1,1))</f>
        <v>288.82868507674738</v>
      </c>
      <c r="HA186" s="59">
        <f t="shared" si="160"/>
        <v>283.48738729114024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4.4973471752119512</v>
      </c>
      <c r="HH186" s="21">
        <f>EXP(-LN(2)/25)*HH185+(1-EXP(-LN(2)/25))/(LN(2)/25)*Calculateur!HC186*Calculateur!HE186*VLOOKUP('Données projet'!$B$18,Paramètres!$A$1:$I$89,3,0)*0.475*44/12</f>
        <v>1.7947528436261664</v>
      </c>
      <c r="HI186" s="21">
        <f>EXP(-LN(2)/2)*HI185+(1-EXP(-LN(2)/2))/(LN(2)/2)*HC186*HF186*VLOOKUP('Données projet'!$B$18,Paramètres!$A$1:$I$89,3,0)*0.475*44/12</f>
        <v>4.2157958827562433E-16</v>
      </c>
      <c r="HJ186" s="22">
        <f t="shared" si="190"/>
        <v>6.2921000188381173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349.71285006949597</v>
      </c>
      <c r="T187" s="59">
        <f t="shared" si="142"/>
        <v>258.51550516456842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19.541633302040349</v>
      </c>
      <c r="AA187" s="21">
        <f>EXP(-LN(2)/25)*AA186+(1-EXP(-LN(2)/25))/(LN(2)/25)*Calculateur!V187*Calculateur!X187*VLOOKUP('Données projet'!$B$9,Paramètres!$A$1:$I$89,3,0)*0.475*44/12</f>
        <v>2.8945319322512253</v>
      </c>
      <c r="AB187" s="21">
        <f>EXP(-LN(2)/2)*AB186+(1-EXP(-LN(2)/2))/(LN(2)/2)*V187*Y187*VLOOKUP('Données projet'!$B$9,Paramètres!$A$1:$I$89,3,0)*0.475*44/12</f>
        <v>1.5702249012418947E-14</v>
      </c>
      <c r="AC187" s="22">
        <f t="shared" si="163"/>
        <v>22.43616523429159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2.5579538487363607E-13</v>
      </c>
      <c r="AJ187" s="13">
        <f>AI187*VLOOKUP('Données projet'!$B$10,Paramètres!$A$1:$I$89,3,0)*VLOOKUP('Données projet'!$B$10,Paramètres!$A$1:$I$89,5,0)</f>
        <v>2.4341488824575211E-13</v>
      </c>
      <c r="AK187" s="13">
        <f t="shared" si="164"/>
        <v>3.2970717324875541E-12</v>
      </c>
      <c r="AL187" s="20">
        <f t="shared" si="165"/>
        <v>6.1663475311105072E-12</v>
      </c>
      <c r="AM187" s="59">
        <f t="shared" si="113"/>
        <v>293.33333333333945</v>
      </c>
      <c r="AN187" s="59">
        <f ca="1">AVERAGE(OFFSET($AM$3,0,0,'Données projet'!$E$10+1,1))-AVERAGE(OFFSET($H$3,0,0,'Données projet'!$E$10+1,1))</f>
        <v>449.28947235329758</v>
      </c>
      <c r="AO187" s="59">
        <f t="shared" si="144"/>
        <v>289.36994109443964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40.77609610626908</v>
      </c>
      <c r="AV187" s="21">
        <f>EXP(-LN(2)/25)*AV186+(1-EXP(-LN(2)/25))/(LN(2)/25)*Calculateur!AQ187*Calculateur!AS187*VLOOKUP('Données projet'!$B$10,Paramètres!$A$1:$I$89,3,0)*0.475*44/12</f>
        <v>5.5399076423984255</v>
      </c>
      <c r="AW187" s="21">
        <f>EXP(-LN(2)/2)*AW186+(1-EXP(-LN(2)/2))/(LN(2)/2)*AQ187*AT187*VLOOKUP('Données projet'!$B$10,Paramètres!$A$1:$I$89,3,0)*0.475*44/12</f>
        <v>5.3356915517505349E-8</v>
      </c>
      <c r="AX187" s="21">
        <f t="shared" si="166"/>
        <v>46.316003802024419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7.2004695539362725E-13</v>
      </c>
      <c r="BF187" s="13">
        <f t="shared" si="167"/>
        <v>8.5963894794935589E-12</v>
      </c>
      <c r="BG187" s="20">
        <f t="shared" si="168"/>
        <v>1.6226126790761848E-11</v>
      </c>
      <c r="BH187" s="59">
        <f t="shared" si="116"/>
        <v>293.33333333334951</v>
      </c>
      <c r="BI187" s="59">
        <f ca="1">AVERAGE(OFFSET($BH$3,0,0,'Données projet'!$E$11+1,1))-AVERAGE(OFFSET($H$3,0,0,'Données projet'!$E$11+1,1))</f>
        <v>635.71275911100679</v>
      </c>
      <c r="BJ187" s="59">
        <f t="shared" si="146"/>
        <v>281.7776857269169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151.10857299297834</v>
      </c>
      <c r="BQ187" s="21">
        <f>EXP(-LN(2)/25)*BQ186+(1-EXP(-LN(2)/25))/(LN(2)/25)*Calculateur!BL187*Calculateur!BN187*VLOOKUP('Données projet'!$B$11,Paramètres!$A$1:$I$89,3,0)*0.475*44/12</f>
        <v>25.037020650556091</v>
      </c>
      <c r="BR187" s="21">
        <f>EXP(-LN(2)/2)*BR186+(1-EXP(-LN(2)/2))/(LN(2)/2)*BL187*BO187*VLOOKUP('Données projet'!$B$11,Paramètres!$A$1:$I$89,3,0)*0.475*44/12</f>
        <v>7.5127704464093537</v>
      </c>
      <c r="BS187" s="22">
        <f t="shared" si="169"/>
        <v>183.65836408994377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>
        <f>VLOOKUP(A187,'Données projet'!$A$113:$I$133,2,0)</f>
        <v>300.14</v>
      </c>
      <c r="BW187" s="12">
        <f>VLOOKUP(A187,'Données projet'!$A$113:$I$133,9,0)</f>
        <v>4.7974999999999994</v>
      </c>
      <c r="BX187" s="12">
        <f t="array" ref="BX187">INDEX(BW:BW,MIN(IF(ISNUMBER(BW187:BW383),ROW(BW187:BW383),"")))</f>
        <v>4.7974999999999994</v>
      </c>
      <c r="BY187" s="12">
        <f>IF('Données projet'!$A$114&gt;35,BY186+BX187-CG186,IF(A187&lt;'Données projet'!$A$114,$BV$205^A187,IF(A187='Données projet'!$A$114,'Données projet'!$B$114,BY186+BX187-CG186)))</f>
        <v>300.1399999999997</v>
      </c>
      <c r="BZ187" s="13">
        <f>BY187*VLOOKUP('Données projet'!$B$12,Paramètres!$A$1:$I$89,3,0)*VLOOKUP('Données projet'!$B$12,Paramètres!$A$1:$I$89,5,0)</f>
        <v>341.79943199999968</v>
      </c>
      <c r="CA187" s="13">
        <f t="shared" si="170"/>
        <v>79.871606176734076</v>
      </c>
      <c r="CB187" s="20">
        <f t="shared" si="171"/>
        <v>734.41039149114465</v>
      </c>
      <c r="CC187" s="59">
        <f t="shared" si="119"/>
        <v>1027.743724824478</v>
      </c>
      <c r="CD187" s="59">
        <f ca="1">AVERAGE(OFFSET($CC$3,0,0,'Données projet'!$E$12+1,1))-AVERAGE(OFFSET($H$3,0,0,'Données projet'!$E$12+1,1))</f>
        <v>593.28343396240075</v>
      </c>
      <c r="CE187" s="59">
        <f t="shared" si="148"/>
        <v>289.66477662068695</v>
      </c>
      <c r="CF187" s="15">
        <f>IF(ISNA(VLOOKUP(A187,'Données projet'!$A$113:$I$133,3,0)),0,VLOOKUP(A187,'Données projet'!$A$113:$I$133,3,0))</f>
        <v>14</v>
      </c>
      <c r="CG187" s="15">
        <f>IF(ISNA(VLOOKUP(A187,'Données projet'!$A$113:$I$133,4,0)),0,VLOOKUP(A187,'Données projet'!$A$113:$I$133,4,0))</f>
        <v>101.19999999999999</v>
      </c>
      <c r="CH187" s="16">
        <f>IF(ISNA(VLOOKUP(A187,'Données projet'!$A$113:$I$133,5,0)),0%,VLOOKUP(A187,'Données projet'!$A$113:$I$133,5,0)*VLOOKUP('Données projet'!$B$12,Paramètres!$A$1:$I$89,7,0))</f>
        <v>0.215</v>
      </c>
      <c r="CI187" s="16">
        <f>IF(ISNA(VLOOKUP(A187,'Données projet'!$A$113:$I$133,6,0)),0%,VLOOKUP(A187,'Données projet'!$A$113:$I$133,6,0)*VLOOKUP('Données projet'!$B$12,Paramètres!$A$1:$I$89,7,0))</f>
        <v>8.6000000000000007E-2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112.50689692257995</v>
      </c>
      <c r="CL187" s="21">
        <f>EXP(-LN(2)/25)*CL186+(1-EXP(-LN(2)/25))/(LN(2)/25)*Calculateur!CG187*Calculateur!CI187*VLOOKUP('Données projet'!$B$12,Paramètres!$A$1:$I$89,3,0)*0.475*44/12</f>
        <v>44.613263896728441</v>
      </c>
      <c r="CM187" s="21">
        <f>EXP(-LN(2)/2)*CM186+(1-EXP(-LN(2)/2))/(LN(2)/2)*CG187*CJ187*VLOOKUP('Données projet'!$B$12,Paramètres!$A$1:$I$89,3,0)*0.475*44/12</f>
        <v>6.3259832655922503E-6</v>
      </c>
      <c r="CN187" s="22">
        <f t="shared" si="172"/>
        <v>157.12016714529167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2.2737367544323206E-13</v>
      </c>
      <c r="CU187" s="17">
        <f>CT187*VLOOKUP('Données projet'!$B$13,Paramètres!$A$1:$I$89,3,0)*VLOOKUP('Données projet'!$B$13,Paramètres!$A$1:$I$89,5,0)</f>
        <v>2.3765096557326618E-13</v>
      </c>
      <c r="CV187" s="13">
        <f t="shared" si="173"/>
        <v>3.2279907425805489E-12</v>
      </c>
      <c r="CW187" s="20">
        <f t="shared" si="174"/>
        <v>6.0359926417012276E-12</v>
      </c>
      <c r="CX187" s="59">
        <f t="shared" si="122"/>
        <v>293.33333333333934</v>
      </c>
      <c r="CY187" s="59">
        <f ca="1">AVERAGE(OFFSET($CX$3,0,0,'Données projet'!$E$13+1,1))-AVERAGE(OFFSET($H$3,0,0,'Données projet'!$E$13+1,1))</f>
        <v>260.65406541614402</v>
      </c>
      <c r="CZ187" s="59">
        <f t="shared" si="150"/>
        <v>277.63456890196886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2.7999150746537209</v>
      </c>
      <c r="DG187" s="21">
        <f>EXP(-LN(2)/25)*DG186+(1-EXP(-LN(2)/25))/(LN(2)/25)*Calculateur!DB187*Calculateur!DD187*VLOOKUP('Données projet'!$B$13,Paramètres!$A$1:$I$89,3,0)*0.475*44/12</f>
        <v>3.6566237677087776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6.4565388423624981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1.4897523215040565E-13</v>
      </c>
      <c r="DQ187" s="13">
        <f t="shared" si="176"/>
        <v>2.136562777003313E-12</v>
      </c>
      <c r="DR187" s="20">
        <f t="shared" si="177"/>
        <v>3.9806453659427267E-12</v>
      </c>
      <c r="DS187" s="59">
        <f t="shared" si="125"/>
        <v>293.33333333333729</v>
      </c>
      <c r="DT187" s="59">
        <f ca="1">AVERAGE(OFFSET($DS$3,0,0,'Données projet'!$E$14+1,1))-AVERAGE(OFFSET($H$3,0,0,'Données projet'!$E$14+1,1))</f>
        <v>181.4272795535777</v>
      </c>
      <c r="DU187" s="59">
        <f t="shared" si="152"/>
        <v>187.67131775419904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2.6275297025613402</v>
      </c>
      <c r="EB187" s="21">
        <f>EXP(-LN(2)/25)*EB186+(1-EXP(-LN(2)/25))/(LN(2)/25)*Calculateur!DW187*Calculateur!DY187*VLOOKUP('Données projet'!$B$14,Paramètres!$A$1:$I$89,3,0)*0.475*44/12</f>
        <v>1.3317604363577304</v>
      </c>
      <c r="EC187" s="21">
        <f>EXP(-LN(2)/2)*EC186+(1-EXP(-LN(2)/2))/(LN(2)/2)*DW187*DZ187*VLOOKUP('Données projet'!$B$14,Paramètres!$A$1:$I$89,3,0)*0.475*44/12</f>
        <v>1.7828888336804342E-13</v>
      </c>
      <c r="ED187" s="22">
        <f t="shared" si="178"/>
        <v>3.9592901389192487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9.2222762759774927E-14</v>
      </c>
      <c r="EL187" s="13">
        <f t="shared" si="179"/>
        <v>1.3985662224947967E-12</v>
      </c>
      <c r="EM187" s="20">
        <f t="shared" si="180"/>
        <v>2.5964574826517121E-12</v>
      </c>
      <c r="EN187" s="59">
        <f t="shared" si="128"/>
        <v>293.33333333333593</v>
      </c>
      <c r="EO187" s="59">
        <f ca="1">AVERAGE(OFFSET($EN$3,0,0,'Données projet'!$E$15+1,1))-AVERAGE(OFFSET($H$3,0,0,'Données projet'!$E$15+1,1))</f>
        <v>159.68591355116837</v>
      </c>
      <c r="EP187" s="59">
        <f t="shared" si="154"/>
        <v>284.32631786390112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0.84206867236021388</v>
      </c>
      <c r="EW187" s="21">
        <f>EXP(-LN(2)/25)*EW186+(1-EXP(-LN(2)/25))/(LN(2)/25)*Calculateur!ER187*Calculateur!ET187*VLOOKUP('Données projet'!$B$15,Paramètres!$A$1:$I$89,3,0)*0.475*44/12</f>
        <v>0.35651264631126561</v>
      </c>
      <c r="EX187" s="21">
        <f>EXP(-LN(2)/2)*EX186+(1-EXP(-LN(2)/2))/(LN(2)/2)*ER187*EU187*VLOOKUP('Données projet'!$B$15,Paramètres!$A$1:$I$89,3,0)*0.475*44/12</f>
        <v>6.1795530907382534E-21</v>
      </c>
      <c r="EY187" s="22">
        <f t="shared" si="181"/>
        <v>1.1985813186714795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-1.3567387213697657E-13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299.10536994156814</v>
      </c>
      <c r="FK187" s="59">
        <f t="shared" si="156"/>
        <v>292.57799203101769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5.1794744716566008</v>
      </c>
      <c r="FR187" s="21">
        <f>EXP(-LN(2)/25)*FR186+(1-EXP(-LN(2)/25))/(LN(2)/25)*Calculateur!FM187*Calculateur!FO187*VLOOKUP('Données projet'!$B$16,Paramètres!$A$1:$I$89,3,0)*0.475*44/12</f>
        <v>2.369694859312597</v>
      </c>
      <c r="FS187" s="21">
        <f>EXP(-LN(2)/2)*FS186+(1-EXP(-LN(2)/2))/(LN(2)/2)*FM187*FP187*VLOOKUP('Données projet'!$B$16,Paramètres!$A$1:$I$89,3,0)*0.475*44/12</f>
        <v>1.1541864527556656E-14</v>
      </c>
      <c r="FT187" s="22">
        <f t="shared" si="184"/>
        <v>7.5491693309692094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5.6843418860808015E-14</v>
      </c>
      <c r="GA187" s="17">
        <f>FZ187*VLOOKUP('Données projet'!$B$17,Paramètres!$A$1:$I$89,3,0)*VLOOKUP('Données projet'!$B$17,Paramètres!$A$1:$I$89,5,0)</f>
        <v>5.1431925385259088E-14</v>
      </c>
      <c r="GB187" s="13">
        <f t="shared" si="185"/>
        <v>8.3482866290946129E-13</v>
      </c>
      <c r="GC187" s="20">
        <f t="shared" si="186"/>
        <v>1.5435705246133045E-12</v>
      </c>
      <c r="GD187" s="59">
        <f t="shared" si="134"/>
        <v>293.33333333333485</v>
      </c>
      <c r="GE187" s="59">
        <f ca="1">AVERAGE(OFFSET($GD$3,0,0,'Données projet'!$E$17+1,1))-AVERAGE(OFFSET($H$3,0,0,'Données projet'!$E$17+1,1))</f>
        <v>204.78565758021779</v>
      </c>
      <c r="GF187" s="59">
        <f t="shared" si="158"/>
        <v>287.25131613242439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0.99509216173325366</v>
      </c>
      <c r="GM187" s="21">
        <f>EXP(-LN(2)/25)*GM186+(1-EXP(-LN(2)/25))/(LN(2)/25)*Calculateur!GH187*Calculateur!GJ187*VLOOKUP('Données projet'!$B$17,Paramètres!$A$1:$I$89,3,0)*0.475*44/12</f>
        <v>0.28016004811009199</v>
      </c>
      <c r="GN187" s="21">
        <f>EXP(-LN(2)/2)*GN186+(1-EXP(-LN(2)/2))/(LN(2)/2)*GH187*GK187*VLOOKUP('Données projet'!$B$17,Paramètres!$A$1:$I$89,3,0)*0.475*44/12</f>
        <v>1.6519546808183679E-20</v>
      </c>
      <c r="GO187" s="21">
        <f t="shared" si="187"/>
        <v>1.2752522098433456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5.6843418860808015E-14</v>
      </c>
      <c r="GV187" s="17">
        <f>GU187*VLOOKUP('Données projet'!$B$18,Paramètres!$A$1:$I$89,3,0)*VLOOKUP('Données projet'!$B$18,Paramètres!$A$1:$I$89,5,0)</f>
        <v>4.4337866711430253E-14</v>
      </c>
      <c r="GW187" s="13">
        <f t="shared" si="188"/>
        <v>7.3222115536967035E-13</v>
      </c>
      <c r="GX187" s="20">
        <f t="shared" si="189"/>
        <v>1.3525069634579169E-12</v>
      </c>
      <c r="GY187" s="59">
        <f t="shared" si="137"/>
        <v>293.33333333333468</v>
      </c>
      <c r="GZ187" s="59">
        <f ca="1">AVERAGE(OFFSET($GY$3,0,0,'Données projet'!$E$18+1,1))-AVERAGE(OFFSET($H$3,0,0,'Données projet'!$E$18+1,1))</f>
        <v>288.82868507674738</v>
      </c>
      <c r="HA187" s="59">
        <f t="shared" si="160"/>
        <v>283.48738729114024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4.4091569402169624</v>
      </c>
      <c r="HH187" s="21">
        <f>EXP(-LN(2)/25)*HH186+(1-EXP(-LN(2)/25))/(LN(2)/25)*Calculateur!HC187*Calculateur!HE187*VLOOKUP('Données projet'!$B$18,Paramètres!$A$1:$I$89,3,0)*0.475*44/12</f>
        <v>1.7456752327352587</v>
      </c>
      <c r="HI187" s="21">
        <f>EXP(-LN(2)/2)*HI186+(1-EXP(-LN(2)/2))/(LN(2)/2)*HC187*HF187*VLOOKUP('Données projet'!$B$18,Paramètres!$A$1:$I$89,3,0)*0.475*44/12</f>
        <v>2.9810178567952668E-16</v>
      </c>
      <c r="HJ187" s="22">
        <f t="shared" si="190"/>
        <v>6.1548321729522213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349.71285006949597</v>
      </c>
      <c r="T188" s="59">
        <f t="shared" si="142"/>
        <v>258.51550516456842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19.158433792206726</v>
      </c>
      <c r="AA188" s="21">
        <f>EXP(-LN(2)/25)*AA187+(1-EXP(-LN(2)/25))/(LN(2)/25)*Calculateur!V188*Calculateur!X188*VLOOKUP('Données projet'!$B$9,Paramètres!$A$1:$I$89,3,0)*0.475*44/12</f>
        <v>2.8153808043469968</v>
      </c>
      <c r="AB188" s="21">
        <f>EXP(-LN(2)/2)*AB187+(1-EXP(-LN(2)/2))/(LN(2)/2)*V188*Y188*VLOOKUP('Données projet'!$B$9,Paramètres!$A$1:$I$89,3,0)*0.475*44/12</f>
        <v>1.1103166756561206E-14</v>
      </c>
      <c r="AC188" s="22">
        <f t="shared" si="163"/>
        <v>21.973814596553733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2.5579538487363607E-13</v>
      </c>
      <c r="AJ188" s="13">
        <f>AI188*VLOOKUP('Données projet'!$B$10,Paramètres!$A$1:$I$89,3,0)*VLOOKUP('Données projet'!$B$10,Paramètres!$A$1:$I$89,5,0)</f>
        <v>2.4341488824575211E-13</v>
      </c>
      <c r="AK188" s="13">
        <f t="shared" si="164"/>
        <v>3.2970717324875541E-12</v>
      </c>
      <c r="AL188" s="20">
        <f t="shared" si="165"/>
        <v>6.1663475311105072E-12</v>
      </c>
      <c r="AM188" s="59">
        <f t="shared" si="113"/>
        <v>293.33333333333945</v>
      </c>
      <c r="AN188" s="59">
        <f ca="1">AVERAGE(OFFSET($AM$3,0,0,'Données projet'!$E$10+1,1))-AVERAGE(OFFSET($H$3,0,0,'Données projet'!$E$10+1,1))</f>
        <v>449.28947235329758</v>
      </c>
      <c r="AO188" s="59">
        <f t="shared" si="144"/>
        <v>289.36994109443964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39.976501732587963</v>
      </c>
      <c r="AV188" s="21">
        <f>EXP(-LN(2)/25)*AV187+(1-EXP(-LN(2)/25))/(LN(2)/25)*Calculateur!AQ188*Calculateur!AS188*VLOOKUP('Données projet'!$B$10,Paramètres!$A$1:$I$89,3,0)*0.475*44/12</f>
        <v>5.3884185765859591</v>
      </c>
      <c r="AW188" s="21">
        <f>EXP(-LN(2)/2)*AW187+(1-EXP(-LN(2)/2))/(LN(2)/2)*AQ188*AT188*VLOOKUP('Données projet'!$B$10,Paramètres!$A$1:$I$89,3,0)*0.475*44/12</f>
        <v>3.7729036785625757E-8</v>
      </c>
      <c r="AX188" s="21">
        <f t="shared" si="166"/>
        <v>45.364920346902963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7.2004695539362725E-13</v>
      </c>
      <c r="BF188" s="13">
        <f t="shared" si="167"/>
        <v>8.5963894794935589E-12</v>
      </c>
      <c r="BG188" s="20">
        <f t="shared" si="168"/>
        <v>1.6226126790761848E-11</v>
      </c>
      <c r="BH188" s="59">
        <f t="shared" si="116"/>
        <v>293.33333333334951</v>
      </c>
      <c r="BI188" s="59">
        <f ca="1">AVERAGE(OFFSET($BH$3,0,0,'Données projet'!$E$11+1,1))-AVERAGE(OFFSET($H$3,0,0,'Données projet'!$E$11+1,1))</f>
        <v>635.71275911100679</v>
      </c>
      <c r="BJ188" s="59">
        <f t="shared" si="146"/>
        <v>281.7776857269169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148.14542604371482</v>
      </c>
      <c r="BQ188" s="21">
        <f>EXP(-LN(2)/25)*BQ187+(1-EXP(-LN(2)/25))/(LN(2)/25)*Calculateur!BL188*Calculateur!BN188*VLOOKUP('Données projet'!$B$11,Paramètres!$A$1:$I$89,3,0)*0.475*44/12</f>
        <v>24.352382004226943</v>
      </c>
      <c r="BR188" s="21">
        <f>EXP(-LN(2)/2)*BR187+(1-EXP(-LN(2)/2))/(LN(2)/2)*BL188*BO188*VLOOKUP('Données projet'!$B$11,Paramètres!$A$1:$I$89,3,0)*0.475*44/12</f>
        <v>5.3123309281539406</v>
      </c>
      <c r="BS188" s="22">
        <f t="shared" si="169"/>
        <v>177.81013897609569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3.0825000000000031</v>
      </c>
      <c r="BY188" s="12">
        <f>IF('Données projet'!$A$114&gt;35,BY187+BX188-CG187,IF(A188&lt;'Données projet'!$A$114,$BV$205^A188,IF(A188='Données projet'!$A$114,'Données projet'!$B$114,BY187+BX188-CG187)))</f>
        <v>202.0224999999997</v>
      </c>
      <c r="BZ188" s="13">
        <f>BY188*VLOOKUP('Données projet'!$B$12,Paramètres!$A$1:$I$89,3,0)*VLOOKUP('Données projet'!$B$12,Paramètres!$A$1:$I$89,5,0)</f>
        <v>230.06322299999965</v>
      </c>
      <c r="CA188" s="13">
        <f t="shared" si="170"/>
        <v>56.296351603217715</v>
      </c>
      <c r="CB188" s="20">
        <f t="shared" si="171"/>
        <v>498.74292576727026</v>
      </c>
      <c r="CC188" s="59">
        <f t="shared" si="119"/>
        <v>792.07625910060358</v>
      </c>
      <c r="CD188" s="59">
        <f ca="1">AVERAGE(OFFSET($CC$3,0,0,'Données projet'!$E$12+1,1))-AVERAGE(OFFSET($H$3,0,0,'Données projet'!$E$12+1,1))</f>
        <v>593.28343396240075</v>
      </c>
      <c r="CE188" s="59">
        <f t="shared" si="148"/>
        <v>289.66477662068695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110.30070529635938</v>
      </c>
      <c r="CL188" s="21">
        <f>EXP(-LN(2)/25)*CL187+(1-EXP(-LN(2)/25))/(LN(2)/25)*Calculateur!CG188*Calculateur!CI188*VLOOKUP('Données projet'!$B$12,Paramètres!$A$1:$I$89,3,0)*0.475*44/12</f>
        <v>43.393311849362817</v>
      </c>
      <c r="CM188" s="21">
        <f>EXP(-LN(2)/2)*CM187+(1-EXP(-LN(2)/2))/(LN(2)/2)*CG188*CJ188*VLOOKUP('Données projet'!$B$12,Paramètres!$A$1:$I$89,3,0)*0.475*44/12</f>
        <v>4.4731456647729007E-6</v>
      </c>
      <c r="CN188" s="22">
        <f t="shared" si="172"/>
        <v>153.69402161886785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2.2737367544323206E-13</v>
      </c>
      <c r="CU188" s="17">
        <f>CT188*VLOOKUP('Données projet'!$B$13,Paramètres!$A$1:$I$89,3,0)*VLOOKUP('Données projet'!$B$13,Paramètres!$A$1:$I$89,5,0)</f>
        <v>2.3765096557326618E-13</v>
      </c>
      <c r="CV188" s="13">
        <f t="shared" si="173"/>
        <v>3.2279907425805489E-12</v>
      </c>
      <c r="CW188" s="20">
        <f t="shared" si="174"/>
        <v>6.0359926417012276E-12</v>
      </c>
      <c r="CX188" s="59">
        <f t="shared" si="122"/>
        <v>293.33333333333934</v>
      </c>
      <c r="CY188" s="59">
        <f ca="1">AVERAGE(OFFSET($CX$3,0,0,'Données projet'!$E$13+1,1))-AVERAGE(OFFSET($H$3,0,0,'Données projet'!$E$13+1,1))</f>
        <v>260.65406541614402</v>
      </c>
      <c r="CZ188" s="59">
        <f t="shared" si="150"/>
        <v>277.63456890196886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2.7450104478193276</v>
      </c>
      <c r="DG188" s="21">
        <f>EXP(-LN(2)/25)*DG187+(1-EXP(-LN(2)/25))/(LN(2)/25)*Calculateur!DB188*Calculateur!DD188*VLOOKUP('Données projet'!$B$13,Paramètres!$A$1:$I$89,3,0)*0.475*44/12</f>
        <v>3.5566331984872943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6.3016436463066219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1.4897523215040565E-13</v>
      </c>
      <c r="DQ188" s="13">
        <f t="shared" si="176"/>
        <v>2.136562777003313E-12</v>
      </c>
      <c r="DR188" s="20">
        <f t="shared" si="177"/>
        <v>3.9806453659427267E-12</v>
      </c>
      <c r="DS188" s="59">
        <f t="shared" si="125"/>
        <v>293.33333333333729</v>
      </c>
      <c r="DT188" s="59">
        <f ca="1">AVERAGE(OFFSET($DS$3,0,0,'Données projet'!$E$14+1,1))-AVERAGE(OFFSET($H$3,0,0,'Données projet'!$E$14+1,1))</f>
        <v>181.4272795535777</v>
      </c>
      <c r="DU188" s="59">
        <f t="shared" si="152"/>
        <v>187.67131775419904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2.576005447728984</v>
      </c>
      <c r="EB188" s="21">
        <f>EXP(-LN(2)/25)*EB187+(1-EXP(-LN(2)/25))/(LN(2)/25)*Calculateur!DW188*Calculateur!DY188*VLOOKUP('Données projet'!$B$14,Paramètres!$A$1:$I$89,3,0)*0.475*44/12</f>
        <v>1.2953433771912908</v>
      </c>
      <c r="EC188" s="21">
        <f>EXP(-LN(2)/2)*EC187+(1-EXP(-LN(2)/2))/(LN(2)/2)*DW188*DZ188*VLOOKUP('Données projet'!$B$14,Paramètres!$A$1:$I$89,3,0)*0.475*44/12</f>
        <v>1.2606927843972097E-13</v>
      </c>
      <c r="ED188" s="22">
        <f t="shared" si="178"/>
        <v>3.8713488249204007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9.2222762759774927E-14</v>
      </c>
      <c r="EL188" s="13">
        <f t="shared" si="179"/>
        <v>1.3985662224947967E-12</v>
      </c>
      <c r="EM188" s="20">
        <f t="shared" si="180"/>
        <v>2.5964574826517121E-12</v>
      </c>
      <c r="EN188" s="59">
        <f t="shared" si="128"/>
        <v>293.33333333333593</v>
      </c>
      <c r="EO188" s="59">
        <f ca="1">AVERAGE(OFFSET($EN$3,0,0,'Données projet'!$E$15+1,1))-AVERAGE(OFFSET($H$3,0,0,'Données projet'!$E$15+1,1))</f>
        <v>159.68591355116837</v>
      </c>
      <c r="EP188" s="59">
        <f t="shared" si="154"/>
        <v>284.32631786390112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0.82555621930640533</v>
      </c>
      <c r="EW188" s="21">
        <f>EXP(-LN(2)/25)*EW187+(1-EXP(-LN(2)/25))/(LN(2)/25)*Calculateur!ER188*Calculateur!ET188*VLOOKUP('Données projet'!$B$15,Paramètres!$A$1:$I$89,3,0)*0.475*44/12</f>
        <v>0.34676378924969881</v>
      </c>
      <c r="EX188" s="21">
        <f>EXP(-LN(2)/2)*EX187+(1-EXP(-LN(2)/2))/(LN(2)/2)*ER188*EU188*VLOOKUP('Données projet'!$B$15,Paramètres!$A$1:$I$89,3,0)*0.475*44/12</f>
        <v>4.3696038951633076E-21</v>
      </c>
      <c r="EY188" s="22">
        <f t="shared" si="181"/>
        <v>1.1723200085561041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-1.3567387213697657E-13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299.10536994156814</v>
      </c>
      <c r="FK188" s="59">
        <f t="shared" si="156"/>
        <v>292.57799203101769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5.0779081364349006</v>
      </c>
      <c r="FR188" s="21">
        <f>EXP(-LN(2)/25)*FR187+(1-EXP(-LN(2)/25))/(LN(2)/25)*Calculateur!FM188*Calculateur!FO188*VLOOKUP('Données projet'!$B$16,Paramètres!$A$1:$I$89,3,0)*0.475*44/12</f>
        <v>2.3048954287678574</v>
      </c>
      <c r="FS188" s="21">
        <f>EXP(-LN(2)/2)*FS187+(1-EXP(-LN(2)/2))/(LN(2)/2)*FM188*FP188*VLOOKUP('Données projet'!$B$16,Paramètres!$A$1:$I$89,3,0)*0.475*44/12</f>
        <v>8.1613306749717788E-15</v>
      </c>
      <c r="FT188" s="22">
        <f t="shared" si="184"/>
        <v>7.3828035652027664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5.6843418860808015E-14</v>
      </c>
      <c r="GA188" s="17">
        <f>FZ188*VLOOKUP('Données projet'!$B$17,Paramètres!$A$1:$I$89,3,0)*VLOOKUP('Données projet'!$B$17,Paramètres!$A$1:$I$89,5,0)</f>
        <v>5.1431925385259088E-14</v>
      </c>
      <c r="GB188" s="13">
        <f t="shared" si="185"/>
        <v>8.3482866290946129E-13</v>
      </c>
      <c r="GC188" s="20">
        <f t="shared" si="186"/>
        <v>1.5435705246133045E-12</v>
      </c>
      <c r="GD188" s="59">
        <f t="shared" si="134"/>
        <v>293.33333333333485</v>
      </c>
      <c r="GE188" s="59">
        <f ca="1">AVERAGE(OFFSET($GD$3,0,0,'Données projet'!$E$17+1,1))-AVERAGE(OFFSET($H$3,0,0,'Données projet'!$E$17+1,1))</f>
        <v>204.78565758021779</v>
      </c>
      <c r="GF188" s="59">
        <f t="shared" si="158"/>
        <v>287.25131613242439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0.97557901138795222</v>
      </c>
      <c r="GM188" s="21">
        <f>EXP(-LN(2)/25)*GM187+(1-EXP(-LN(2)/25))/(LN(2)/25)*Calculateur!GH188*Calculateur!GJ188*VLOOKUP('Données projet'!$B$17,Paramètres!$A$1:$I$89,3,0)*0.475*44/12</f>
        <v>0.27249905686154491</v>
      </c>
      <c r="GN188" s="21">
        <f>EXP(-LN(2)/2)*GN187+(1-EXP(-LN(2)/2))/(LN(2)/2)*GH188*GK188*VLOOKUP('Données projet'!$B$17,Paramètres!$A$1:$I$89,3,0)*0.475*44/12</f>
        <v>1.1681083570195267E-20</v>
      </c>
      <c r="GO188" s="21">
        <f t="shared" si="187"/>
        <v>1.2480780682494972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5.6843418860808015E-14</v>
      </c>
      <c r="GV188" s="17">
        <f>GU188*VLOOKUP('Données projet'!$B$18,Paramètres!$A$1:$I$89,3,0)*VLOOKUP('Données projet'!$B$18,Paramètres!$A$1:$I$89,5,0)</f>
        <v>4.4337866711430253E-14</v>
      </c>
      <c r="GW188" s="13">
        <f t="shared" si="188"/>
        <v>7.3222115536967035E-13</v>
      </c>
      <c r="GX188" s="20">
        <f t="shared" si="189"/>
        <v>1.3525069634579169E-12</v>
      </c>
      <c r="GY188" s="59">
        <f t="shared" si="137"/>
        <v>293.33333333333468</v>
      </c>
      <c r="GZ188" s="59">
        <f ca="1">AVERAGE(OFFSET($GY$3,0,0,'Données projet'!$E$18+1,1))-AVERAGE(OFFSET($H$3,0,0,'Données projet'!$E$18+1,1))</f>
        <v>288.82868507674738</v>
      </c>
      <c r="HA188" s="59">
        <f t="shared" si="160"/>
        <v>283.48738729114024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4.3226960619394932</v>
      </c>
      <c r="HH188" s="21">
        <f>EXP(-LN(2)/25)*HH187+(1-EXP(-LN(2)/25))/(LN(2)/25)*Calculateur!HC188*Calculateur!HE188*VLOOKUP('Données projet'!$B$18,Paramètres!$A$1:$I$89,3,0)*0.475*44/12</f>
        <v>1.6979396516950425</v>
      </c>
      <c r="HI188" s="21">
        <f>EXP(-LN(2)/2)*HI187+(1-EXP(-LN(2)/2))/(LN(2)/2)*HC188*HF188*VLOOKUP('Données projet'!$B$18,Paramètres!$A$1:$I$89,3,0)*0.475*44/12</f>
        <v>2.1078979413781216E-16</v>
      </c>
      <c r="HJ188" s="22">
        <f t="shared" si="190"/>
        <v>6.0206357136345359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349.71285006949597</v>
      </c>
      <c r="T189" s="59">
        <f t="shared" si="142"/>
        <v>258.51550516456842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18.78274859103232</v>
      </c>
      <c r="AA189" s="21">
        <f>EXP(-LN(2)/25)*AA188+(1-EXP(-LN(2)/25))/(LN(2)/25)*Calculateur!V189*Calculateur!X189*VLOOKUP('Données projet'!$B$9,Paramètres!$A$1:$I$89,3,0)*0.475*44/12</f>
        <v>2.7383940681976862</v>
      </c>
      <c r="AB189" s="21">
        <f>EXP(-LN(2)/2)*AB188+(1-EXP(-LN(2)/2))/(LN(2)/2)*V189*Y189*VLOOKUP('Données projet'!$B$9,Paramètres!$A$1:$I$89,3,0)*0.475*44/12</f>
        <v>7.8511245062094733E-15</v>
      </c>
      <c r="AC189" s="22">
        <f t="shared" si="163"/>
        <v>21.521142659230012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2.5579538487363607E-13</v>
      </c>
      <c r="AJ189" s="13">
        <f>AI189*VLOOKUP('Données projet'!$B$10,Paramètres!$A$1:$I$89,3,0)*VLOOKUP('Données projet'!$B$10,Paramètres!$A$1:$I$89,5,0)</f>
        <v>2.4341488824575211E-13</v>
      </c>
      <c r="AK189" s="13">
        <f t="shared" si="164"/>
        <v>3.2970717324875541E-12</v>
      </c>
      <c r="AL189" s="20">
        <f t="shared" si="165"/>
        <v>6.1663475311105072E-12</v>
      </c>
      <c r="AM189" s="59">
        <f t="shared" si="113"/>
        <v>293.33333333333945</v>
      </c>
      <c r="AN189" s="59">
        <f ca="1">AVERAGE(OFFSET($AM$3,0,0,'Données projet'!$E$10+1,1))-AVERAGE(OFFSET($H$3,0,0,'Données projet'!$E$10+1,1))</f>
        <v>449.28947235329758</v>
      </c>
      <c r="AO189" s="59">
        <f t="shared" si="144"/>
        <v>289.36994109443964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39.192586916870326</v>
      </c>
      <c r="AV189" s="21">
        <f>EXP(-LN(2)/25)*AV188+(1-EXP(-LN(2)/25))/(LN(2)/25)*Calculateur!AQ189*Calculateur!AS189*VLOOKUP('Données projet'!$B$10,Paramètres!$A$1:$I$89,3,0)*0.475*44/12</f>
        <v>5.2410719872445988</v>
      </c>
      <c r="AW189" s="21">
        <f>EXP(-LN(2)/2)*AW188+(1-EXP(-LN(2)/2))/(LN(2)/2)*AQ189*AT189*VLOOKUP('Données projet'!$B$10,Paramètres!$A$1:$I$89,3,0)*0.475*44/12</f>
        <v>2.6678457758752675E-8</v>
      </c>
      <c r="AX189" s="21">
        <f t="shared" si="166"/>
        <v>44.433658930793378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7.2004695539362725E-13</v>
      </c>
      <c r="BF189" s="13">
        <f t="shared" si="167"/>
        <v>8.5963894794935589E-12</v>
      </c>
      <c r="BG189" s="20">
        <f t="shared" si="168"/>
        <v>1.6226126790761848E-11</v>
      </c>
      <c r="BH189" s="59">
        <f t="shared" si="116"/>
        <v>293.33333333334951</v>
      </c>
      <c r="BI189" s="59">
        <f ca="1">AVERAGE(OFFSET($BH$3,0,0,'Données projet'!$E$11+1,1))-AVERAGE(OFFSET($H$3,0,0,'Données projet'!$E$11+1,1))</f>
        <v>635.71275911100679</v>
      </c>
      <c r="BJ189" s="59">
        <f t="shared" si="146"/>
        <v>281.7776857269169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145.24038459878517</v>
      </c>
      <c r="BQ189" s="21">
        <f>EXP(-LN(2)/25)*BQ188+(1-EXP(-LN(2)/25))/(LN(2)/25)*Calculateur!BL189*Calculateur!BN189*VLOOKUP('Données projet'!$B$11,Paramètres!$A$1:$I$89,3,0)*0.475*44/12</f>
        <v>23.686464837685246</v>
      </c>
      <c r="BR189" s="21">
        <f>EXP(-LN(2)/2)*BR188+(1-EXP(-LN(2)/2))/(LN(2)/2)*BL189*BO189*VLOOKUP('Données projet'!$B$11,Paramètres!$A$1:$I$89,3,0)*0.475*44/12</f>
        <v>3.7563852232046777</v>
      </c>
      <c r="BS189" s="22">
        <f t="shared" si="169"/>
        <v>172.68323465967509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3.0825000000000031</v>
      </c>
      <c r="BY189" s="12">
        <f>IF('Données projet'!$A$114&gt;35,BY188+BX189-CG188,IF(A189&lt;'Données projet'!$A$114,$BV$205^A189,IF(A189='Données projet'!$A$114,'Données projet'!$B$114,BY188+BX189-CG188)))</f>
        <v>205.10499999999971</v>
      </c>
      <c r="BZ189" s="13">
        <f>BY189*VLOOKUP('Données projet'!$B$12,Paramètres!$A$1:$I$89,3,0)*VLOOKUP('Données projet'!$B$12,Paramètres!$A$1:$I$89,5,0)</f>
        <v>233.57357399999967</v>
      </c>
      <c r="CA189" s="13">
        <f t="shared" si="170"/>
        <v>57.054677066881858</v>
      </c>
      <c r="CB189" s="20">
        <f t="shared" si="171"/>
        <v>506.17753727481869</v>
      </c>
      <c r="CC189" s="59">
        <f t="shared" si="119"/>
        <v>799.510870608152</v>
      </c>
      <c r="CD189" s="59">
        <f ca="1">AVERAGE(OFFSET($CC$3,0,0,'Données projet'!$E$12+1,1))-AVERAGE(OFFSET($H$3,0,0,'Données projet'!$E$12+1,1))</f>
        <v>593.28343396240075</v>
      </c>
      <c r="CE189" s="59">
        <f t="shared" si="148"/>
        <v>289.66477662068695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108.13777574228497</v>
      </c>
      <c r="CL189" s="21">
        <f>EXP(-LN(2)/25)*CL188+(1-EXP(-LN(2)/25))/(LN(2)/25)*Calculateur!CG189*Calculateur!CI189*VLOOKUP('Données projet'!$B$12,Paramètres!$A$1:$I$89,3,0)*0.475*44/12</f>
        <v>42.206719454886894</v>
      </c>
      <c r="CM189" s="21">
        <f>EXP(-LN(2)/2)*CM188+(1-EXP(-LN(2)/2))/(LN(2)/2)*CG189*CJ189*VLOOKUP('Données projet'!$B$12,Paramètres!$A$1:$I$89,3,0)*0.475*44/12</f>
        <v>3.1629916327961252E-6</v>
      </c>
      <c r="CN189" s="22">
        <f t="shared" si="172"/>
        <v>150.3444983601635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2.2737367544323206E-13</v>
      </c>
      <c r="CU189" s="17">
        <f>CT189*VLOOKUP('Données projet'!$B$13,Paramètres!$A$1:$I$89,3,0)*VLOOKUP('Données projet'!$B$13,Paramètres!$A$1:$I$89,5,0)</f>
        <v>2.3765096557326618E-13</v>
      </c>
      <c r="CV189" s="13">
        <f t="shared" si="173"/>
        <v>3.2279907425805489E-12</v>
      </c>
      <c r="CW189" s="20">
        <f t="shared" si="174"/>
        <v>6.0359926417012276E-12</v>
      </c>
      <c r="CX189" s="59">
        <f t="shared" si="122"/>
        <v>293.33333333333934</v>
      </c>
      <c r="CY189" s="59">
        <f ca="1">AVERAGE(OFFSET($CX$3,0,0,'Données projet'!$E$13+1,1))-AVERAGE(OFFSET($H$3,0,0,'Données projet'!$E$13+1,1))</f>
        <v>260.65406541614402</v>
      </c>
      <c r="CZ189" s="59">
        <f t="shared" si="150"/>
        <v>277.63456890196886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2.6911824672286411</v>
      </c>
      <c r="DG189" s="21">
        <f>EXP(-LN(2)/25)*DG188+(1-EXP(-LN(2)/25))/(LN(2)/25)*Calculateur!DB189*Calculateur!DD189*VLOOKUP('Données projet'!$B$13,Paramètres!$A$1:$I$89,3,0)*0.475*44/12</f>
        <v>3.4593768766394479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6.150559343868089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1.4897523215040565E-13</v>
      </c>
      <c r="DQ189" s="13">
        <f t="shared" si="176"/>
        <v>2.136562777003313E-12</v>
      </c>
      <c r="DR189" s="20">
        <f t="shared" si="177"/>
        <v>3.9806453659427267E-12</v>
      </c>
      <c r="DS189" s="59">
        <f t="shared" si="125"/>
        <v>293.33333333333729</v>
      </c>
      <c r="DT189" s="59">
        <f ca="1">AVERAGE(OFFSET($DS$3,0,0,'Données projet'!$E$14+1,1))-AVERAGE(OFFSET($H$3,0,0,'Données projet'!$E$14+1,1))</f>
        <v>181.4272795535777</v>
      </c>
      <c r="DU189" s="59">
        <f t="shared" si="152"/>
        <v>187.67131775419904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2.5254915521071979</v>
      </c>
      <c r="EB189" s="21">
        <f>EXP(-LN(2)/25)*EB188+(1-EXP(-LN(2)/25))/(LN(2)/25)*Calculateur!DW189*Calculateur!DY189*VLOOKUP('Données projet'!$B$14,Paramètres!$A$1:$I$89,3,0)*0.475*44/12</f>
        <v>1.2599221444228472</v>
      </c>
      <c r="EC189" s="21">
        <f>EXP(-LN(2)/2)*EC188+(1-EXP(-LN(2)/2))/(LN(2)/2)*DW189*DZ189*VLOOKUP('Données projet'!$B$14,Paramètres!$A$1:$I$89,3,0)*0.475*44/12</f>
        <v>8.9144441684021709E-14</v>
      </c>
      <c r="ED189" s="22">
        <f t="shared" si="178"/>
        <v>3.7854136965301346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9.2222762759774927E-14</v>
      </c>
      <c r="EL189" s="13">
        <f t="shared" si="179"/>
        <v>1.3985662224947967E-12</v>
      </c>
      <c r="EM189" s="20">
        <f t="shared" si="180"/>
        <v>2.5964574826517121E-12</v>
      </c>
      <c r="EN189" s="59">
        <f t="shared" si="128"/>
        <v>293.33333333333593</v>
      </c>
      <c r="EO189" s="59">
        <f ca="1">AVERAGE(OFFSET($EN$3,0,0,'Données projet'!$E$15+1,1))-AVERAGE(OFFSET($H$3,0,0,'Données projet'!$E$15+1,1))</f>
        <v>159.68591355116837</v>
      </c>
      <c r="EP189" s="59">
        <f t="shared" si="154"/>
        <v>284.32631786390112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0.80936756538538013</v>
      </c>
      <c r="EW189" s="21">
        <f>EXP(-LN(2)/25)*EW188+(1-EXP(-LN(2)/25))/(LN(2)/25)*Calculateur!ER189*Calculateur!ET189*VLOOKUP('Données projet'!$B$15,Paramètres!$A$1:$I$89,3,0)*0.475*44/12</f>
        <v>0.33728151519715066</v>
      </c>
      <c r="EX189" s="21">
        <f>EXP(-LN(2)/2)*EX188+(1-EXP(-LN(2)/2))/(LN(2)/2)*ER189*EU189*VLOOKUP('Données projet'!$B$15,Paramètres!$A$1:$I$89,3,0)*0.475*44/12</f>
        <v>3.0897765453691267E-21</v>
      </c>
      <c r="EY189" s="22">
        <f t="shared" si="181"/>
        <v>1.1466490805825309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-1.3567387213697657E-13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299.10536994156814</v>
      </c>
      <c r="FK189" s="59">
        <f t="shared" si="156"/>
        <v>292.57799203101769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4.9783334550975509</v>
      </c>
      <c r="FR189" s="21">
        <f>EXP(-LN(2)/25)*FR188+(1-EXP(-LN(2)/25))/(LN(2)/25)*Calculateur!FM189*Calculateur!FO189*VLOOKUP('Données projet'!$B$16,Paramètres!$A$1:$I$89,3,0)*0.475*44/12</f>
        <v>2.2418679420590175</v>
      </c>
      <c r="FS189" s="21">
        <f>EXP(-LN(2)/2)*FS188+(1-EXP(-LN(2)/2))/(LN(2)/2)*FM189*FP189*VLOOKUP('Données projet'!$B$16,Paramètres!$A$1:$I$89,3,0)*0.475*44/12</f>
        <v>5.7709322637783279E-15</v>
      </c>
      <c r="FT189" s="22">
        <f t="shared" si="184"/>
        <v>7.2202013971565737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5.6843418860808015E-14</v>
      </c>
      <c r="GA189" s="17">
        <f>FZ189*VLOOKUP('Données projet'!$B$17,Paramètres!$A$1:$I$89,3,0)*VLOOKUP('Données projet'!$B$17,Paramètres!$A$1:$I$89,5,0)</f>
        <v>5.1431925385259088E-14</v>
      </c>
      <c r="GB189" s="13">
        <f t="shared" si="185"/>
        <v>8.3482866290946129E-13</v>
      </c>
      <c r="GC189" s="20">
        <f t="shared" si="186"/>
        <v>1.5435705246133045E-12</v>
      </c>
      <c r="GD189" s="59">
        <f t="shared" si="134"/>
        <v>293.33333333333485</v>
      </c>
      <c r="GE189" s="59">
        <f ca="1">AVERAGE(OFFSET($GD$3,0,0,'Données projet'!$E$17+1,1))-AVERAGE(OFFSET($H$3,0,0,'Données projet'!$E$17+1,1))</f>
        <v>204.78565758021779</v>
      </c>
      <c r="GF189" s="59">
        <f t="shared" si="158"/>
        <v>287.25131613242439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0.95644850201907572</v>
      </c>
      <c r="GM189" s="21">
        <f>EXP(-LN(2)/25)*GM188+(1-EXP(-LN(2)/25))/(LN(2)/25)*Calculateur!GH189*Calculateur!GJ189*VLOOKUP('Données projet'!$B$17,Paramètres!$A$1:$I$89,3,0)*0.475*44/12</f>
        <v>0.26504755582156336</v>
      </c>
      <c r="GN189" s="21">
        <f>EXP(-LN(2)/2)*GN188+(1-EXP(-LN(2)/2))/(LN(2)/2)*GH189*GK189*VLOOKUP('Données projet'!$B$17,Paramètres!$A$1:$I$89,3,0)*0.475*44/12</f>
        <v>8.2597734040918396E-21</v>
      </c>
      <c r="GO189" s="21">
        <f t="shared" si="187"/>
        <v>1.2214960578406391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5.6843418860808015E-14</v>
      </c>
      <c r="GV189" s="17">
        <f>GU189*VLOOKUP('Données projet'!$B$18,Paramètres!$A$1:$I$89,3,0)*VLOOKUP('Données projet'!$B$18,Paramètres!$A$1:$I$89,5,0)</f>
        <v>4.4337866711430253E-14</v>
      </c>
      <c r="GW189" s="13">
        <f t="shared" si="188"/>
        <v>7.3222115536967035E-13</v>
      </c>
      <c r="GX189" s="20">
        <f t="shared" si="189"/>
        <v>1.3525069634579169E-12</v>
      </c>
      <c r="GY189" s="59">
        <f t="shared" si="137"/>
        <v>293.33333333333468</v>
      </c>
      <c r="GZ189" s="59">
        <f ca="1">AVERAGE(OFFSET($GY$3,0,0,'Données projet'!$E$18+1,1))-AVERAGE(OFFSET($H$3,0,0,'Données projet'!$E$18+1,1))</f>
        <v>288.82868507674738</v>
      </c>
      <c r="HA189" s="59">
        <f t="shared" si="160"/>
        <v>283.48738729114024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4.2379306287491163</v>
      </c>
      <c r="HH189" s="21">
        <f>EXP(-LN(2)/25)*HH188+(1-EXP(-LN(2)/25))/(LN(2)/25)*Calculateur!HC189*Calculateur!HE189*VLOOKUP('Données projet'!$B$18,Paramètres!$A$1:$I$89,3,0)*0.475*44/12</f>
        <v>1.6515094026286758</v>
      </c>
      <c r="HI189" s="21">
        <f>EXP(-LN(2)/2)*HI188+(1-EXP(-LN(2)/2))/(LN(2)/2)*HC189*HF189*VLOOKUP('Données projet'!$B$18,Paramètres!$A$1:$I$89,3,0)*0.475*44/12</f>
        <v>1.4905089283976334E-16</v>
      </c>
      <c r="HJ189" s="22">
        <f t="shared" si="190"/>
        <v>5.8894400313777924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349.71285006949597</v>
      </c>
      <c r="T190" s="59">
        <f t="shared" si="142"/>
        <v>258.51550516456842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18.414430347507597</v>
      </c>
      <c r="AA190" s="21">
        <f>EXP(-LN(2)/25)*AA189+(1-EXP(-LN(2)/25))/(LN(2)/25)*Calculateur!V190*Calculateur!X190*VLOOKUP('Données projet'!$B$9,Paramètres!$A$1:$I$89,3,0)*0.475*44/12</f>
        <v>2.6635125383969349</v>
      </c>
      <c r="AB190" s="21">
        <f>EXP(-LN(2)/2)*AB189+(1-EXP(-LN(2)/2))/(LN(2)/2)*V190*Y190*VLOOKUP('Données projet'!$B$9,Paramètres!$A$1:$I$89,3,0)*0.475*44/12</f>
        <v>5.5515833782806031E-15</v>
      </c>
      <c r="AC190" s="22">
        <f t="shared" si="163"/>
        <v>21.077942885904541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2.5579538487363607E-13</v>
      </c>
      <c r="AJ190" s="13">
        <f>AI190*VLOOKUP('Données projet'!$B$10,Paramètres!$A$1:$I$89,3,0)*VLOOKUP('Données projet'!$B$10,Paramètres!$A$1:$I$89,5,0)</f>
        <v>2.4341488824575211E-13</v>
      </c>
      <c r="AK190" s="13">
        <f t="shared" si="164"/>
        <v>3.2970717324875541E-12</v>
      </c>
      <c r="AL190" s="20">
        <f t="shared" si="165"/>
        <v>6.1663475311105072E-12</v>
      </c>
      <c r="AM190" s="59">
        <f t="shared" si="113"/>
        <v>293.33333333333945</v>
      </c>
      <c r="AN190" s="59">
        <f ca="1">AVERAGE(OFFSET($AM$3,0,0,'Données projet'!$E$10+1,1))-AVERAGE(OFFSET($H$3,0,0,'Données projet'!$E$10+1,1))</f>
        <v>449.28947235329758</v>
      </c>
      <c r="AO190" s="59">
        <f t="shared" si="144"/>
        <v>289.36994109443964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38.424044192548081</v>
      </c>
      <c r="AV190" s="21">
        <f>EXP(-LN(2)/25)*AV189+(1-EXP(-LN(2)/25))/(LN(2)/25)*Calculateur!AQ190*Calculateur!AS190*VLOOKUP('Données projet'!$B$10,Paramètres!$A$1:$I$89,3,0)*0.475*44/12</f>
        <v>5.0977545981373984</v>
      </c>
      <c r="AW190" s="21">
        <f>EXP(-LN(2)/2)*AW189+(1-EXP(-LN(2)/2))/(LN(2)/2)*AQ190*AT190*VLOOKUP('Données projet'!$B$10,Paramètres!$A$1:$I$89,3,0)*0.475*44/12</f>
        <v>1.8864518392812878E-8</v>
      </c>
      <c r="AX190" s="21">
        <f t="shared" si="166"/>
        <v>43.521798809549999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7.2004695539362725E-13</v>
      </c>
      <c r="BF190" s="13">
        <f t="shared" si="167"/>
        <v>8.5963894794935589E-12</v>
      </c>
      <c r="BG190" s="20">
        <f t="shared" si="168"/>
        <v>1.6226126790761848E-11</v>
      </c>
      <c r="BH190" s="59">
        <f t="shared" si="116"/>
        <v>293.33333333334951</v>
      </c>
      <c r="BI190" s="59">
        <f ca="1">AVERAGE(OFFSET($BH$3,0,0,'Données projet'!$E$11+1,1))-AVERAGE(OFFSET($H$3,0,0,'Données projet'!$E$11+1,1))</f>
        <v>635.71275911100679</v>
      </c>
      <c r="BJ190" s="59">
        <f t="shared" si="146"/>
        <v>281.7776857269169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142.39230924469027</v>
      </c>
      <c r="BQ190" s="21">
        <f>EXP(-LN(2)/25)*BQ189+(1-EXP(-LN(2)/25))/(LN(2)/25)*Calculateur!BL190*Calculateur!BN190*VLOOKUP('Données projet'!$B$11,Paramètres!$A$1:$I$89,3,0)*0.475*44/12</f>
        <v>23.038757211081695</v>
      </c>
      <c r="BR190" s="21">
        <f>EXP(-LN(2)/2)*BR189+(1-EXP(-LN(2)/2))/(LN(2)/2)*BL190*BO190*VLOOKUP('Données projet'!$B$11,Paramètres!$A$1:$I$89,3,0)*0.475*44/12</f>
        <v>2.6561654640769707</v>
      </c>
      <c r="BS190" s="22">
        <f t="shared" si="169"/>
        <v>168.08723191984893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3.0825000000000031</v>
      </c>
      <c r="BY190" s="12">
        <f>IF('Données projet'!$A$114&gt;35,BY189+BX190-CG189,IF(A190&lt;'Données projet'!$A$114,$BV$205^A190,IF(A190='Données projet'!$A$114,'Données projet'!$B$114,BY189+BX190-CG189)))</f>
        <v>208.18749999999972</v>
      </c>
      <c r="BZ190" s="13">
        <f>BY190*VLOOKUP('Données projet'!$B$12,Paramètres!$A$1:$I$89,3,0)*VLOOKUP('Données projet'!$B$12,Paramètres!$A$1:$I$89,5,0)</f>
        <v>237.08392499999965</v>
      </c>
      <c r="CA190" s="13">
        <f t="shared" si="170"/>
        <v>57.81167705130656</v>
      </c>
      <c r="CB190" s="20">
        <f t="shared" si="171"/>
        <v>513.60984023935839</v>
      </c>
      <c r="CC190" s="59">
        <f t="shared" si="119"/>
        <v>806.94317357269165</v>
      </c>
      <c r="CD190" s="59">
        <f ca="1">AVERAGE(OFFSET($CC$3,0,0,'Données projet'!$E$12+1,1))-AVERAGE(OFFSET($H$3,0,0,'Données projet'!$E$12+1,1))</f>
        <v>593.28343396240075</v>
      </c>
      <c r="CE190" s="59">
        <f t="shared" si="148"/>
        <v>289.66477662068695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106.01725991750921</v>
      </c>
      <c r="CL190" s="21">
        <f>EXP(-LN(2)/25)*CL189+(1-EXP(-LN(2)/25))/(LN(2)/25)*Calculateur!CG190*Calculateur!CI190*VLOOKUP('Données projet'!$B$12,Paramètres!$A$1:$I$89,3,0)*0.475*44/12</f>
        <v>41.052574491838101</v>
      </c>
      <c r="CM190" s="21">
        <f>EXP(-LN(2)/2)*CM189+(1-EXP(-LN(2)/2))/(LN(2)/2)*CG190*CJ190*VLOOKUP('Données projet'!$B$12,Paramètres!$A$1:$I$89,3,0)*0.475*44/12</f>
        <v>2.2365728323864503E-6</v>
      </c>
      <c r="CN190" s="22">
        <f t="shared" si="172"/>
        <v>147.06983664592016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2.2737367544323206E-13</v>
      </c>
      <c r="CU190" s="17">
        <f>CT190*VLOOKUP('Données projet'!$B$13,Paramètres!$A$1:$I$89,3,0)*VLOOKUP('Données projet'!$B$13,Paramètres!$A$1:$I$89,5,0)</f>
        <v>2.3765096557326618E-13</v>
      </c>
      <c r="CV190" s="13">
        <f t="shared" si="173"/>
        <v>3.2279907425805489E-12</v>
      </c>
      <c r="CW190" s="20">
        <f t="shared" si="174"/>
        <v>6.0359926417012276E-12</v>
      </c>
      <c r="CX190" s="59">
        <f t="shared" si="122"/>
        <v>293.33333333333934</v>
      </c>
      <c r="CY190" s="59">
        <f ca="1">AVERAGE(OFFSET($CX$3,0,0,'Données projet'!$E$13+1,1))-AVERAGE(OFFSET($H$3,0,0,'Données projet'!$E$13+1,1))</f>
        <v>260.65406541614402</v>
      </c>
      <c r="CZ190" s="59">
        <f t="shared" si="150"/>
        <v>277.63456890196886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2.6384100205055119</v>
      </c>
      <c r="DG190" s="21">
        <f>EXP(-LN(2)/25)*DG189+(1-EXP(-LN(2)/25))/(LN(2)/25)*Calculateur!DB190*Calculateur!DD190*VLOOKUP('Données projet'!$B$13,Paramètres!$A$1:$I$89,3,0)*0.475*44/12</f>
        <v>3.3647800340270186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6.0031900545325305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1.4897523215040565E-13</v>
      </c>
      <c r="DQ190" s="13">
        <f t="shared" si="176"/>
        <v>2.136562777003313E-12</v>
      </c>
      <c r="DR190" s="20">
        <f t="shared" si="177"/>
        <v>3.9806453659427267E-12</v>
      </c>
      <c r="DS190" s="59">
        <f t="shared" si="125"/>
        <v>293.33333333333729</v>
      </c>
      <c r="DT190" s="59">
        <f ca="1">AVERAGE(OFFSET($DS$3,0,0,'Données projet'!$E$14+1,1))-AVERAGE(OFFSET($H$3,0,0,'Données projet'!$E$14+1,1))</f>
        <v>181.4272795535777</v>
      </c>
      <c r="DU190" s="59">
        <f t="shared" si="152"/>
        <v>187.67131775419904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2.4759682031681209</v>
      </c>
      <c r="EB190" s="21">
        <f>EXP(-LN(2)/25)*EB189+(1-EXP(-LN(2)/25))/(LN(2)/25)*Calculateur!DW190*Calculateur!DY190*VLOOKUP('Données projet'!$B$14,Paramètres!$A$1:$I$89,3,0)*0.475*44/12</f>
        <v>1.2254695071271784</v>
      </c>
      <c r="EC190" s="21">
        <f>EXP(-LN(2)/2)*EC189+(1-EXP(-LN(2)/2))/(LN(2)/2)*DW190*DZ190*VLOOKUP('Données projet'!$B$14,Paramètres!$A$1:$I$89,3,0)*0.475*44/12</f>
        <v>6.3034639219860484E-14</v>
      </c>
      <c r="ED190" s="22">
        <f t="shared" si="178"/>
        <v>3.7014377102953624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9.2222762759774927E-14</v>
      </c>
      <c r="EL190" s="13">
        <f t="shared" si="179"/>
        <v>1.3985662224947967E-12</v>
      </c>
      <c r="EM190" s="20">
        <f t="shared" si="180"/>
        <v>2.5964574826517121E-12</v>
      </c>
      <c r="EN190" s="59">
        <f t="shared" si="128"/>
        <v>293.33333333333593</v>
      </c>
      <c r="EO190" s="59">
        <f ca="1">AVERAGE(OFFSET($EN$3,0,0,'Données projet'!$E$15+1,1))-AVERAGE(OFFSET($H$3,0,0,'Données projet'!$E$15+1,1))</f>
        <v>159.68591355116837</v>
      </c>
      <c r="EP190" s="59">
        <f t="shared" si="154"/>
        <v>284.32631786390112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0.7934963610936423</v>
      </c>
      <c r="EW190" s="21">
        <f>EXP(-LN(2)/25)*EW189+(1-EXP(-LN(2)/25))/(LN(2)/25)*Calculateur!ER190*Calculateur!ET190*VLOOKUP('Données projet'!$B$15,Paramètres!$A$1:$I$89,3,0)*0.475*44/12</f>
        <v>0.32805853442722055</v>
      </c>
      <c r="EX190" s="21">
        <f>EXP(-LN(2)/2)*EX189+(1-EXP(-LN(2)/2))/(LN(2)/2)*ER190*EU190*VLOOKUP('Données projet'!$B$15,Paramètres!$A$1:$I$89,3,0)*0.475*44/12</f>
        <v>2.1848019475816538E-21</v>
      </c>
      <c r="EY190" s="22">
        <f t="shared" si="181"/>
        <v>1.121554895520863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-1.3567387213697657E-13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299.10536994156814</v>
      </c>
      <c r="FK190" s="59">
        <f t="shared" si="156"/>
        <v>292.57799203101769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4.880711372526668</v>
      </c>
      <c r="FR190" s="21">
        <f>EXP(-LN(2)/25)*FR189+(1-EXP(-LN(2)/25))/(LN(2)/25)*Calculateur!FM190*Calculateur!FO190*VLOOKUP('Données projet'!$B$16,Paramètres!$A$1:$I$89,3,0)*0.475*44/12</f>
        <v>2.1805639452887027</v>
      </c>
      <c r="FS190" s="21">
        <f>EXP(-LN(2)/2)*FS189+(1-EXP(-LN(2)/2))/(LN(2)/2)*FM190*FP190*VLOOKUP('Données projet'!$B$16,Paramètres!$A$1:$I$89,3,0)*0.475*44/12</f>
        <v>4.0806653374858894E-15</v>
      </c>
      <c r="FT190" s="22">
        <f t="shared" si="184"/>
        <v>7.0612753178153751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5.6843418860808015E-14</v>
      </c>
      <c r="GA190" s="17">
        <f>FZ190*VLOOKUP('Données projet'!$B$17,Paramètres!$A$1:$I$89,3,0)*VLOOKUP('Données projet'!$B$17,Paramètres!$A$1:$I$89,5,0)</f>
        <v>5.1431925385259088E-14</v>
      </c>
      <c r="GB190" s="13">
        <f t="shared" si="185"/>
        <v>8.3482866290946129E-13</v>
      </c>
      <c r="GC190" s="20">
        <f t="shared" si="186"/>
        <v>1.5435705246133045E-12</v>
      </c>
      <c r="GD190" s="59">
        <f t="shared" si="134"/>
        <v>293.33333333333485</v>
      </c>
      <c r="GE190" s="59">
        <f ca="1">AVERAGE(OFFSET($GD$3,0,0,'Données projet'!$E$17+1,1))-AVERAGE(OFFSET($H$3,0,0,'Données projet'!$E$17+1,1))</f>
        <v>204.78565758021779</v>
      </c>
      <c r="GF190" s="59">
        <f t="shared" si="158"/>
        <v>287.25131613242439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0.9376931302704643</v>
      </c>
      <c r="GM190" s="21">
        <f>EXP(-LN(2)/25)*GM189+(1-EXP(-LN(2)/25))/(LN(2)/25)*Calculateur!GH190*Calculateur!GJ190*VLOOKUP('Données projet'!$B$17,Paramètres!$A$1:$I$89,3,0)*0.475*44/12</f>
        <v>0.25779981646937755</v>
      </c>
      <c r="GN190" s="21">
        <f>EXP(-LN(2)/2)*GN189+(1-EXP(-LN(2)/2))/(LN(2)/2)*GH190*GK190*VLOOKUP('Données projet'!$B$17,Paramètres!$A$1:$I$89,3,0)*0.475*44/12</f>
        <v>5.8405417850976333E-21</v>
      </c>
      <c r="GO190" s="21">
        <f t="shared" si="187"/>
        <v>1.1954929467398419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5.6843418860808015E-14</v>
      </c>
      <c r="GV190" s="17">
        <f>GU190*VLOOKUP('Données projet'!$B$18,Paramètres!$A$1:$I$89,3,0)*VLOOKUP('Données projet'!$B$18,Paramètres!$A$1:$I$89,5,0)</f>
        <v>4.4337866711430253E-14</v>
      </c>
      <c r="GW190" s="13">
        <f t="shared" si="188"/>
        <v>7.3222115536967035E-13</v>
      </c>
      <c r="GX190" s="20">
        <f t="shared" si="189"/>
        <v>1.3525069634579169E-12</v>
      </c>
      <c r="GY190" s="59">
        <f t="shared" si="137"/>
        <v>293.33333333333468</v>
      </c>
      <c r="GZ190" s="59">
        <f ca="1">AVERAGE(OFFSET($GY$3,0,0,'Données projet'!$E$18+1,1))-AVERAGE(OFFSET($H$3,0,0,'Données projet'!$E$18+1,1))</f>
        <v>288.82868507674738</v>
      </c>
      <c r="HA190" s="59">
        <f t="shared" si="160"/>
        <v>283.48738729114024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4.1548273940017939</v>
      </c>
      <c r="HH190" s="21">
        <f>EXP(-LN(2)/25)*HH189+(1-EXP(-LN(2)/25))/(LN(2)/25)*Calculateur!HC190*Calculateur!HE190*VLOOKUP('Données projet'!$B$18,Paramètres!$A$1:$I$89,3,0)*0.475*44/12</f>
        <v>1.6063487911646899</v>
      </c>
      <c r="HI190" s="21">
        <f>EXP(-LN(2)/2)*HI189+(1-EXP(-LN(2)/2))/(LN(2)/2)*HC190*HF190*VLOOKUP('Données projet'!$B$18,Paramètres!$A$1:$I$89,3,0)*0.475*44/12</f>
        <v>1.0539489706890608E-16</v>
      </c>
      <c r="HJ190" s="22">
        <f t="shared" si="190"/>
        <v>5.7611761851664838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349.71285006949597</v>
      </c>
      <c r="T191" s="59">
        <f t="shared" si="142"/>
        <v>258.51550516456842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18.053334600086448</v>
      </c>
      <c r="AA191" s="21">
        <f>EXP(-LN(2)/25)*AA190+(1-EXP(-LN(2)/25))/(LN(2)/25)*Calculateur!V191*Calculateur!X191*VLOOKUP('Données projet'!$B$9,Paramètres!$A$1:$I$89,3,0)*0.475*44/12</f>
        <v>2.5906786479664339</v>
      </c>
      <c r="AB191" s="21">
        <f>EXP(-LN(2)/2)*AB190+(1-EXP(-LN(2)/2))/(LN(2)/2)*V191*Y191*VLOOKUP('Données projet'!$B$9,Paramètres!$A$1:$I$89,3,0)*0.475*44/12</f>
        <v>3.9255622531047366E-15</v>
      </c>
      <c r="AC191" s="22">
        <f t="shared" si="163"/>
        <v>20.644013248052886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2.5579538487363607E-13</v>
      </c>
      <c r="AJ191" s="13">
        <f>AI191*VLOOKUP('Données projet'!$B$10,Paramètres!$A$1:$I$89,3,0)*VLOOKUP('Données projet'!$B$10,Paramètres!$A$1:$I$89,5,0)</f>
        <v>2.4341488824575211E-13</v>
      </c>
      <c r="AK191" s="13">
        <f t="shared" si="164"/>
        <v>3.2970717324875541E-12</v>
      </c>
      <c r="AL191" s="20">
        <f t="shared" si="165"/>
        <v>6.1663475311105072E-12</v>
      </c>
      <c r="AM191" s="59">
        <f t="shared" si="113"/>
        <v>293.33333333333945</v>
      </c>
      <c r="AN191" s="59">
        <f ca="1">AVERAGE(OFFSET($AM$3,0,0,'Données projet'!$E$10+1,1))-AVERAGE(OFFSET($H$3,0,0,'Données projet'!$E$10+1,1))</f>
        <v>449.28947235329758</v>
      </c>
      <c r="AO191" s="59">
        <f t="shared" si="144"/>
        <v>289.36994109443964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37.670572122285023</v>
      </c>
      <c r="AV191" s="21">
        <f>EXP(-LN(2)/25)*AV190+(1-EXP(-LN(2)/25))/(LN(2)/25)*Calculateur!AQ191*Calculateur!AS191*VLOOKUP('Données projet'!$B$10,Paramètres!$A$1:$I$89,3,0)*0.475*44/12</f>
        <v>4.9583562305720683</v>
      </c>
      <c r="AW191" s="21">
        <f>EXP(-LN(2)/2)*AW190+(1-EXP(-LN(2)/2))/(LN(2)/2)*AQ191*AT191*VLOOKUP('Données projet'!$B$10,Paramètres!$A$1:$I$89,3,0)*0.475*44/12</f>
        <v>1.3339228879376337E-8</v>
      </c>
      <c r="AX191" s="21">
        <f t="shared" si="166"/>
        <v>42.62892836619632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7.2004695539362725E-13</v>
      </c>
      <c r="BF191" s="13">
        <f t="shared" si="167"/>
        <v>8.5963894794935589E-12</v>
      </c>
      <c r="BG191" s="20">
        <f t="shared" si="168"/>
        <v>1.6226126790761848E-11</v>
      </c>
      <c r="BH191" s="59">
        <f t="shared" si="116"/>
        <v>293.33333333334951</v>
      </c>
      <c r="BI191" s="59">
        <f ca="1">AVERAGE(OFFSET($BH$3,0,0,'Données projet'!$E$11+1,1))-AVERAGE(OFFSET($H$3,0,0,'Données projet'!$E$11+1,1))</f>
        <v>635.71275911100679</v>
      </c>
      <c r="BJ191" s="59">
        <f t="shared" si="146"/>
        <v>281.7776857269169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139.60008291113473</v>
      </c>
      <c r="BQ191" s="21">
        <f>EXP(-LN(2)/25)*BQ190+(1-EXP(-LN(2)/25))/(LN(2)/25)*Calculateur!BL191*Calculateur!BN191*VLOOKUP('Données projet'!$B$11,Paramètres!$A$1:$I$89,3,0)*0.475*44/12</f>
        <v>22.408761183589078</v>
      </c>
      <c r="BR191" s="21">
        <f>EXP(-LN(2)/2)*BR190+(1-EXP(-LN(2)/2))/(LN(2)/2)*BL191*BO191*VLOOKUP('Données projet'!$B$11,Paramètres!$A$1:$I$89,3,0)*0.475*44/12</f>
        <v>1.8781926116023391</v>
      </c>
      <c r="BS191" s="22">
        <f t="shared" si="169"/>
        <v>163.88703670632617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>
        <f>VLOOKUP(A191,'Données projet'!$A$113:$I$133,2,0)</f>
        <v>211.27</v>
      </c>
      <c r="BW191" s="12">
        <f>VLOOKUP(A191,'Données projet'!$A$113:$I$133,9,0)</f>
        <v>3.0825000000000031</v>
      </c>
      <c r="BX191" s="12">
        <f t="array" ref="BX191">INDEX(BW:BW,MIN(IF(ISNUMBER(BW191:BW387),ROW(BW191:BW387),"")))</f>
        <v>3.0825000000000031</v>
      </c>
      <c r="BY191" s="12">
        <f>IF('Données projet'!$A$114&gt;35,BY190+BX191-CG190,IF(A191&lt;'Données projet'!$A$114,$BV$205^A191,IF(A191='Données projet'!$A$114,'Données projet'!$B$114,BY190+BX191-CG190)))</f>
        <v>211.26999999999973</v>
      </c>
      <c r="BZ191" s="13">
        <f>BY191*VLOOKUP('Données projet'!$B$12,Paramètres!$A$1:$I$89,3,0)*VLOOKUP('Données projet'!$B$12,Paramètres!$A$1:$I$89,5,0)</f>
        <v>240.5942759999997</v>
      </c>
      <c r="CA191" s="13">
        <f t="shared" si="170"/>
        <v>58.56737344917299</v>
      </c>
      <c r="CB191" s="20">
        <f t="shared" si="171"/>
        <v>521.03987279064233</v>
      </c>
      <c r="CC191" s="59">
        <f t="shared" si="119"/>
        <v>814.37320612397571</v>
      </c>
      <c r="CD191" s="59">
        <f ca="1">AVERAGE(OFFSET($CC$3,0,0,'Données projet'!$E$12+1,1))-AVERAGE(OFFSET($H$3,0,0,'Données projet'!$E$12+1,1))</f>
        <v>593.28343396240075</v>
      </c>
      <c r="CE191" s="59">
        <f t="shared" si="148"/>
        <v>289.66477662068695</v>
      </c>
      <c r="CF191" s="15">
        <f>IF(ISNA(VLOOKUP(A191,'Données projet'!$A$113:$I$133,3,0)),0,VLOOKUP(A191,'Données projet'!$A$113:$I$133,3,0))</f>
        <v>15</v>
      </c>
      <c r="CG191" s="15">
        <f>IF(ISNA(VLOOKUP(A191,'Données projet'!$A$113:$I$133,4,0)),0,VLOOKUP(A191,'Données projet'!$A$113:$I$133,4,0))</f>
        <v>72.180000000000007</v>
      </c>
      <c r="CH191" s="16">
        <f>IF(ISNA(VLOOKUP(A191,'Données projet'!$A$113:$I$133,5,0)),0%,VLOOKUP(A191,'Données projet'!$A$113:$I$133,5,0)*VLOOKUP('Données projet'!$B$12,Paramètres!$A$1:$I$89,7,0))</f>
        <v>0.215</v>
      </c>
      <c r="CI191" s="16">
        <f>IF(ISNA(VLOOKUP(A191,'Données projet'!$A$113:$I$133,6,0)),0%,VLOOKUP(A191,'Données projet'!$A$113:$I$133,6,0)*VLOOKUP('Données projet'!$B$12,Paramètres!$A$1:$I$89,7,0))</f>
        <v>8.6000000000000007E-2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123.47496758275383</v>
      </c>
      <c r="CL191" s="21">
        <f>EXP(-LN(2)/25)*CL190+(1-EXP(-LN(2)/25))/(LN(2)/25)*Calculateur!CG191*Calculateur!CI191*VLOOKUP('Données projet'!$B$12,Paramètres!$A$1:$I$89,3,0)*0.475*44/12</f>
        <v>47.713876990129577</v>
      </c>
      <c r="CM191" s="21">
        <f>EXP(-LN(2)/2)*CM190+(1-EXP(-LN(2)/2))/(LN(2)/2)*CG191*CJ191*VLOOKUP('Données projet'!$B$12,Paramètres!$A$1:$I$89,3,0)*0.475*44/12</f>
        <v>1.5814958163980626E-6</v>
      </c>
      <c r="CN191" s="22">
        <f t="shared" si="172"/>
        <v>171.18884615437921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2.2737367544323206E-13</v>
      </c>
      <c r="CU191" s="17">
        <f>CT191*VLOOKUP('Données projet'!$B$13,Paramètres!$A$1:$I$89,3,0)*VLOOKUP('Données projet'!$B$13,Paramètres!$A$1:$I$89,5,0)</f>
        <v>2.3765096557326618E-13</v>
      </c>
      <c r="CV191" s="13">
        <f t="shared" si="173"/>
        <v>3.2279907425805489E-12</v>
      </c>
      <c r="CW191" s="20">
        <f t="shared" si="174"/>
        <v>6.0359926417012276E-12</v>
      </c>
      <c r="CX191" s="59">
        <f t="shared" si="122"/>
        <v>293.33333333333934</v>
      </c>
      <c r="CY191" s="59">
        <f ca="1">AVERAGE(OFFSET($CX$3,0,0,'Données projet'!$E$13+1,1))-AVERAGE(OFFSET($H$3,0,0,'Données projet'!$E$13+1,1))</f>
        <v>260.65406541614402</v>
      </c>
      <c r="CZ191" s="59">
        <f t="shared" si="150"/>
        <v>277.63456890196886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2.586672409274609</v>
      </c>
      <c r="DG191" s="21">
        <f>EXP(-LN(2)/25)*DG190+(1-EXP(-LN(2)/25))/(LN(2)/25)*Calculateur!DB191*Calculateur!DD191*VLOOKUP('Données projet'!$B$13,Paramètres!$A$1:$I$89,3,0)*0.475*44/12</f>
        <v>3.2727699470504583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5.8594423563250668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1.4897523215040565E-13</v>
      </c>
      <c r="DQ191" s="13">
        <f t="shared" si="176"/>
        <v>2.136562777003313E-12</v>
      </c>
      <c r="DR191" s="20">
        <f t="shared" si="177"/>
        <v>3.9806453659427267E-12</v>
      </c>
      <c r="DS191" s="59">
        <f t="shared" si="125"/>
        <v>293.33333333333729</v>
      </c>
      <c r="DT191" s="59">
        <f ca="1">AVERAGE(OFFSET($DS$3,0,0,'Données projet'!$E$14+1,1))-AVERAGE(OFFSET($H$3,0,0,'Données projet'!$E$14+1,1))</f>
        <v>181.4272795535777</v>
      </c>
      <c r="DU191" s="59">
        <f t="shared" si="152"/>
        <v>187.67131775419904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2.4274159768954791</v>
      </c>
      <c r="EB191" s="21">
        <f>EXP(-LN(2)/25)*EB190+(1-EXP(-LN(2)/25))/(LN(2)/25)*Calculateur!DW191*Calculateur!DY191*VLOOKUP('Données projet'!$B$14,Paramètres!$A$1:$I$89,3,0)*0.475*44/12</f>
        <v>1.1919589790101452</v>
      </c>
      <c r="EC191" s="21">
        <f>EXP(-LN(2)/2)*EC190+(1-EXP(-LN(2)/2))/(LN(2)/2)*DW191*DZ191*VLOOKUP('Données projet'!$B$14,Paramètres!$A$1:$I$89,3,0)*0.475*44/12</f>
        <v>4.4572220842010854E-14</v>
      </c>
      <c r="ED191" s="22">
        <f t="shared" si="178"/>
        <v>3.6193749559056689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9.2222762759774927E-14</v>
      </c>
      <c r="EL191" s="13">
        <f t="shared" si="179"/>
        <v>1.3985662224947967E-12</v>
      </c>
      <c r="EM191" s="20">
        <f t="shared" si="180"/>
        <v>2.5964574826517121E-12</v>
      </c>
      <c r="EN191" s="59">
        <f t="shared" si="128"/>
        <v>293.33333333333593</v>
      </c>
      <c r="EO191" s="59">
        <f ca="1">AVERAGE(OFFSET($EN$3,0,0,'Données projet'!$E$15+1,1))-AVERAGE(OFFSET($H$3,0,0,'Données projet'!$E$15+1,1))</f>
        <v>159.68591355116837</v>
      </c>
      <c r="EP191" s="59">
        <f t="shared" si="154"/>
        <v>284.32631786390112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0.7779363814375867</v>
      </c>
      <c r="EW191" s="21">
        <f>EXP(-LN(2)/25)*EW190+(1-EXP(-LN(2)/25))/(LN(2)/25)*Calculateur!ER191*Calculateur!ET191*VLOOKUP('Données projet'!$B$15,Paramètres!$A$1:$I$89,3,0)*0.475*44/12</f>
        <v>0.31908775655145966</v>
      </c>
      <c r="EX191" s="21">
        <f>EXP(-LN(2)/2)*EX190+(1-EXP(-LN(2)/2))/(LN(2)/2)*ER191*EU191*VLOOKUP('Données projet'!$B$15,Paramètres!$A$1:$I$89,3,0)*0.475*44/12</f>
        <v>1.5448882726845634E-21</v>
      </c>
      <c r="EY191" s="22">
        <f t="shared" si="181"/>
        <v>1.0970241379890464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-1.3567387213697657E-13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299.10536994156814</v>
      </c>
      <c r="FK191" s="59">
        <f t="shared" si="156"/>
        <v>292.57799203101769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4.7850035994514091</v>
      </c>
      <c r="FR191" s="21">
        <f>EXP(-LN(2)/25)*FR190+(1-EXP(-LN(2)/25))/(LN(2)/25)*Calculateur!FM191*Calculateur!FO191*VLOOKUP('Données projet'!$B$16,Paramètres!$A$1:$I$89,3,0)*0.475*44/12</f>
        <v>2.1209363095339091</v>
      </c>
      <c r="FS191" s="21">
        <f>EXP(-LN(2)/2)*FS190+(1-EXP(-LN(2)/2))/(LN(2)/2)*FM191*FP191*VLOOKUP('Données projet'!$B$16,Paramètres!$A$1:$I$89,3,0)*0.475*44/12</f>
        <v>2.8854661318891639E-15</v>
      </c>
      <c r="FT191" s="22">
        <f t="shared" si="184"/>
        <v>6.9059399089853208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5.6843418860808015E-14</v>
      </c>
      <c r="GA191" s="17">
        <f>FZ191*VLOOKUP('Données projet'!$B$17,Paramètres!$A$1:$I$89,3,0)*VLOOKUP('Données projet'!$B$17,Paramètres!$A$1:$I$89,5,0)</f>
        <v>5.1431925385259088E-14</v>
      </c>
      <c r="GB191" s="13">
        <f t="shared" si="185"/>
        <v>8.3482866290946129E-13</v>
      </c>
      <c r="GC191" s="20">
        <f t="shared" si="186"/>
        <v>1.5435705246133045E-12</v>
      </c>
      <c r="GD191" s="59">
        <f t="shared" si="134"/>
        <v>293.33333333333485</v>
      </c>
      <c r="GE191" s="59">
        <f ca="1">AVERAGE(OFFSET($GD$3,0,0,'Données projet'!$E$17+1,1))-AVERAGE(OFFSET($H$3,0,0,'Données projet'!$E$17+1,1))</f>
        <v>204.78565758021779</v>
      </c>
      <c r="GF191" s="59">
        <f t="shared" si="158"/>
        <v>287.25131613242439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0.91930553992219599</v>
      </c>
      <c r="GM191" s="21">
        <f>EXP(-LN(2)/25)*GM190+(1-EXP(-LN(2)/25))/(LN(2)/25)*Calculateur!GH191*Calculateur!GJ191*VLOOKUP('Données projet'!$B$17,Paramètres!$A$1:$I$89,3,0)*0.475*44/12</f>
        <v>0.25075026693091929</v>
      </c>
      <c r="GN191" s="21">
        <f>EXP(-LN(2)/2)*GN190+(1-EXP(-LN(2)/2))/(LN(2)/2)*GH191*GK191*VLOOKUP('Données projet'!$B$17,Paramètres!$A$1:$I$89,3,0)*0.475*44/12</f>
        <v>4.1298867020459198E-21</v>
      </c>
      <c r="GO191" s="21">
        <f t="shared" si="187"/>
        <v>1.1700558068531153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5.6843418860808015E-14</v>
      </c>
      <c r="GV191" s="17">
        <f>GU191*VLOOKUP('Données projet'!$B$18,Paramètres!$A$1:$I$89,3,0)*VLOOKUP('Données projet'!$B$18,Paramètres!$A$1:$I$89,5,0)</f>
        <v>4.4337866711430253E-14</v>
      </c>
      <c r="GW191" s="13">
        <f t="shared" si="188"/>
        <v>7.3222115536967035E-13</v>
      </c>
      <c r="GX191" s="20">
        <f t="shared" si="189"/>
        <v>1.3525069634579169E-12</v>
      </c>
      <c r="GY191" s="59">
        <f t="shared" si="137"/>
        <v>293.33333333333468</v>
      </c>
      <c r="GZ191" s="59">
        <f ca="1">AVERAGE(OFFSET($GY$3,0,0,'Données projet'!$E$18+1,1))-AVERAGE(OFFSET($H$3,0,0,'Données projet'!$E$18+1,1))</f>
        <v>288.82868507674738</v>
      </c>
      <c r="HA191" s="59">
        <f t="shared" si="160"/>
        <v>283.48738729114024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4.0733537629998979</v>
      </c>
      <c r="HH191" s="21">
        <f>EXP(-LN(2)/25)*HH190+(1-EXP(-LN(2)/25))/(LN(2)/25)*Calculateur!HC191*Calculateur!HE191*VLOOKUP('Données projet'!$B$18,Paramètres!$A$1:$I$89,3,0)*0.475*44/12</f>
        <v>1.5624230989960799</v>
      </c>
      <c r="HI191" s="21">
        <f>EXP(-LN(2)/2)*HI190+(1-EXP(-LN(2)/2))/(LN(2)/2)*HC191*HF191*VLOOKUP('Données projet'!$B$18,Paramètres!$A$1:$I$89,3,0)*0.475*44/12</f>
        <v>7.4525446419881671E-17</v>
      </c>
      <c r="HJ191" s="22">
        <f t="shared" si="190"/>
        <v>5.6357768619959776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349.71285006949597</v>
      </c>
      <c r="T192" s="59">
        <f t="shared" si="142"/>
        <v>258.51550516456842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17.699319720025567</v>
      </c>
      <c r="AA192" s="21">
        <f>EXP(-LN(2)/25)*AA191+(1-EXP(-LN(2)/25))/(LN(2)/25)*Calculateur!V192*Calculateur!X192*VLOOKUP('Données projet'!$B$9,Paramètres!$A$1:$I$89,3,0)*0.475*44/12</f>
        <v>2.5198364040999226</v>
      </c>
      <c r="AB192" s="21">
        <f>EXP(-LN(2)/2)*AB191+(1-EXP(-LN(2)/2))/(LN(2)/2)*V192*Y192*VLOOKUP('Données projet'!$B$9,Paramètres!$A$1:$I$89,3,0)*0.475*44/12</f>
        <v>2.7757916891403015E-15</v>
      </c>
      <c r="AC192" s="22">
        <f t="shared" si="163"/>
        <v>20.219156124125494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2.5579538487363607E-13</v>
      </c>
      <c r="AJ192" s="13">
        <f>AI192*VLOOKUP('Données projet'!$B$10,Paramètres!$A$1:$I$89,3,0)*VLOOKUP('Données projet'!$B$10,Paramètres!$A$1:$I$89,5,0)</f>
        <v>2.4341488824575211E-13</v>
      </c>
      <c r="AK192" s="13">
        <f t="shared" si="164"/>
        <v>3.2970717324875541E-12</v>
      </c>
      <c r="AL192" s="20">
        <f t="shared" si="165"/>
        <v>6.1663475311105072E-12</v>
      </c>
      <c r="AM192" s="59">
        <f t="shared" si="113"/>
        <v>293.33333333333945</v>
      </c>
      <c r="AN192" s="59">
        <f ca="1">AVERAGE(OFFSET($AM$3,0,0,'Données projet'!$E$10+1,1))-AVERAGE(OFFSET($H$3,0,0,'Données projet'!$E$10+1,1))</f>
        <v>449.28947235329758</v>
      </c>
      <c r="AO192" s="59">
        <f t="shared" si="144"/>
        <v>289.36994109443964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36.931875179747237</v>
      </c>
      <c r="AV192" s="21">
        <f>EXP(-LN(2)/25)*AV191+(1-EXP(-LN(2)/25))/(LN(2)/25)*Calculateur!AQ192*Calculateur!AS192*VLOOKUP('Données projet'!$B$10,Paramètres!$A$1:$I$89,3,0)*0.475*44/12</f>
        <v>4.8227697186984537</v>
      </c>
      <c r="AW192" s="21">
        <f>EXP(-LN(2)/2)*AW191+(1-EXP(-LN(2)/2))/(LN(2)/2)*AQ192*AT192*VLOOKUP('Données projet'!$B$10,Paramètres!$A$1:$I$89,3,0)*0.475*44/12</f>
        <v>9.4322591964064392E-9</v>
      </c>
      <c r="AX192" s="21">
        <f t="shared" si="166"/>
        <v>41.754644907877946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7.2004695539362725E-13</v>
      </c>
      <c r="BF192" s="13">
        <f t="shared" si="167"/>
        <v>8.5963894794935589E-12</v>
      </c>
      <c r="BG192" s="20">
        <f t="shared" si="168"/>
        <v>1.6226126790761848E-11</v>
      </c>
      <c r="BH192" s="59">
        <f t="shared" si="116"/>
        <v>293.33333333334951</v>
      </c>
      <c r="BI192" s="59">
        <f ca="1">AVERAGE(OFFSET($BH$3,0,0,'Données projet'!$E$11+1,1))-AVERAGE(OFFSET($H$3,0,0,'Données projet'!$E$11+1,1))</f>
        <v>635.71275911100679</v>
      </c>
      <c r="BJ192" s="59">
        <f t="shared" si="146"/>
        <v>281.7776857269169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136.86261043289034</v>
      </c>
      <c r="BQ192" s="21">
        <f>EXP(-LN(2)/25)*BQ191+(1-EXP(-LN(2)/25))/(LN(2)/25)*Calculateur!BL192*Calculateur!BN192*VLOOKUP('Données projet'!$B$11,Paramètres!$A$1:$I$89,3,0)*0.475*44/12</f>
        <v>21.7959924305983</v>
      </c>
      <c r="BR192" s="21">
        <f>EXP(-LN(2)/2)*BR191+(1-EXP(-LN(2)/2))/(LN(2)/2)*BL192*BO192*VLOOKUP('Données projet'!$B$11,Paramètres!$A$1:$I$89,3,0)*0.475*44/12</f>
        <v>1.3280827320384856</v>
      </c>
      <c r="BS192" s="22">
        <f t="shared" si="169"/>
        <v>159.98668559552712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1.9733333333333292</v>
      </c>
      <c r="BY192" s="12">
        <f>IF('Données projet'!$A$114&gt;35,BY191+BX192-CG191,IF(A192&lt;'Données projet'!$A$114,$BV$205^A192,IF(A192='Données projet'!$A$114,'Données projet'!$B$114,BY191+BX192-CG191)))</f>
        <v>141.06333333333305</v>
      </c>
      <c r="BZ192" s="13">
        <f>BY192*VLOOKUP('Données projet'!$B$12,Paramètres!$A$1:$I$89,3,0)*VLOOKUP('Données projet'!$B$12,Paramètres!$A$1:$I$89,5,0)</f>
        <v>160.64292399999968</v>
      </c>
      <c r="CA192" s="13">
        <f t="shared" si="170"/>
        <v>40.987494846781502</v>
      </c>
      <c r="CB192" s="20">
        <f t="shared" si="171"/>
        <v>351.17297949147724</v>
      </c>
      <c r="CC192" s="59">
        <f t="shared" si="119"/>
        <v>644.50631282481049</v>
      </c>
      <c r="CD192" s="59">
        <f ca="1">AVERAGE(OFFSET($CC$3,0,0,'Données projet'!$E$12+1,1))-AVERAGE(OFFSET($H$3,0,0,'Données projet'!$E$12+1,1))</f>
        <v>593.28343396240075</v>
      </c>
      <c r="CE192" s="59">
        <f t="shared" si="148"/>
        <v>289.66477662068695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121.05369878074978</v>
      </c>
      <c r="CL192" s="21">
        <f>EXP(-LN(2)/25)*CL191+(1-EXP(-LN(2)/25))/(LN(2)/25)*Calculateur!CG192*Calculateur!CI192*VLOOKUP('Données projet'!$B$12,Paramètres!$A$1:$I$89,3,0)*0.475*44/12</f>
        <v>46.409138514670744</v>
      </c>
      <c r="CM192" s="21">
        <f>EXP(-LN(2)/2)*CM191+(1-EXP(-LN(2)/2))/(LN(2)/2)*CG192*CJ192*VLOOKUP('Données projet'!$B$12,Paramètres!$A$1:$I$89,3,0)*0.475*44/12</f>
        <v>1.1182864161932252E-6</v>
      </c>
      <c r="CN192" s="22">
        <f t="shared" si="172"/>
        <v>167.46283841370692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2.2737367544323206E-13</v>
      </c>
      <c r="CU192" s="17">
        <f>CT192*VLOOKUP('Données projet'!$B$13,Paramètres!$A$1:$I$89,3,0)*VLOOKUP('Données projet'!$B$13,Paramètres!$A$1:$I$89,5,0)</f>
        <v>2.3765096557326618E-13</v>
      </c>
      <c r="CV192" s="13">
        <f t="shared" si="173"/>
        <v>3.2279907425805489E-12</v>
      </c>
      <c r="CW192" s="20">
        <f t="shared" si="174"/>
        <v>6.0359926417012276E-12</v>
      </c>
      <c r="CX192" s="59">
        <f t="shared" si="122"/>
        <v>293.33333333333934</v>
      </c>
      <c r="CY192" s="59">
        <f ca="1">AVERAGE(OFFSET($CX$3,0,0,'Données projet'!$E$13+1,1))-AVERAGE(OFFSET($H$3,0,0,'Données projet'!$E$13+1,1))</f>
        <v>260.65406541614402</v>
      </c>
      <c r="CZ192" s="59">
        <f t="shared" si="150"/>
        <v>277.63456890196886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2.5359493410431173</v>
      </c>
      <c r="DG192" s="21">
        <f>EXP(-LN(2)/25)*DG191+(1-EXP(-LN(2)/25))/(LN(2)/25)*Calculateur!DB192*Calculateur!DD192*VLOOKUP('Données projet'!$B$13,Paramètres!$A$1:$I$89,3,0)*0.475*44/12</f>
        <v>3.1832758807408719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5.7192252217839892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1.4897523215040565E-13</v>
      </c>
      <c r="DQ192" s="13">
        <f t="shared" si="176"/>
        <v>2.136562777003313E-12</v>
      </c>
      <c r="DR192" s="20">
        <f t="shared" si="177"/>
        <v>3.9806453659427267E-12</v>
      </c>
      <c r="DS192" s="59">
        <f t="shared" si="125"/>
        <v>293.33333333333729</v>
      </c>
      <c r="DT192" s="59">
        <f ca="1">AVERAGE(OFFSET($DS$3,0,0,'Données projet'!$E$14+1,1))-AVERAGE(OFFSET($H$3,0,0,'Données projet'!$E$14+1,1))</f>
        <v>181.4272795535777</v>
      </c>
      <c r="DU192" s="59">
        <f t="shared" si="152"/>
        <v>187.67131775419904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2.3798158301661099</v>
      </c>
      <c r="EB192" s="21">
        <f>EXP(-LN(2)/25)*EB191+(1-EXP(-LN(2)/25))/(LN(2)/25)*Calculateur!DW192*Calculateur!DY192*VLOOKUP('Données projet'!$B$14,Paramètres!$A$1:$I$89,3,0)*0.475*44/12</f>
        <v>1.1593647980467143</v>
      </c>
      <c r="EC192" s="21">
        <f>EXP(-LN(2)/2)*EC191+(1-EXP(-LN(2)/2))/(LN(2)/2)*DW192*DZ192*VLOOKUP('Données projet'!$B$14,Paramètres!$A$1:$I$89,3,0)*0.475*44/12</f>
        <v>3.1517319609930242E-14</v>
      </c>
      <c r="ED192" s="22">
        <f t="shared" si="178"/>
        <v>3.5391806282128555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9.2222762759774927E-14</v>
      </c>
      <c r="EL192" s="13">
        <f t="shared" si="179"/>
        <v>1.3985662224947967E-12</v>
      </c>
      <c r="EM192" s="20">
        <f t="shared" si="180"/>
        <v>2.5964574826517121E-12</v>
      </c>
      <c r="EN192" s="59">
        <f t="shared" si="128"/>
        <v>293.33333333333593</v>
      </c>
      <c r="EO192" s="59">
        <f ca="1">AVERAGE(OFFSET($EN$3,0,0,'Données projet'!$E$15+1,1))-AVERAGE(OFFSET($H$3,0,0,'Données projet'!$E$15+1,1))</f>
        <v>159.68591355116837</v>
      </c>
      <c r="EP192" s="59">
        <f t="shared" si="154"/>
        <v>284.32631786390112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0.76268152349193585</v>
      </c>
      <c r="EW192" s="21">
        <f>EXP(-LN(2)/25)*EW191+(1-EXP(-LN(2)/25))/(LN(2)/25)*Calculateur!ER192*Calculateur!ET192*VLOOKUP('Données projet'!$B$15,Paramètres!$A$1:$I$89,3,0)*0.475*44/12</f>
        <v>0.31036228506846414</v>
      </c>
      <c r="EX192" s="21">
        <f>EXP(-LN(2)/2)*EX191+(1-EXP(-LN(2)/2))/(LN(2)/2)*ER192*EU192*VLOOKUP('Données projet'!$B$15,Paramètres!$A$1:$I$89,3,0)*0.475*44/12</f>
        <v>1.0924009737908269E-21</v>
      </c>
      <c r="EY192" s="22">
        <f t="shared" si="181"/>
        <v>1.0730438085603999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-1.3567387213697657E-13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299.10536994156814</v>
      </c>
      <c r="FK192" s="59">
        <f t="shared" si="156"/>
        <v>292.57799203101769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4.6911725974301781</v>
      </c>
      <c r="FR192" s="21">
        <f>EXP(-LN(2)/25)*FR191+(1-EXP(-LN(2)/25))/(LN(2)/25)*Calculateur!FM192*Calculateur!FO192*VLOOKUP('Données projet'!$B$16,Paramètres!$A$1:$I$89,3,0)*0.475*44/12</f>
        <v>2.0629391946145113</v>
      </c>
      <c r="FS192" s="21">
        <f>EXP(-LN(2)/2)*FS191+(1-EXP(-LN(2)/2))/(LN(2)/2)*FM192*FP192*VLOOKUP('Données projet'!$B$16,Paramètres!$A$1:$I$89,3,0)*0.475*44/12</f>
        <v>2.0403326687429447E-15</v>
      </c>
      <c r="FT192" s="22">
        <f t="shared" si="184"/>
        <v>6.7541117920446911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5.6843418860808015E-14</v>
      </c>
      <c r="GA192" s="17">
        <f>FZ192*VLOOKUP('Données projet'!$B$17,Paramètres!$A$1:$I$89,3,0)*VLOOKUP('Données projet'!$B$17,Paramètres!$A$1:$I$89,5,0)</f>
        <v>5.1431925385259088E-14</v>
      </c>
      <c r="GB192" s="13">
        <f t="shared" si="185"/>
        <v>8.3482866290946129E-13</v>
      </c>
      <c r="GC192" s="20">
        <f t="shared" si="186"/>
        <v>1.5435705246133045E-12</v>
      </c>
      <c r="GD192" s="59">
        <f t="shared" si="134"/>
        <v>293.33333333333485</v>
      </c>
      <c r="GE192" s="59">
        <f ca="1">AVERAGE(OFFSET($GD$3,0,0,'Données projet'!$E$17+1,1))-AVERAGE(OFFSET($H$3,0,0,'Données projet'!$E$17+1,1))</f>
        <v>204.78565758021779</v>
      </c>
      <c r="GF192" s="59">
        <f t="shared" si="158"/>
        <v>287.25131613242439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0.90127851900533451</v>
      </c>
      <c r="GM192" s="21">
        <f>EXP(-LN(2)/25)*GM191+(1-EXP(-LN(2)/25))/(LN(2)/25)*Calculateur!GH192*Calculateur!GJ192*VLOOKUP('Données projet'!$B$17,Paramètres!$A$1:$I$89,3,0)*0.475*44/12</f>
        <v>0.24389348769530986</v>
      </c>
      <c r="GN192" s="21">
        <f>EXP(-LN(2)/2)*GN191+(1-EXP(-LN(2)/2))/(LN(2)/2)*GH192*GK192*VLOOKUP('Données projet'!$B$17,Paramètres!$A$1:$I$89,3,0)*0.475*44/12</f>
        <v>2.9202708925488167E-21</v>
      </c>
      <c r="GO192" s="21">
        <f t="shared" si="187"/>
        <v>1.1451720067006443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5.6843418860808015E-14</v>
      </c>
      <c r="GV192" s="17">
        <f>GU192*VLOOKUP('Données projet'!$B$18,Paramètres!$A$1:$I$89,3,0)*VLOOKUP('Données projet'!$B$18,Paramètres!$A$1:$I$89,5,0)</f>
        <v>4.4337866711430253E-14</v>
      </c>
      <c r="GW192" s="13">
        <f t="shared" si="188"/>
        <v>7.3222115536967035E-13</v>
      </c>
      <c r="GX192" s="20">
        <f t="shared" si="189"/>
        <v>1.3525069634579169E-12</v>
      </c>
      <c r="GY192" s="59">
        <f t="shared" si="137"/>
        <v>293.33333333333468</v>
      </c>
      <c r="GZ192" s="59">
        <f ca="1">AVERAGE(OFFSET($GY$3,0,0,'Données projet'!$E$18+1,1))-AVERAGE(OFFSET($H$3,0,0,'Données projet'!$E$18+1,1))</f>
        <v>288.82868507674738</v>
      </c>
      <c r="HA192" s="59">
        <f t="shared" si="160"/>
        <v>283.48738729114024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3.9934777802079413</v>
      </c>
      <c r="HH192" s="21">
        <f>EXP(-LN(2)/25)*HH191+(1-EXP(-LN(2)/25))/(LN(2)/25)*Calculateur!HC192*Calculateur!HE192*VLOOKUP('Données projet'!$B$18,Paramètres!$A$1:$I$89,3,0)*0.475*44/12</f>
        <v>1.5196985571897723</v>
      </c>
      <c r="HI192" s="21">
        <f>EXP(-LN(2)/2)*HI191+(1-EXP(-LN(2)/2))/(LN(2)/2)*HC192*HF192*VLOOKUP('Données projet'!$B$18,Paramètres!$A$1:$I$89,3,0)*0.475*44/12</f>
        <v>5.2697448534453041E-17</v>
      </c>
      <c r="HJ192" s="22">
        <f t="shared" si="190"/>
        <v>5.5131763373977138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349.71285006949597</v>
      </c>
      <c r="T193" s="59">
        <f t="shared" si="142"/>
        <v>258.51550516456842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17.352246855834927</v>
      </c>
      <c r="AA193" s="21">
        <f>EXP(-LN(2)/25)*AA192+(1-EXP(-LN(2)/25))/(LN(2)/25)*Calculateur!V193*Calculateur!X193*VLOOKUP('Données projet'!$B$9,Paramètres!$A$1:$I$89,3,0)*0.475*44/12</f>
        <v>2.4509313451173731</v>
      </c>
      <c r="AB193" s="21">
        <f>EXP(-LN(2)/2)*AB192+(1-EXP(-LN(2)/2))/(LN(2)/2)*V193*Y193*VLOOKUP('Données projet'!$B$9,Paramètres!$A$1:$I$89,3,0)*0.475*44/12</f>
        <v>1.9627811265523683E-15</v>
      </c>
      <c r="AC193" s="22">
        <f t="shared" si="163"/>
        <v>19.803178200952303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2.5579538487363607E-13</v>
      </c>
      <c r="AJ193" s="13">
        <f>AI193*VLOOKUP('Données projet'!$B$10,Paramètres!$A$1:$I$89,3,0)*VLOOKUP('Données projet'!$B$10,Paramètres!$A$1:$I$89,5,0)</f>
        <v>2.4341488824575211E-13</v>
      </c>
      <c r="AK193" s="13">
        <f t="shared" si="164"/>
        <v>3.2970717324875541E-12</v>
      </c>
      <c r="AL193" s="20">
        <f t="shared" si="165"/>
        <v>6.1663475311105072E-12</v>
      </c>
      <c r="AM193" s="59">
        <f t="shared" si="113"/>
        <v>293.33333333333945</v>
      </c>
      <c r="AN193" s="59">
        <f ca="1">AVERAGE(OFFSET($AM$3,0,0,'Données projet'!$E$10+1,1))-AVERAGE(OFFSET($H$3,0,0,'Données projet'!$E$10+1,1))</f>
        <v>449.28947235329758</v>
      </c>
      <c r="AO193" s="59">
        <f t="shared" si="144"/>
        <v>289.36994109443964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36.207663633691972</v>
      </c>
      <c r="AV193" s="21">
        <f>EXP(-LN(2)/25)*AV192+(1-EXP(-LN(2)/25))/(LN(2)/25)*Calculateur!AQ193*Calculateur!AS193*VLOOKUP('Données projet'!$B$10,Paramètres!$A$1:$I$89,3,0)*0.475*44/12</f>
        <v>4.6908908271222076</v>
      </c>
      <c r="AW193" s="21">
        <f>EXP(-LN(2)/2)*AW192+(1-EXP(-LN(2)/2))/(LN(2)/2)*AQ193*AT193*VLOOKUP('Données projet'!$B$10,Paramètres!$A$1:$I$89,3,0)*0.475*44/12</f>
        <v>6.6696144396881686E-9</v>
      </c>
      <c r="AX193" s="21">
        <f t="shared" si="166"/>
        <v>40.898554467483798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7.2004695539362725E-13</v>
      </c>
      <c r="BF193" s="13">
        <f t="shared" si="167"/>
        <v>8.5963894794935589E-12</v>
      </c>
      <c r="BG193" s="20">
        <f t="shared" si="168"/>
        <v>1.6226126790761848E-11</v>
      </c>
      <c r="BH193" s="59">
        <f t="shared" si="116"/>
        <v>293.33333333334951</v>
      </c>
      <c r="BI193" s="59">
        <f ca="1">AVERAGE(OFFSET($BH$3,0,0,'Données projet'!$E$11+1,1))-AVERAGE(OFFSET($H$3,0,0,'Données projet'!$E$11+1,1))</f>
        <v>635.71275911100679</v>
      </c>
      <c r="BJ193" s="59">
        <f t="shared" si="146"/>
        <v>281.7776857269169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134.17881812025095</v>
      </c>
      <c r="BQ193" s="21">
        <f>EXP(-LN(2)/25)*BQ192+(1-EXP(-LN(2)/25))/(LN(2)/25)*Calculateur!BL193*Calculateur!BN193*VLOOKUP('Données projet'!$B$11,Paramètres!$A$1:$I$89,3,0)*0.475*44/12</f>
        <v>21.199979871382162</v>
      </c>
      <c r="BR193" s="21">
        <f>EXP(-LN(2)/2)*BR192+(1-EXP(-LN(2)/2))/(LN(2)/2)*BL193*BO193*VLOOKUP('Données projet'!$B$11,Paramètres!$A$1:$I$89,3,0)*0.475*44/12</f>
        <v>0.93909630580116976</v>
      </c>
      <c r="BS193" s="22">
        <f t="shared" si="169"/>
        <v>156.31789429743429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1.9733333333333292</v>
      </c>
      <c r="BY193" s="12">
        <f>IF('Données projet'!$A$114&gt;35,BY192+BX193-CG192,IF(A193&lt;'Données projet'!$A$114,$BV$205^A193,IF(A193='Données projet'!$A$114,'Données projet'!$B$114,BY192+BX193-CG192)))</f>
        <v>143.03666666666638</v>
      </c>
      <c r="BZ193" s="13">
        <f>BY193*VLOOKUP('Données projet'!$B$12,Paramètres!$A$1:$I$89,3,0)*VLOOKUP('Données projet'!$B$12,Paramètres!$A$1:$I$89,5,0)</f>
        <v>162.89015599999965</v>
      </c>
      <c r="CA193" s="13">
        <f t="shared" si="170"/>
        <v>41.493717402498838</v>
      </c>
      <c r="CB193" s="20">
        <f t="shared" si="171"/>
        <v>355.96857950935151</v>
      </c>
      <c r="CC193" s="59">
        <f t="shared" si="119"/>
        <v>649.30191284268483</v>
      </c>
      <c r="CD193" s="59">
        <f ca="1">AVERAGE(OFFSET($CC$3,0,0,'Données projet'!$E$12+1,1))-AVERAGE(OFFSET($H$3,0,0,'Données projet'!$E$12+1,1))</f>
        <v>593.28343396240075</v>
      </c>
      <c r="CE193" s="59">
        <f t="shared" si="148"/>
        <v>289.66477662068695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118.6799095831249</v>
      </c>
      <c r="CL193" s="21">
        <f>EXP(-LN(2)/25)*CL192+(1-EXP(-LN(2)/25))/(LN(2)/25)*Calculateur!CG193*Calculateur!CI193*VLOOKUP('Données projet'!$B$12,Paramètres!$A$1:$I$89,3,0)*0.475*44/12</f>
        <v>45.14007818143655</v>
      </c>
      <c r="CM193" s="21">
        <f>EXP(-LN(2)/2)*CM192+(1-EXP(-LN(2)/2))/(LN(2)/2)*CG193*CJ193*VLOOKUP('Données projet'!$B$12,Paramètres!$A$1:$I$89,3,0)*0.475*44/12</f>
        <v>7.9074790819903129E-7</v>
      </c>
      <c r="CN193" s="22">
        <f t="shared" si="172"/>
        <v>163.81998855530938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2.2737367544323206E-13</v>
      </c>
      <c r="CU193" s="17">
        <f>CT193*VLOOKUP('Données projet'!$B$13,Paramètres!$A$1:$I$89,3,0)*VLOOKUP('Données projet'!$B$13,Paramètres!$A$1:$I$89,5,0)</f>
        <v>2.3765096557326618E-13</v>
      </c>
      <c r="CV193" s="13">
        <f t="shared" si="173"/>
        <v>3.2279907425805489E-12</v>
      </c>
      <c r="CW193" s="20">
        <f t="shared" si="174"/>
        <v>6.0359926417012276E-12</v>
      </c>
      <c r="CX193" s="59">
        <f t="shared" si="122"/>
        <v>293.33333333333934</v>
      </c>
      <c r="CY193" s="59">
        <f ca="1">AVERAGE(OFFSET($CX$3,0,0,'Données projet'!$E$13+1,1))-AVERAGE(OFFSET($H$3,0,0,'Données projet'!$E$13+1,1))</f>
        <v>260.65406541614402</v>
      </c>
      <c r="CZ193" s="59">
        <f t="shared" si="150"/>
        <v>277.63456890196886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2.4862209212416282</v>
      </c>
      <c r="DG193" s="21">
        <f>EXP(-LN(2)/25)*DG192+(1-EXP(-LN(2)/25))/(LN(2)/25)*Calculateur!DB193*Calculateur!DD193*VLOOKUP('Données projet'!$B$13,Paramètres!$A$1:$I$89,3,0)*0.475*44/12</f>
        <v>3.0962290343808094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5.5824499556224376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1.4897523215040565E-13</v>
      </c>
      <c r="DQ193" s="13">
        <f t="shared" si="176"/>
        <v>2.136562777003313E-12</v>
      </c>
      <c r="DR193" s="20">
        <f t="shared" si="177"/>
        <v>3.9806453659427267E-12</v>
      </c>
      <c r="DS193" s="59">
        <f t="shared" si="125"/>
        <v>293.33333333333729</v>
      </c>
      <c r="DT193" s="59">
        <f ca="1">AVERAGE(OFFSET($DS$3,0,0,'Données projet'!$E$14+1,1))-AVERAGE(OFFSET($H$3,0,0,'Données projet'!$E$14+1,1))</f>
        <v>181.4272795535777</v>
      </c>
      <c r="DU193" s="59">
        <f t="shared" si="152"/>
        <v>187.67131775419904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2.3331490932808809</v>
      </c>
      <c r="EB193" s="21">
        <f>EXP(-LN(2)/25)*EB192+(1-EXP(-LN(2)/25))/(LN(2)/25)*Calculateur!DW193*Calculateur!DY193*VLOOKUP('Données projet'!$B$14,Paramètres!$A$1:$I$89,3,0)*0.475*44/12</f>
        <v>1.127661906675782</v>
      </c>
      <c r="EC193" s="21">
        <f>EXP(-LN(2)/2)*EC192+(1-EXP(-LN(2)/2))/(LN(2)/2)*DW193*DZ193*VLOOKUP('Données projet'!$B$14,Paramètres!$A$1:$I$89,3,0)*0.475*44/12</f>
        <v>2.2286110421005427E-14</v>
      </c>
      <c r="ED193" s="22">
        <f t="shared" si="178"/>
        <v>3.460810999956685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9.2222762759774927E-14</v>
      </c>
      <c r="EL193" s="13">
        <f t="shared" si="179"/>
        <v>1.3985662224947967E-12</v>
      </c>
      <c r="EM193" s="20">
        <f t="shared" si="180"/>
        <v>2.5964574826517121E-12</v>
      </c>
      <c r="EN193" s="59">
        <f t="shared" si="128"/>
        <v>293.33333333333593</v>
      </c>
      <c r="EO193" s="59">
        <f ca="1">AVERAGE(OFFSET($EN$3,0,0,'Données projet'!$E$15+1,1))-AVERAGE(OFFSET($H$3,0,0,'Données projet'!$E$15+1,1))</f>
        <v>159.68591355116837</v>
      </c>
      <c r="EP193" s="59">
        <f t="shared" si="154"/>
        <v>284.32631786390112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0.7477258040060546</v>
      </c>
      <c r="EW193" s="21">
        <f>EXP(-LN(2)/25)*EW192+(1-EXP(-LN(2)/25))/(LN(2)/25)*Calculateur!ER193*Calculateur!ET193*VLOOKUP('Données projet'!$B$15,Paramètres!$A$1:$I$89,3,0)*0.475*44/12</f>
        <v>0.30187541206202378</v>
      </c>
      <c r="EX193" s="21">
        <f>EXP(-LN(2)/2)*EX192+(1-EXP(-LN(2)/2))/(LN(2)/2)*ER193*EU193*VLOOKUP('Données projet'!$B$15,Paramètres!$A$1:$I$89,3,0)*0.475*44/12</f>
        <v>7.7244413634228168E-22</v>
      </c>
      <c r="EY193" s="22">
        <f t="shared" si="181"/>
        <v>1.0496012160680783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-1.3567387213697657E-13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299.10536994156814</v>
      </c>
      <c r="FK193" s="59">
        <f t="shared" si="156"/>
        <v>292.57799203101769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4.5991815641273233</v>
      </c>
      <c r="FR193" s="21">
        <f>EXP(-LN(2)/25)*FR192+(1-EXP(-LN(2)/25))/(LN(2)/25)*Calculateur!FM193*Calculateur!FO193*VLOOKUP('Données projet'!$B$16,Paramètres!$A$1:$I$89,3,0)*0.475*44/12</f>
        <v>2.0065280138525199</v>
      </c>
      <c r="FS193" s="21">
        <f>EXP(-LN(2)/2)*FS192+(1-EXP(-LN(2)/2))/(LN(2)/2)*FM193*FP193*VLOOKUP('Données projet'!$B$16,Paramètres!$A$1:$I$89,3,0)*0.475*44/12</f>
        <v>1.442733065944582E-15</v>
      </c>
      <c r="FT193" s="22">
        <f t="shared" si="184"/>
        <v>6.6057095779798445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5.6843418860808015E-14</v>
      </c>
      <c r="GA193" s="17">
        <f>FZ193*VLOOKUP('Données projet'!$B$17,Paramètres!$A$1:$I$89,3,0)*VLOOKUP('Données projet'!$B$17,Paramètres!$A$1:$I$89,5,0)</f>
        <v>5.1431925385259088E-14</v>
      </c>
      <c r="GB193" s="13">
        <f t="shared" si="185"/>
        <v>8.3482866290946129E-13</v>
      </c>
      <c r="GC193" s="20">
        <f t="shared" si="186"/>
        <v>1.5435705246133045E-12</v>
      </c>
      <c r="GD193" s="59">
        <f t="shared" si="134"/>
        <v>293.33333333333485</v>
      </c>
      <c r="GE193" s="59">
        <f ca="1">AVERAGE(OFFSET($GD$3,0,0,'Données projet'!$E$17+1,1))-AVERAGE(OFFSET($H$3,0,0,'Données projet'!$E$17+1,1))</f>
        <v>204.78565758021779</v>
      </c>
      <c r="GF193" s="59">
        <f t="shared" si="158"/>
        <v>287.25131613242439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0.88360499697325556</v>
      </c>
      <c r="GM193" s="21">
        <f>EXP(-LN(2)/25)*GM192+(1-EXP(-LN(2)/25))/(LN(2)/25)*Calculateur!GH193*Calculateur!GJ193*VLOOKUP('Données projet'!$B$17,Paramètres!$A$1:$I$89,3,0)*0.475*44/12</f>
        <v>0.23722420744848052</v>
      </c>
      <c r="GN193" s="21">
        <f>EXP(-LN(2)/2)*GN192+(1-EXP(-LN(2)/2))/(LN(2)/2)*GH193*GK193*VLOOKUP('Données projet'!$B$17,Paramètres!$A$1:$I$89,3,0)*0.475*44/12</f>
        <v>2.0649433510229599E-21</v>
      </c>
      <c r="GO193" s="21">
        <f t="shared" si="187"/>
        <v>1.1208292044217361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5.6843418860808015E-14</v>
      </c>
      <c r="GV193" s="17">
        <f>GU193*VLOOKUP('Données projet'!$B$18,Paramètres!$A$1:$I$89,3,0)*VLOOKUP('Données projet'!$B$18,Paramètres!$A$1:$I$89,5,0)</f>
        <v>4.4337866711430253E-14</v>
      </c>
      <c r="GW193" s="13">
        <f t="shared" si="188"/>
        <v>7.3222115536967035E-13</v>
      </c>
      <c r="GX193" s="20">
        <f t="shared" si="189"/>
        <v>1.3525069634579169E-12</v>
      </c>
      <c r="GY193" s="59">
        <f t="shared" si="137"/>
        <v>293.33333333333468</v>
      </c>
      <c r="GZ193" s="59">
        <f ca="1">AVERAGE(OFFSET($GY$3,0,0,'Données projet'!$E$18+1,1))-AVERAGE(OFFSET($H$3,0,0,'Données projet'!$E$18+1,1))</f>
        <v>288.82868507674738</v>
      </c>
      <c r="HA193" s="59">
        <f t="shared" si="160"/>
        <v>283.48738729114024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3.9151681167189962</v>
      </c>
      <c r="HH193" s="21">
        <f>EXP(-LN(2)/25)*HH192+(1-EXP(-LN(2)/25))/(LN(2)/25)*Calculateur!HC193*Calculateur!HE193*VLOOKUP('Données projet'!$B$18,Paramètres!$A$1:$I$89,3,0)*0.475*44/12</f>
        <v>1.4781423202259443</v>
      </c>
      <c r="HI193" s="21">
        <f>EXP(-LN(2)/2)*HI192+(1-EXP(-LN(2)/2))/(LN(2)/2)*HC193*HF193*VLOOKUP('Données projet'!$B$18,Paramètres!$A$1:$I$89,3,0)*0.475*44/12</f>
        <v>3.7262723209940835E-17</v>
      </c>
      <c r="HJ193" s="22">
        <f t="shared" si="190"/>
        <v>5.3933104369449403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349.71285006949597</v>
      </c>
      <c r="T194" s="59">
        <f t="shared" si="142"/>
        <v>258.51550516456842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17.01197987881752</v>
      </c>
      <c r="AA194" s="21">
        <f>EXP(-LN(2)/25)*AA193+(1-EXP(-LN(2)/25))/(LN(2)/25)*Calculateur!V194*Calculateur!X194*VLOOKUP('Données projet'!$B$9,Paramètres!$A$1:$I$89,3,0)*0.475*44/12</f>
        <v>2.3839104985962609</v>
      </c>
      <c r="AB194" s="21">
        <f>EXP(-LN(2)/2)*AB193+(1-EXP(-LN(2)/2))/(LN(2)/2)*V194*Y194*VLOOKUP('Données projet'!$B$9,Paramètres!$A$1:$I$89,3,0)*0.475*44/12</f>
        <v>1.3878958445701508E-15</v>
      </c>
      <c r="AC194" s="22">
        <f t="shared" si="163"/>
        <v>19.395890377413782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2.5579538487363607E-13</v>
      </c>
      <c r="AJ194" s="13">
        <f>AI194*VLOOKUP('Données projet'!$B$10,Paramètres!$A$1:$I$89,3,0)*VLOOKUP('Données projet'!$B$10,Paramètres!$A$1:$I$89,5,0)</f>
        <v>2.4341488824575211E-13</v>
      </c>
      <c r="AK194" s="13">
        <f t="shared" si="164"/>
        <v>3.2970717324875541E-12</v>
      </c>
      <c r="AL194" s="20">
        <f t="shared" si="165"/>
        <v>6.1663475311105072E-12</v>
      </c>
      <c r="AM194" s="59">
        <f t="shared" si="113"/>
        <v>293.33333333333945</v>
      </c>
      <c r="AN194" s="59">
        <f ca="1">AVERAGE(OFFSET($AM$3,0,0,'Données projet'!$E$10+1,1))-AVERAGE(OFFSET($H$3,0,0,'Données projet'!$E$10+1,1))</f>
        <v>449.28947235329758</v>
      </c>
      <c r="AO194" s="59">
        <f t="shared" si="144"/>
        <v>289.36994109443964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35.497653434329429</v>
      </c>
      <c r="AV194" s="21">
        <f>EXP(-LN(2)/25)*AV193+(1-EXP(-LN(2)/25))/(LN(2)/25)*Calculateur!AQ194*Calculateur!AS194*VLOOKUP('Données projet'!$B$10,Paramètres!$A$1:$I$89,3,0)*0.475*44/12</f>
        <v>4.5626181707713238</v>
      </c>
      <c r="AW194" s="21">
        <f>EXP(-LN(2)/2)*AW193+(1-EXP(-LN(2)/2))/(LN(2)/2)*AQ194*AT194*VLOOKUP('Données projet'!$B$10,Paramètres!$A$1:$I$89,3,0)*0.475*44/12</f>
        <v>4.7161295982032196E-9</v>
      </c>
      <c r="AX194" s="21">
        <f t="shared" si="166"/>
        <v>40.06027160981688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7.2004695539362725E-13</v>
      </c>
      <c r="BF194" s="13">
        <f t="shared" si="167"/>
        <v>8.5963894794935589E-12</v>
      </c>
      <c r="BG194" s="20">
        <f t="shared" si="168"/>
        <v>1.6226126790761848E-11</v>
      </c>
      <c r="BH194" s="59">
        <f t="shared" si="116"/>
        <v>293.33333333334951</v>
      </c>
      <c r="BI194" s="59">
        <f ca="1">AVERAGE(OFFSET($BH$3,0,0,'Données projet'!$E$11+1,1))-AVERAGE(OFFSET($H$3,0,0,'Données projet'!$E$11+1,1))</f>
        <v>635.71275911100679</v>
      </c>
      <c r="BJ194" s="59">
        <f t="shared" si="146"/>
        <v>281.7776857269169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131.54765333791076</v>
      </c>
      <c r="BQ194" s="21">
        <f>EXP(-LN(2)/25)*BQ193+(1-EXP(-LN(2)/25))/(LN(2)/25)*Calculateur!BL194*Calculateur!BN194*VLOOKUP('Données projet'!$B$11,Paramètres!$A$1:$I$89,3,0)*0.475*44/12</f>
        <v>20.620265306940727</v>
      </c>
      <c r="BR194" s="21">
        <f>EXP(-LN(2)/2)*BR193+(1-EXP(-LN(2)/2))/(LN(2)/2)*BL194*BO194*VLOOKUP('Données projet'!$B$11,Paramètres!$A$1:$I$89,3,0)*0.475*44/12</f>
        <v>0.66404136601924291</v>
      </c>
      <c r="BS194" s="22">
        <f t="shared" si="169"/>
        <v>152.83196001087072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>
        <f>VLOOKUP(A194,'Données projet'!$A$113:$I$133,2,0)</f>
        <v>145.01</v>
      </c>
      <c r="BW194" s="12">
        <f>VLOOKUP(A194,'Données projet'!$A$113:$I$133,9,0)</f>
        <v>1.9733333333333292</v>
      </c>
      <c r="BX194" s="12">
        <f t="array" ref="BX194">INDEX(BW:BW,MIN(IF(ISNUMBER(BW194:BW390),ROW(BW194:BW390),"")))</f>
        <v>1.9733333333333292</v>
      </c>
      <c r="BY194" s="12">
        <f>IF('Données projet'!$A$114&gt;35,BY193+BX194-CG193,IF(A194&lt;'Données projet'!$A$114,$BV$205^A194,IF(A194='Données projet'!$A$114,'Données projet'!$B$114,BY193+BX194-CG193)))</f>
        <v>145.00999999999971</v>
      </c>
      <c r="BZ194" s="13">
        <f>BY194*VLOOKUP('Données projet'!$B$12,Paramètres!$A$1:$I$89,3,0)*VLOOKUP('Données projet'!$B$12,Paramètres!$A$1:$I$89,5,0)</f>
        <v>165.13738799999967</v>
      </c>
      <c r="CA194" s="13">
        <f t="shared" si="170"/>
        <v>41.999127663831423</v>
      </c>
      <c r="CB194" s="20">
        <f t="shared" si="171"/>
        <v>360.76276478117251</v>
      </c>
      <c r="CC194" s="59">
        <f t="shared" si="119"/>
        <v>654.09609811450582</v>
      </c>
      <c r="CD194" s="59">
        <f ca="1">AVERAGE(OFFSET($CC$3,0,0,'Données projet'!$E$12+1,1))-AVERAGE(OFFSET($H$3,0,0,'Données projet'!$E$12+1,1))</f>
        <v>593.28343396240075</v>
      </c>
      <c r="CE194" s="59">
        <f t="shared" si="148"/>
        <v>289.66477662068695</v>
      </c>
      <c r="CF194" s="15">
        <f>IF(ISNA(VLOOKUP(A194,'Données projet'!$A$113:$I$133,3,0)),0,VLOOKUP(A194,'Données projet'!$A$113:$I$133,3,0))</f>
        <v>16</v>
      </c>
      <c r="CG194" s="15">
        <f>IF(ISNA(VLOOKUP(A194,'Données projet'!$A$113:$I$133,4,0)),0,VLOOKUP(A194,'Données projet'!$A$113:$I$133,4,0))</f>
        <v>145.01</v>
      </c>
      <c r="CH194" s="16">
        <f>IF(ISNA(VLOOKUP(A194,'Données projet'!$A$113:$I$133,5,0)),0%,VLOOKUP(A194,'Données projet'!$A$113:$I$133,5,0)*VLOOKUP('Données projet'!$B$12,Paramètres!$A$1:$I$89,7,0))</f>
        <v>0.19350000000000001</v>
      </c>
      <c r="CI194" s="16">
        <f>IF(ISNA(VLOOKUP(A194,'Données projet'!$A$113:$I$133,6,0)),0%,VLOOKUP(A194,'Données projet'!$A$113:$I$133,6,0)*VLOOKUP('Données projet'!$B$12,Paramètres!$A$1:$I$89,7,0))</f>
        <v>2.1500000000000002E-2</v>
      </c>
      <c r="CJ194" s="16">
        <f>IF(ISNA(VLOOKUP(A194,'Données projet'!$A$113:$I$133,7,0)),0%,VLOOKUP(A194,'Données projet'!$A$113:$I$133,7,0))</f>
        <v>0.05</v>
      </c>
      <c r="CK194" s="21">
        <f>EXP(-LN(2)/35)*CK193+(1-EXP(-LN(2)/35))/(LN(2)/35)*CG194*CH194*VLOOKUP('Données projet'!$B$12,Paramètres!$A$1:$I$89,3,0)*0.475*44/12</f>
        <v>151.67696294986663</v>
      </c>
      <c r="CL194" s="21">
        <f>EXP(-LN(2)/25)*CL193+(1-EXP(-LN(2)/25))/(LN(2)/25)*Calculateur!CG194*Calculateur!CI194*VLOOKUP('Données projet'!$B$12,Paramètres!$A$1:$I$89,3,0)*0.475*44/12</f>
        <v>47.81518801430235</v>
      </c>
      <c r="CM194" s="21">
        <f>EXP(-LN(2)/2)*CM193+(1-EXP(-LN(2)/2))/(LN(2)/2)*CG194*CJ194*VLOOKUP('Données projet'!$B$12,Paramètres!$A$1:$I$89,3,0)*0.475*44/12</f>
        <v>7.7905790684248517</v>
      </c>
      <c r="CN194" s="22">
        <f t="shared" si="172"/>
        <v>207.28273003259383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2.2737367544323206E-13</v>
      </c>
      <c r="CU194" s="17">
        <f>CT194*VLOOKUP('Données projet'!$B$13,Paramètres!$A$1:$I$89,3,0)*VLOOKUP('Données projet'!$B$13,Paramètres!$A$1:$I$89,5,0)</f>
        <v>2.3765096557326618E-13</v>
      </c>
      <c r="CV194" s="13">
        <f t="shared" si="173"/>
        <v>3.2279907425805489E-12</v>
      </c>
      <c r="CW194" s="20">
        <f t="shared" si="174"/>
        <v>6.0359926417012276E-12</v>
      </c>
      <c r="CX194" s="59">
        <f t="shared" si="122"/>
        <v>293.33333333333934</v>
      </c>
      <c r="CY194" s="59">
        <f ca="1">AVERAGE(OFFSET($CX$3,0,0,'Données projet'!$E$13+1,1))-AVERAGE(OFFSET($H$3,0,0,'Données projet'!$E$13+1,1))</f>
        <v>260.65406541614402</v>
      </c>
      <c r="CZ194" s="59">
        <f t="shared" si="150"/>
        <v>277.63456890196886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2.4374676454211053</v>
      </c>
      <c r="DG194" s="21">
        <f>EXP(-LN(2)/25)*DG193+(1-EXP(-LN(2)/25))/(LN(2)/25)*Calculateur!DB194*Calculateur!DD194*VLOOKUP('Données projet'!$B$13,Paramètres!$A$1:$I$89,3,0)*0.475*44/12</f>
        <v>3.011562488612058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5.4490301340331637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1.4897523215040565E-13</v>
      </c>
      <c r="DQ194" s="13">
        <f t="shared" si="176"/>
        <v>2.136562777003313E-12</v>
      </c>
      <c r="DR194" s="20">
        <f t="shared" si="177"/>
        <v>3.9806453659427267E-12</v>
      </c>
      <c r="DS194" s="59">
        <f t="shared" si="125"/>
        <v>293.33333333333729</v>
      </c>
      <c r="DT194" s="59">
        <f ca="1">AVERAGE(OFFSET($DS$3,0,0,'Données projet'!$E$14+1,1))-AVERAGE(OFFSET($H$3,0,0,'Données projet'!$E$14+1,1))</f>
        <v>181.4272795535777</v>
      </c>
      <c r="DU194" s="59">
        <f t="shared" si="152"/>
        <v>187.67131775419904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2.2873974626420721</v>
      </c>
      <c r="EB194" s="21">
        <f>EXP(-LN(2)/25)*EB193+(1-EXP(-LN(2)/25))/(LN(2)/25)*Calculateur!DW194*Calculateur!DY194*VLOOKUP('Données projet'!$B$14,Paramètres!$A$1:$I$89,3,0)*0.475*44/12</f>
        <v>1.0968259325365703</v>
      </c>
      <c r="EC194" s="21">
        <f>EXP(-LN(2)/2)*EC193+(1-EXP(-LN(2)/2))/(LN(2)/2)*DW194*DZ194*VLOOKUP('Données projet'!$B$14,Paramètres!$A$1:$I$89,3,0)*0.475*44/12</f>
        <v>1.5758659804965121E-14</v>
      </c>
      <c r="ED194" s="22">
        <f t="shared" si="178"/>
        <v>3.3842233951786578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9.2222762759774927E-14</v>
      </c>
      <c r="EL194" s="13">
        <f t="shared" si="179"/>
        <v>1.3985662224947967E-12</v>
      </c>
      <c r="EM194" s="20">
        <f t="shared" si="180"/>
        <v>2.5964574826517121E-12</v>
      </c>
      <c r="EN194" s="59">
        <f t="shared" si="128"/>
        <v>293.33333333333593</v>
      </c>
      <c r="EO194" s="59">
        <f ca="1">AVERAGE(OFFSET($EN$3,0,0,'Données projet'!$E$15+1,1))-AVERAGE(OFFSET($H$3,0,0,'Données projet'!$E$15+1,1))</f>
        <v>159.68591355116837</v>
      </c>
      <c r="EP194" s="59">
        <f t="shared" si="154"/>
        <v>284.32631786390112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0.73306335705720338</v>
      </c>
      <c r="EW194" s="21">
        <f>EXP(-LN(2)/25)*EW193+(1-EXP(-LN(2)/25))/(LN(2)/25)*Calculateur!ER194*Calculateur!ET194*VLOOKUP('Données projet'!$B$15,Paramètres!$A$1:$I$89,3,0)*0.475*44/12</f>
        <v>0.29362061304424975</v>
      </c>
      <c r="EX194" s="21">
        <f>EXP(-LN(2)/2)*EX193+(1-EXP(-LN(2)/2))/(LN(2)/2)*ER194*EU194*VLOOKUP('Données projet'!$B$15,Paramètres!$A$1:$I$89,3,0)*0.475*44/12</f>
        <v>5.4620048689541345E-22</v>
      </c>
      <c r="EY194" s="22">
        <f t="shared" si="181"/>
        <v>1.0266839701014532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-1.3567387213697657E-13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299.10536994156814</v>
      </c>
      <c r="FK194" s="59">
        <f t="shared" si="156"/>
        <v>292.57799203101769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4.5089944188785474</v>
      </c>
      <c r="FR194" s="21">
        <f>EXP(-LN(2)/25)*FR193+(1-EXP(-LN(2)/25))/(LN(2)/25)*Calculateur!FM194*Calculateur!FO194*VLOOKUP('Données projet'!$B$16,Paramètres!$A$1:$I$89,3,0)*0.475*44/12</f>
        <v>1.9516593997950005</v>
      </c>
      <c r="FS194" s="21">
        <f>EXP(-LN(2)/2)*FS193+(1-EXP(-LN(2)/2))/(LN(2)/2)*FM194*FP194*VLOOKUP('Données projet'!$B$16,Paramètres!$A$1:$I$89,3,0)*0.475*44/12</f>
        <v>1.0201663343714724E-15</v>
      </c>
      <c r="FT194" s="22">
        <f t="shared" si="184"/>
        <v>6.4606538186735483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5.6843418860808015E-14</v>
      </c>
      <c r="GA194" s="17">
        <f>FZ194*VLOOKUP('Données projet'!$B$17,Paramètres!$A$1:$I$89,3,0)*VLOOKUP('Données projet'!$B$17,Paramètres!$A$1:$I$89,5,0)</f>
        <v>5.1431925385259088E-14</v>
      </c>
      <c r="GB194" s="13">
        <f t="shared" si="185"/>
        <v>8.3482866290946129E-13</v>
      </c>
      <c r="GC194" s="20">
        <f t="shared" si="186"/>
        <v>1.5435705246133045E-12</v>
      </c>
      <c r="GD194" s="59">
        <f t="shared" si="134"/>
        <v>293.33333333333485</v>
      </c>
      <c r="GE194" s="59">
        <f ca="1">AVERAGE(OFFSET($GD$3,0,0,'Données projet'!$E$17+1,1))-AVERAGE(OFFSET($H$3,0,0,'Données projet'!$E$17+1,1))</f>
        <v>204.78565758021779</v>
      </c>
      <c r="GF194" s="59">
        <f t="shared" si="158"/>
        <v>287.25131613242439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0.86627804192844171</v>
      </c>
      <c r="GM194" s="21">
        <f>EXP(-LN(2)/25)*GM193+(1-EXP(-LN(2)/25))/(LN(2)/25)*Calculateur!GH194*Calculateur!GJ194*VLOOKUP('Données projet'!$B$17,Paramètres!$A$1:$I$89,3,0)*0.475*44/12</f>
        <v>0.23073729902072293</v>
      </c>
      <c r="GN194" s="21">
        <f>EXP(-LN(2)/2)*GN193+(1-EXP(-LN(2)/2))/(LN(2)/2)*GH194*GK194*VLOOKUP('Données projet'!$B$17,Paramètres!$A$1:$I$89,3,0)*0.475*44/12</f>
        <v>1.4601354462744083E-21</v>
      </c>
      <c r="GO194" s="21">
        <f t="shared" si="187"/>
        <v>1.0970153409491648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5.6843418860808015E-14</v>
      </c>
      <c r="GV194" s="17">
        <f>GU194*VLOOKUP('Données projet'!$B$18,Paramètres!$A$1:$I$89,3,0)*VLOOKUP('Données projet'!$B$18,Paramètres!$A$1:$I$89,5,0)</f>
        <v>4.4337866711430253E-14</v>
      </c>
      <c r="GW194" s="13">
        <f t="shared" si="188"/>
        <v>7.3222115536967035E-13</v>
      </c>
      <c r="GX194" s="20">
        <f t="shared" si="189"/>
        <v>1.3525069634579169E-12</v>
      </c>
      <c r="GY194" s="59">
        <f t="shared" si="137"/>
        <v>293.33333333333468</v>
      </c>
      <c r="GZ194" s="59">
        <f ca="1">AVERAGE(OFFSET($GY$3,0,0,'Données projet'!$E$18+1,1))-AVERAGE(OFFSET($H$3,0,0,'Données projet'!$E$18+1,1))</f>
        <v>288.82868507674738</v>
      </c>
      <c r="HA194" s="59">
        <f t="shared" si="160"/>
        <v>283.48738729114024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3.8383940579668909</v>
      </c>
      <c r="HH194" s="21">
        <f>EXP(-LN(2)/25)*HH193+(1-EXP(-LN(2)/25))/(LN(2)/25)*Calculateur!HC194*Calculateur!HE194*VLOOKUP('Données projet'!$B$18,Paramètres!$A$1:$I$89,3,0)*0.475*44/12</f>
        <v>1.4377224407472395</v>
      </c>
      <c r="HI194" s="21">
        <f>EXP(-LN(2)/2)*HI193+(1-EXP(-LN(2)/2))/(LN(2)/2)*HC194*HF194*VLOOKUP('Données projet'!$B$18,Paramètres!$A$1:$I$89,3,0)*0.475*44/12</f>
        <v>2.634872426722652E-17</v>
      </c>
      <c r="HJ194" s="22">
        <f t="shared" si="190"/>
        <v>5.2761164987141305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349.71285006949597</v>
      </c>
      <c r="T195" s="59">
        <f t="shared" si="142"/>
        <v>258.51550516456842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16.678385329677063</v>
      </c>
      <c r="AA195" s="21">
        <f>EXP(-LN(2)/25)*AA194+(1-EXP(-LN(2)/25))/(LN(2)/25)*Calculateur!V195*Calculateur!X195*VLOOKUP('Données projet'!$B$9,Paramètres!$A$1:$I$89,3,0)*0.475*44/12</f>
        <v>2.3187223406477417</v>
      </c>
      <c r="AB195" s="21">
        <f>EXP(-LN(2)/2)*AB194+(1-EXP(-LN(2)/2))/(LN(2)/2)*V195*Y195*VLOOKUP('Données projet'!$B$9,Paramètres!$A$1:$I$89,3,0)*0.475*44/12</f>
        <v>9.8139056327618416E-16</v>
      </c>
      <c r="AC195" s="22">
        <f t="shared" si="163"/>
        <v>18.997107670324805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2.5579538487363607E-13</v>
      </c>
      <c r="AJ195" s="13">
        <f>AI195*VLOOKUP('Données projet'!$B$10,Paramètres!$A$1:$I$89,3,0)*VLOOKUP('Données projet'!$B$10,Paramètres!$A$1:$I$89,5,0)</f>
        <v>2.4341488824575211E-13</v>
      </c>
      <c r="AK195" s="13">
        <f t="shared" si="164"/>
        <v>3.2970717324875541E-12</v>
      </c>
      <c r="AL195" s="20">
        <f t="shared" si="165"/>
        <v>6.1663475311105072E-12</v>
      </c>
      <c r="AM195" s="59">
        <f t="shared" si="113"/>
        <v>293.33333333333945</v>
      </c>
      <c r="AN195" s="59">
        <f ca="1">AVERAGE(OFFSET($AM$3,0,0,'Données projet'!$E$10+1,1))-AVERAGE(OFFSET($H$3,0,0,'Données projet'!$E$10+1,1))</f>
        <v>449.28947235329758</v>
      </c>
      <c r="AO195" s="59">
        <f t="shared" si="144"/>
        <v>289.36994109443964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34.801566101912925</v>
      </c>
      <c r="AV195" s="21">
        <f>EXP(-LN(2)/25)*AV194+(1-EXP(-LN(2)/25))/(LN(2)/25)*Calculateur!AQ195*Calculateur!AS195*VLOOKUP('Données projet'!$B$10,Paramètres!$A$1:$I$89,3,0)*0.475*44/12</f>
        <v>4.4378531369539207</v>
      </c>
      <c r="AW195" s="21">
        <f>EXP(-LN(2)/2)*AW194+(1-EXP(-LN(2)/2))/(LN(2)/2)*AQ195*AT195*VLOOKUP('Données projet'!$B$10,Paramètres!$A$1:$I$89,3,0)*0.475*44/12</f>
        <v>3.3348072198440843E-9</v>
      </c>
      <c r="AX195" s="21">
        <f t="shared" si="166"/>
        <v>39.239419242201649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7.2004695539362725E-13</v>
      </c>
      <c r="BF195" s="13">
        <f t="shared" si="167"/>
        <v>8.5963894794935589E-12</v>
      </c>
      <c r="BG195" s="20">
        <f t="shared" si="168"/>
        <v>1.6226126790761848E-11</v>
      </c>
      <c r="BH195" s="59">
        <f t="shared" si="116"/>
        <v>293.33333333334951</v>
      </c>
      <c r="BI195" s="59">
        <f ca="1">AVERAGE(OFFSET($BH$3,0,0,'Données projet'!$E$11+1,1))-AVERAGE(OFFSET($H$3,0,0,'Données projet'!$E$11+1,1))</f>
        <v>635.71275911100679</v>
      </c>
      <c r="BJ195" s="59">
        <f t="shared" si="146"/>
        <v>281.7776857269169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128.96808409210021</v>
      </c>
      <c r="BQ195" s="21">
        <f>EXP(-LN(2)/25)*BQ194+(1-EXP(-LN(2)/25))/(LN(2)/25)*Calculateur!BL195*Calculateur!BN195*VLOOKUP('Données projet'!$B$11,Paramètres!$A$1:$I$89,3,0)*0.475*44/12</f>
        <v>20.056403067749809</v>
      </c>
      <c r="BR195" s="21">
        <f>EXP(-LN(2)/2)*BR194+(1-EXP(-LN(2)/2))/(LN(2)/2)*BL195*BO195*VLOOKUP('Données projet'!$B$11,Paramètres!$A$1:$I$89,3,0)*0.475*44/12</f>
        <v>0.46954815290058494</v>
      </c>
      <c r="BS195" s="22">
        <f t="shared" si="169"/>
        <v>149.49403531275061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-3.2366642699344083E-13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593.28343396240075</v>
      </c>
      <c r="CE195" s="59">
        <f t="shared" si="148"/>
        <v>289.66477662068695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148.70267022023216</v>
      </c>
      <c r="CL195" s="21">
        <f>EXP(-LN(2)/25)*CL194+(1-EXP(-LN(2)/25))/(LN(2)/25)*Calculateur!CG195*Calculateur!CI195*VLOOKUP('Données projet'!$B$12,Paramètres!$A$1:$I$89,3,0)*0.475*44/12</f>
        <v>46.507679183559802</v>
      </c>
      <c r="CM195" s="21">
        <f>EXP(-LN(2)/2)*CM194+(1-EXP(-LN(2)/2))/(LN(2)/2)*CG195*CJ195*VLOOKUP('Données projet'!$B$12,Paramètres!$A$1:$I$89,3,0)*0.475*44/12</f>
        <v>5.5087712886531897</v>
      </c>
      <c r="CN195" s="22">
        <f t="shared" si="172"/>
        <v>200.71912069244513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2.2737367544323206E-13</v>
      </c>
      <c r="CU195" s="17">
        <f>CT195*VLOOKUP('Données projet'!$B$13,Paramètres!$A$1:$I$89,3,0)*VLOOKUP('Données projet'!$B$13,Paramètres!$A$1:$I$89,5,0)</f>
        <v>2.3765096557326618E-13</v>
      </c>
      <c r="CV195" s="13">
        <f t="shared" si="173"/>
        <v>3.2279907425805489E-12</v>
      </c>
      <c r="CW195" s="20">
        <f t="shared" si="174"/>
        <v>6.0359926417012276E-12</v>
      </c>
      <c r="CX195" s="59">
        <f t="shared" si="122"/>
        <v>293.33333333333934</v>
      </c>
      <c r="CY195" s="59">
        <f ca="1">AVERAGE(OFFSET($CX$3,0,0,'Données projet'!$E$13+1,1))-AVERAGE(OFFSET($H$3,0,0,'Données projet'!$E$13+1,1))</f>
        <v>260.65406541614402</v>
      </c>
      <c r="CZ195" s="59">
        <f t="shared" si="150"/>
        <v>277.63456890196886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2.389670391602861</v>
      </c>
      <c r="DG195" s="21">
        <f>EXP(-LN(2)/25)*DG194+(1-EXP(-LN(2)/25))/(LN(2)/25)*Calculateur!DB195*Calculateur!DD195*VLOOKUP('Données projet'!$B$13,Paramètres!$A$1:$I$89,3,0)*0.475*44/12</f>
        <v>2.9292111539897729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5.3188815455926335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1.4897523215040565E-13</v>
      </c>
      <c r="DQ195" s="13">
        <f t="shared" si="176"/>
        <v>2.136562777003313E-12</v>
      </c>
      <c r="DR195" s="20">
        <f t="shared" si="177"/>
        <v>3.9806453659427267E-12</v>
      </c>
      <c r="DS195" s="59">
        <f t="shared" si="125"/>
        <v>293.33333333333729</v>
      </c>
      <c r="DT195" s="59">
        <f ca="1">AVERAGE(OFFSET($DS$3,0,0,'Données projet'!$E$14+1,1))-AVERAGE(OFFSET($H$3,0,0,'Données projet'!$E$14+1,1))</f>
        <v>181.4272795535777</v>
      </c>
      <c r="DU195" s="59">
        <f t="shared" si="152"/>
        <v>187.67131775419904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2.2425429935743511</v>
      </c>
      <c r="EB195" s="21">
        <f>EXP(-LN(2)/25)*EB194+(1-EXP(-LN(2)/25))/(LN(2)/25)*Calculateur!DW195*Calculateur!DY195*VLOOKUP('Données projet'!$B$14,Paramètres!$A$1:$I$89,3,0)*0.475*44/12</f>
        <v>1.0668331697317888</v>
      </c>
      <c r="EC195" s="21">
        <f>EXP(-LN(2)/2)*EC194+(1-EXP(-LN(2)/2))/(LN(2)/2)*DW195*DZ195*VLOOKUP('Données projet'!$B$14,Paramètres!$A$1:$I$89,3,0)*0.475*44/12</f>
        <v>1.1143055210502714E-14</v>
      </c>
      <c r="ED195" s="22">
        <f t="shared" si="178"/>
        <v>3.3093761633061507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9.2222762759774927E-14</v>
      </c>
      <c r="EL195" s="13">
        <f t="shared" si="179"/>
        <v>1.3985662224947967E-12</v>
      </c>
      <c r="EM195" s="20">
        <f t="shared" si="180"/>
        <v>2.5964574826517121E-12</v>
      </c>
      <c r="EN195" s="59">
        <f t="shared" si="128"/>
        <v>293.33333333333593</v>
      </c>
      <c r="EO195" s="59">
        <f ca="1">AVERAGE(OFFSET($EN$3,0,0,'Données projet'!$E$15+1,1))-AVERAGE(OFFSET($H$3,0,0,'Données projet'!$E$15+1,1))</f>
        <v>159.68591355116837</v>
      </c>
      <c r="EP195" s="59">
        <f t="shared" si="154"/>
        <v>284.32631786390112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0.71868843174980956</v>
      </c>
      <c r="EW195" s="21">
        <f>EXP(-LN(2)/25)*EW194+(1-EXP(-LN(2)/25))/(LN(2)/25)*Calculateur!ER195*Calculateur!ET195*VLOOKUP('Données projet'!$B$15,Paramètres!$A$1:$I$89,3,0)*0.475*44/12</f>
        <v>0.28559154193971775</v>
      </c>
      <c r="EX195" s="21">
        <f>EXP(-LN(2)/2)*EX194+(1-EXP(-LN(2)/2))/(LN(2)/2)*ER195*EU195*VLOOKUP('Données projet'!$B$15,Paramètres!$A$1:$I$89,3,0)*0.475*44/12</f>
        <v>3.8622206817114084E-22</v>
      </c>
      <c r="EY195" s="22">
        <f t="shared" si="181"/>
        <v>1.0042799736895274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-1.3567387213697657E-13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299.10536994156814</v>
      </c>
      <c r="FK195" s="59">
        <f t="shared" si="156"/>
        <v>292.57799203101769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4.4205757885393737</v>
      </c>
      <c r="FR195" s="21">
        <f>EXP(-LN(2)/25)*FR194+(1-EXP(-LN(2)/25))/(LN(2)/25)*Calculateur!FM195*Calculateur!FO195*VLOOKUP('Données projet'!$B$16,Paramètres!$A$1:$I$89,3,0)*0.475*44/12</f>
        <v>1.8982911708742989</v>
      </c>
      <c r="FS195" s="21">
        <f>EXP(-LN(2)/2)*FS194+(1-EXP(-LN(2)/2))/(LN(2)/2)*FM195*FP195*VLOOKUP('Données projet'!$B$16,Paramètres!$A$1:$I$89,3,0)*0.475*44/12</f>
        <v>7.2136653297229098E-16</v>
      </c>
      <c r="FT195" s="22">
        <f t="shared" si="184"/>
        <v>6.3188669594136737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5.6843418860808015E-14</v>
      </c>
      <c r="GA195" s="17">
        <f>FZ195*VLOOKUP('Données projet'!$B$17,Paramètres!$A$1:$I$89,3,0)*VLOOKUP('Données projet'!$B$17,Paramètres!$A$1:$I$89,5,0)</f>
        <v>5.1431925385259088E-14</v>
      </c>
      <c r="GB195" s="13">
        <f t="shared" si="185"/>
        <v>8.3482866290946129E-13</v>
      </c>
      <c r="GC195" s="20">
        <f t="shared" si="186"/>
        <v>1.5435705246133045E-12</v>
      </c>
      <c r="GD195" s="59">
        <f t="shared" si="134"/>
        <v>293.33333333333485</v>
      </c>
      <c r="GE195" s="59">
        <f ca="1">AVERAGE(OFFSET($GD$3,0,0,'Données projet'!$E$17+1,1))-AVERAGE(OFFSET($H$3,0,0,'Données projet'!$E$17+1,1))</f>
        <v>204.78565758021779</v>
      </c>
      <c r="GF195" s="59">
        <f t="shared" si="158"/>
        <v>287.25131613242439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0.84929085790365766</v>
      </c>
      <c r="GM195" s="21">
        <f>EXP(-LN(2)/25)*GM194+(1-EXP(-LN(2)/25))/(LN(2)/25)*Calculateur!GH195*Calculateur!GJ195*VLOOKUP('Données projet'!$B$17,Paramètres!$A$1:$I$89,3,0)*0.475*44/12</f>
        <v>0.22442777544505407</v>
      </c>
      <c r="GN195" s="21">
        <f>EXP(-LN(2)/2)*GN194+(1-EXP(-LN(2)/2))/(LN(2)/2)*GH195*GK195*VLOOKUP('Données projet'!$B$17,Paramètres!$A$1:$I$89,3,0)*0.475*44/12</f>
        <v>1.03247167551148E-21</v>
      </c>
      <c r="GO195" s="21">
        <f t="shared" si="187"/>
        <v>1.0737186333487116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5.6843418860808015E-14</v>
      </c>
      <c r="GV195" s="17">
        <f>GU195*VLOOKUP('Données projet'!$B$18,Paramètres!$A$1:$I$89,3,0)*VLOOKUP('Données projet'!$B$18,Paramètres!$A$1:$I$89,5,0)</f>
        <v>4.4337866711430253E-14</v>
      </c>
      <c r="GW195" s="13">
        <f t="shared" si="188"/>
        <v>7.3222115536967035E-13</v>
      </c>
      <c r="GX195" s="20">
        <f t="shared" si="189"/>
        <v>1.3525069634579169E-12</v>
      </c>
      <c r="GY195" s="59">
        <f t="shared" si="137"/>
        <v>293.33333333333468</v>
      </c>
      <c r="GZ195" s="59">
        <f ca="1">AVERAGE(OFFSET($GY$3,0,0,'Données projet'!$E$18+1,1))-AVERAGE(OFFSET($H$3,0,0,'Données projet'!$E$18+1,1))</f>
        <v>288.82868507674738</v>
      </c>
      <c r="HA195" s="59">
        <f t="shared" si="160"/>
        <v>283.48738729114024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3.7631254916793622</v>
      </c>
      <c r="HH195" s="21">
        <f>EXP(-LN(2)/25)*HH194+(1-EXP(-LN(2)/25))/(LN(2)/25)*Calculateur!HC195*Calculateur!HE195*VLOOKUP('Données projet'!$B$18,Paramètres!$A$1:$I$89,3,0)*0.475*44/12</f>
        <v>1.3984078449984692</v>
      </c>
      <c r="HI195" s="21">
        <f>EXP(-LN(2)/2)*HI194+(1-EXP(-LN(2)/2))/(LN(2)/2)*HC195*HF195*VLOOKUP('Données projet'!$B$18,Paramètres!$A$1:$I$89,3,0)*0.475*44/12</f>
        <v>1.8631361604970418E-17</v>
      </c>
      <c r="HJ195" s="22">
        <f t="shared" si="190"/>
        <v>5.1615333366778309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349.71285006949597</v>
      </c>
      <c r="T196" s="59">
        <f t="shared" si="142"/>
        <v>258.51550516456842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16.351332366172667</v>
      </c>
      <c r="AA196" s="21">
        <f>EXP(-LN(2)/25)*AA195+(1-EXP(-LN(2)/25))/(LN(2)/25)*Calculateur!V196*Calculateur!X196*VLOOKUP('Données projet'!$B$9,Paramètres!$A$1:$I$89,3,0)*0.475*44/12</f>
        <v>2.2553167563064207</v>
      </c>
      <c r="AB196" s="21">
        <f>EXP(-LN(2)/2)*AB195+(1-EXP(-LN(2)/2))/(LN(2)/2)*V196*Y196*VLOOKUP('Données projet'!$B$9,Paramètres!$A$1:$I$89,3,0)*0.475*44/12</f>
        <v>6.9394792228507538E-16</v>
      </c>
      <c r="AC196" s="22">
        <f t="shared" si="163"/>
        <v>18.606649122479087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2.5579538487363607E-13</v>
      </c>
      <c r="AJ196" s="13">
        <f>AI196*VLOOKUP('Données projet'!$B$10,Paramètres!$A$1:$I$89,3,0)*VLOOKUP('Données projet'!$B$10,Paramètres!$A$1:$I$89,5,0)</f>
        <v>2.4341488824575211E-13</v>
      </c>
      <c r="AK196" s="13">
        <f t="shared" si="164"/>
        <v>3.2970717324875541E-12</v>
      </c>
      <c r="AL196" s="20">
        <f t="shared" si="165"/>
        <v>6.1663475311105072E-12</v>
      </c>
      <c r="AM196" s="59">
        <f t="shared" ref="AM196:AM203" si="193">AL196+(AD196+AE196)*44/12</f>
        <v>293.33333333333945</v>
      </c>
      <c r="AN196" s="59">
        <f ca="1">AVERAGE(OFFSET($AM$3,0,0,'Données projet'!$E$10+1,1))-AVERAGE(OFFSET($H$3,0,0,'Données projet'!$E$10+1,1))</f>
        <v>449.28947235329758</v>
      </c>
      <c r="AO196" s="59">
        <f t="shared" si="144"/>
        <v>289.36994109443964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34.119128617513759</v>
      </c>
      <c r="AV196" s="21">
        <f>EXP(-LN(2)/25)*AV195+(1-EXP(-LN(2)/25))/(LN(2)/25)*Calculateur!AQ196*Calculateur!AS196*VLOOKUP('Données projet'!$B$10,Paramètres!$A$1:$I$89,3,0)*0.475*44/12</f>
        <v>4.3164998095473619</v>
      </c>
      <c r="AW196" s="21">
        <f>EXP(-LN(2)/2)*AW195+(1-EXP(-LN(2)/2))/(LN(2)/2)*AQ196*AT196*VLOOKUP('Données projet'!$B$10,Paramètres!$A$1:$I$89,3,0)*0.475*44/12</f>
        <v>2.3580647991016098E-9</v>
      </c>
      <c r="AX196" s="21">
        <f t="shared" si="166"/>
        <v>38.435628429419182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7.2004695539362725E-13</v>
      </c>
      <c r="BF196" s="13">
        <f t="shared" si="167"/>
        <v>8.5963894794935589E-12</v>
      </c>
      <c r="BG196" s="20">
        <f t="shared" si="168"/>
        <v>1.6226126790761848E-11</v>
      </c>
      <c r="BH196" s="59">
        <f t="shared" ref="BH196:BH203" si="194">BG196+(AY196+AZ196)*44/12</f>
        <v>293.33333333334951</v>
      </c>
      <c r="BI196" s="59">
        <f ca="1">AVERAGE(OFFSET($BH$3,0,0,'Données projet'!$E$11+1,1))-AVERAGE(OFFSET($H$3,0,0,'Données projet'!$E$11+1,1))</f>
        <v>635.71275911100679</v>
      </c>
      <c r="BJ196" s="59">
        <f t="shared" si="146"/>
        <v>281.7776857269169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126.43909862581812</v>
      </c>
      <c r="BQ196" s="21">
        <f>EXP(-LN(2)/25)*BQ195+(1-EXP(-LN(2)/25))/(LN(2)/25)*Calculateur!BL196*Calculateur!BN196*VLOOKUP('Données projet'!$B$11,Paramètres!$A$1:$I$89,3,0)*0.475*44/12</f>
        <v>19.507959671141794</v>
      </c>
      <c r="BR196" s="21">
        <f>EXP(-LN(2)/2)*BR195+(1-EXP(-LN(2)/2))/(LN(2)/2)*BL196*BO196*VLOOKUP('Données projet'!$B$11,Paramètres!$A$1:$I$89,3,0)*0.475*44/12</f>
        <v>0.33202068300962151</v>
      </c>
      <c r="BS196" s="22">
        <f t="shared" si="169"/>
        <v>146.27907897996954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-3.2366642699344083E-13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593.28343396240075</v>
      </c>
      <c r="CE196" s="59">
        <f t="shared" si="148"/>
        <v>289.66477662068695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145.78670155688638</v>
      </c>
      <c r="CL196" s="21">
        <f>EXP(-LN(2)/25)*CL195+(1-EXP(-LN(2)/25))/(LN(2)/25)*Calculateur!CG196*Calculateur!CI196*VLOOKUP('Données projet'!$B$12,Paramètres!$A$1:$I$89,3,0)*0.475*44/12</f>
        <v>45.235924250552806</v>
      </c>
      <c r="CM196" s="21">
        <f>EXP(-LN(2)/2)*CM195+(1-EXP(-LN(2)/2))/(LN(2)/2)*CG196*CJ196*VLOOKUP('Données projet'!$B$12,Paramètres!$A$1:$I$89,3,0)*0.475*44/12</f>
        <v>3.8952895342124267</v>
      </c>
      <c r="CN196" s="22">
        <f t="shared" si="172"/>
        <v>194.91791534165162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2.2737367544323206E-13</v>
      </c>
      <c r="CU196" s="17">
        <f>CT196*VLOOKUP('Données projet'!$B$13,Paramètres!$A$1:$I$89,3,0)*VLOOKUP('Données projet'!$B$13,Paramètres!$A$1:$I$89,5,0)</f>
        <v>2.3765096557326618E-13</v>
      </c>
      <c r="CV196" s="13">
        <f t="shared" si="173"/>
        <v>3.2279907425805489E-12</v>
      </c>
      <c r="CW196" s="20">
        <f t="shared" si="174"/>
        <v>6.0359926417012276E-12</v>
      </c>
      <c r="CX196" s="59">
        <f t="shared" ref="CX196:CX203" si="196">CW196+(CO196+CP196)*44/12</f>
        <v>293.33333333333934</v>
      </c>
      <c r="CY196" s="59">
        <f ca="1">AVERAGE(OFFSET($CX$3,0,0,'Données projet'!$E$13+1,1))-AVERAGE(OFFSET($H$3,0,0,'Données projet'!$E$13+1,1))</f>
        <v>260.65406541614402</v>
      </c>
      <c r="CZ196" s="59">
        <f t="shared" si="150"/>
        <v>277.63456890196886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2.3428104127785461</v>
      </c>
      <c r="DG196" s="21">
        <f>EXP(-LN(2)/25)*DG195+(1-EXP(-LN(2)/25))/(LN(2)/25)*Calculateur!DB196*Calculateur!DD196*VLOOKUP('Données projet'!$B$13,Paramètres!$A$1:$I$89,3,0)*0.475*44/12</f>
        <v>2.8491117209434029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5.191922133721949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1.4897523215040565E-13</v>
      </c>
      <c r="DQ196" s="13">
        <f t="shared" si="176"/>
        <v>2.136562777003313E-12</v>
      </c>
      <c r="DR196" s="20">
        <f t="shared" si="177"/>
        <v>3.9806453659427267E-12</v>
      </c>
      <c r="DS196" s="59">
        <f t="shared" ref="DS196:DS203" si="197">DR196+(DJ196+DK196)*44/12</f>
        <v>293.33333333333729</v>
      </c>
      <c r="DT196" s="59">
        <f ca="1">AVERAGE(OFFSET($DS$3,0,0,'Données projet'!$E$14+1,1))-AVERAGE(OFFSET($H$3,0,0,'Données projet'!$E$14+1,1))</f>
        <v>181.4272795535777</v>
      </c>
      <c r="DU196" s="59">
        <f t="shared" si="152"/>
        <v>187.67131775419904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2.1985680932865237</v>
      </c>
      <c r="EB196" s="21">
        <f>EXP(-LN(2)/25)*EB195+(1-EXP(-LN(2)/25))/(LN(2)/25)*Calculateur!DW196*Calculateur!DY196*VLOOKUP('Données projet'!$B$14,Paramètres!$A$1:$I$89,3,0)*0.475*44/12</f>
        <v>1.0376605606031548</v>
      </c>
      <c r="EC196" s="21">
        <f>EXP(-LN(2)/2)*EC195+(1-EXP(-LN(2)/2))/(LN(2)/2)*DW196*DZ196*VLOOKUP('Données projet'!$B$14,Paramètres!$A$1:$I$89,3,0)*0.475*44/12</f>
        <v>7.8793299024825605E-15</v>
      </c>
      <c r="ED196" s="22">
        <f t="shared" si="178"/>
        <v>3.2362286538896865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9.2222762759774927E-14</v>
      </c>
      <c r="EL196" s="13">
        <f t="shared" si="179"/>
        <v>1.3985662224947967E-12</v>
      </c>
      <c r="EM196" s="20">
        <f t="shared" si="180"/>
        <v>2.5964574826517121E-12</v>
      </c>
      <c r="EN196" s="59">
        <f t="shared" ref="EN196:EN203" si="198">EM196+(EE196+EF196)*44/12</f>
        <v>293.33333333333593</v>
      </c>
      <c r="EO196" s="59">
        <f ca="1">AVERAGE(OFFSET($EN$3,0,0,'Données projet'!$E$15+1,1))-AVERAGE(OFFSET($H$3,0,0,'Données projet'!$E$15+1,1))</f>
        <v>159.68591355116837</v>
      </c>
      <c r="EP196" s="59">
        <f t="shared" si="154"/>
        <v>284.32631786390112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0.70459538995985505</v>
      </c>
      <c r="EW196" s="21">
        <f>EXP(-LN(2)/25)*EW195+(1-EXP(-LN(2)/25))/(LN(2)/25)*Calculateur!ER196*Calculateur!ET196*VLOOKUP('Données projet'!$B$15,Paramètres!$A$1:$I$89,3,0)*0.475*44/12</f>
        <v>0.27778202620676973</v>
      </c>
      <c r="EX196" s="21">
        <f>EXP(-LN(2)/2)*EX195+(1-EXP(-LN(2)/2))/(LN(2)/2)*ER196*EU196*VLOOKUP('Données projet'!$B$15,Paramètres!$A$1:$I$89,3,0)*0.475*44/12</f>
        <v>2.7310024344770672E-22</v>
      </c>
      <c r="EY196" s="22">
        <f t="shared" si="181"/>
        <v>0.98237741616662477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-1.3567387213697657E-13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299.10536994156814</v>
      </c>
      <c r="FK196" s="59">
        <f t="shared" si="156"/>
        <v>292.57799203101769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4.3338909936111119</v>
      </c>
      <c r="FR196" s="21">
        <f>EXP(-LN(2)/25)*FR195+(1-EXP(-LN(2)/25))/(LN(2)/25)*Calculateur!FM196*Calculateur!FO196*VLOOKUP('Données projet'!$B$16,Paramètres!$A$1:$I$89,3,0)*0.475*44/12</f>
        <v>1.8463822989799472</v>
      </c>
      <c r="FS196" s="21">
        <f>EXP(-LN(2)/2)*FS195+(1-EXP(-LN(2)/2))/(LN(2)/2)*FM196*FP196*VLOOKUP('Données projet'!$B$16,Paramètres!$A$1:$I$89,3,0)*0.475*44/12</f>
        <v>5.1008316718573618E-16</v>
      </c>
      <c r="FT196" s="22">
        <f t="shared" si="184"/>
        <v>6.1802732925910595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5.6843418860808015E-14</v>
      </c>
      <c r="GA196" s="17">
        <f>FZ196*VLOOKUP('Données projet'!$B$17,Paramètres!$A$1:$I$89,3,0)*VLOOKUP('Données projet'!$B$17,Paramètres!$A$1:$I$89,5,0)</f>
        <v>5.1431925385259088E-14</v>
      </c>
      <c r="GB196" s="13">
        <f t="shared" si="185"/>
        <v>8.3482866290946129E-13</v>
      </c>
      <c r="GC196" s="20">
        <f t="shared" si="186"/>
        <v>1.5435705246133045E-12</v>
      </c>
      <c r="GD196" s="59">
        <f t="shared" ref="GD196:GD203" si="200">GC196+(FU196+FV196)*44/12</f>
        <v>293.33333333333485</v>
      </c>
      <c r="GE196" s="59">
        <f ca="1">AVERAGE(OFFSET($GD$3,0,0,'Données projet'!$E$17+1,1))-AVERAGE(OFFSET($H$3,0,0,'Données projet'!$E$17+1,1))</f>
        <v>204.78565758021779</v>
      </c>
      <c r="GF196" s="59">
        <f t="shared" si="158"/>
        <v>287.25131613242439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0.83263678219644044</v>
      </c>
      <c r="GM196" s="21">
        <f>EXP(-LN(2)/25)*GM195+(1-EXP(-LN(2)/25))/(LN(2)/25)*Calculateur!GH196*Calculateur!GJ196*VLOOKUP('Données projet'!$B$17,Paramètres!$A$1:$I$89,3,0)*0.475*44/12</f>
        <v>0.2182907861233653</v>
      </c>
      <c r="GN196" s="21">
        <f>EXP(-LN(2)/2)*GN195+(1-EXP(-LN(2)/2))/(LN(2)/2)*GH196*GK196*VLOOKUP('Données projet'!$B$17,Paramètres!$A$1:$I$89,3,0)*0.475*44/12</f>
        <v>7.3006772313720417E-22</v>
      </c>
      <c r="GO196" s="21">
        <f t="shared" si="187"/>
        <v>1.0509275683198058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5.6843418860808015E-14</v>
      </c>
      <c r="GV196" s="17">
        <f>GU196*VLOOKUP('Données projet'!$B$18,Paramètres!$A$1:$I$89,3,0)*VLOOKUP('Données projet'!$B$18,Paramètres!$A$1:$I$89,5,0)</f>
        <v>4.4337866711430253E-14</v>
      </c>
      <c r="GW196" s="13">
        <f t="shared" si="188"/>
        <v>7.3222115536967035E-13</v>
      </c>
      <c r="GX196" s="20">
        <f t="shared" si="189"/>
        <v>1.3525069634579169E-12</v>
      </c>
      <c r="GY196" s="59">
        <f t="shared" ref="GY196:GY203" si="201">GX196+(GP196+GQ196)*44/12</f>
        <v>293.33333333333468</v>
      </c>
      <c r="GZ196" s="59">
        <f ca="1">AVERAGE(OFFSET($GY$3,0,0,'Données projet'!$E$18+1,1))-AVERAGE(OFFSET($H$3,0,0,'Données projet'!$E$18+1,1))</f>
        <v>288.82868507674738</v>
      </c>
      <c r="HA196" s="59">
        <f t="shared" si="160"/>
        <v>283.48738729114024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3.6893328960674396</v>
      </c>
      <c r="HH196" s="21">
        <f>EXP(-LN(2)/25)*HH195+(1-EXP(-LN(2)/25))/(LN(2)/25)*Calculateur!HC196*Calculateur!HE196*VLOOKUP('Données projet'!$B$18,Paramètres!$A$1:$I$89,3,0)*0.475*44/12</f>
        <v>1.3601683089379135</v>
      </c>
      <c r="HI196" s="21">
        <f>EXP(-LN(2)/2)*HI195+(1-EXP(-LN(2)/2))/(LN(2)/2)*HC196*HF196*VLOOKUP('Données projet'!$B$18,Paramètres!$A$1:$I$89,3,0)*0.475*44/12</f>
        <v>1.317436213361326E-17</v>
      </c>
      <c r="HJ196" s="22">
        <f t="shared" si="190"/>
        <v>5.0495012050053534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349.71285006949597</v>
      </c>
      <c r="T197" s="59">
        <f t="shared" ref="T197:T203" si="204">$T$3</f>
        <v>258.51550516456842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16.030692711799979</v>
      </c>
      <c r="AA197" s="21">
        <f>EXP(-LN(2)/25)*AA196+(1-EXP(-LN(2)/25))/(LN(2)/25)*Calculateur!V197*Calculateur!X197*VLOOKUP('Données projet'!$B$9,Paramètres!$A$1:$I$89,3,0)*0.475*44/12</f>
        <v>2.1936450010032682</v>
      </c>
      <c r="AB197" s="21">
        <f>EXP(-LN(2)/2)*AB196+(1-EXP(-LN(2)/2))/(LN(2)/2)*V197*Y197*VLOOKUP('Données projet'!$B$9,Paramètres!$A$1:$I$89,3,0)*0.475*44/12</f>
        <v>4.9069528163809208E-16</v>
      </c>
      <c r="AC197" s="22">
        <f t="shared" si="163"/>
        <v>18.224337712803248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2.5579538487363607E-13</v>
      </c>
      <c r="AJ197" s="13">
        <f>AI197*VLOOKUP('Données projet'!$B$10,Paramètres!$A$1:$I$89,3,0)*VLOOKUP('Données projet'!$B$10,Paramètres!$A$1:$I$89,5,0)</f>
        <v>2.4341488824575211E-13</v>
      </c>
      <c r="AK197" s="13">
        <f t="shared" si="164"/>
        <v>3.2970717324875541E-12</v>
      </c>
      <c r="AL197" s="20">
        <f t="shared" si="165"/>
        <v>6.1663475311105072E-12</v>
      </c>
      <c r="AM197" s="59">
        <f t="shared" si="193"/>
        <v>293.33333333333945</v>
      </c>
      <c r="AN197" s="59">
        <f ca="1">AVERAGE(OFFSET($AM$3,0,0,'Données projet'!$E$10+1,1))-AVERAGE(OFFSET($H$3,0,0,'Données projet'!$E$10+1,1))</f>
        <v>449.28947235329758</v>
      </c>
      <c r="AO197" s="59">
        <f t="shared" ref="AO197:AO203" si="205">$AO$3</f>
        <v>289.36994109443964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33.450073315937892</v>
      </c>
      <c r="AV197" s="21">
        <f>EXP(-LN(2)/25)*AV196+(1-EXP(-LN(2)/25))/(LN(2)/25)*Calculateur!AQ197*Calculateur!AS197*VLOOKUP('Données projet'!$B$10,Paramètres!$A$1:$I$89,3,0)*0.475*44/12</f>
        <v>4.1984648952604298</v>
      </c>
      <c r="AW197" s="21">
        <f>EXP(-LN(2)/2)*AW196+(1-EXP(-LN(2)/2))/(LN(2)/2)*AQ197*AT197*VLOOKUP('Données projet'!$B$10,Paramètres!$A$1:$I$89,3,0)*0.475*44/12</f>
        <v>1.6674036099220422E-9</v>
      </c>
      <c r="AX197" s="21">
        <f t="shared" si="166"/>
        <v>37.648538212865724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7.2004695539362725E-13</v>
      </c>
      <c r="BF197" s="13">
        <f t="shared" si="167"/>
        <v>8.5963894794935589E-12</v>
      </c>
      <c r="BG197" s="20">
        <f t="shared" si="168"/>
        <v>1.6226126790761848E-11</v>
      </c>
      <c r="BH197" s="59">
        <f t="shared" si="194"/>
        <v>293.33333333334951</v>
      </c>
      <c r="BI197" s="59">
        <f ca="1">AVERAGE(OFFSET($BH$3,0,0,'Données projet'!$E$11+1,1))-AVERAGE(OFFSET($H$3,0,0,'Données projet'!$E$11+1,1))</f>
        <v>635.71275911100679</v>
      </c>
      <c r="BJ197" s="59">
        <f t="shared" ref="BJ197:BJ203" si="206">$BJ$3</f>
        <v>281.7776857269169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123.959705022001</v>
      </c>
      <c r="BQ197" s="21">
        <f>EXP(-LN(2)/25)*BQ196+(1-EXP(-LN(2)/25))/(LN(2)/25)*Calculateur!BL197*Calculateur!BN197*VLOOKUP('Données projet'!$B$11,Paramètres!$A$1:$I$89,3,0)*0.475*44/12</f>
        <v>18.974513488055408</v>
      </c>
      <c r="BR197" s="21">
        <f>EXP(-LN(2)/2)*BR196+(1-EXP(-LN(2)/2))/(LN(2)/2)*BL197*BO197*VLOOKUP('Données projet'!$B$11,Paramètres!$A$1:$I$89,3,0)*0.475*44/12</f>
        <v>0.2347740764502925</v>
      </c>
      <c r="BS197" s="22">
        <f t="shared" si="169"/>
        <v>143.1689925865067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-3.2366642699344083E-13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593.28343396240075</v>
      </c>
      <c r="CE197" s="59">
        <f t="shared" ref="CE197:CE203" si="207">$CE$3</f>
        <v>289.66477662068695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142.92791326046355</v>
      </c>
      <c r="CL197" s="21">
        <f>EXP(-LN(2)/25)*CL196+(1-EXP(-LN(2)/25))/(LN(2)/25)*Calculateur!CG197*Calculateur!CI197*VLOOKUP('Données projet'!$B$12,Paramètres!$A$1:$I$89,3,0)*0.475*44/12</f>
        <v>43.998945523067569</v>
      </c>
      <c r="CM197" s="21">
        <f>EXP(-LN(2)/2)*CM196+(1-EXP(-LN(2)/2))/(LN(2)/2)*CG197*CJ197*VLOOKUP('Données projet'!$B$12,Paramètres!$A$1:$I$89,3,0)*0.475*44/12</f>
        <v>2.7543856443265953</v>
      </c>
      <c r="CN197" s="22">
        <f t="shared" si="172"/>
        <v>189.68124442785771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2.2737367544323206E-13</v>
      </c>
      <c r="CU197" s="17">
        <f>CT197*VLOOKUP('Données projet'!$B$13,Paramètres!$A$1:$I$89,3,0)*VLOOKUP('Données projet'!$B$13,Paramètres!$A$1:$I$89,5,0)</f>
        <v>2.3765096557326618E-13</v>
      </c>
      <c r="CV197" s="13">
        <f t="shared" si="173"/>
        <v>3.2279907425805489E-12</v>
      </c>
      <c r="CW197" s="20">
        <f t="shared" si="174"/>
        <v>6.0359926417012276E-12</v>
      </c>
      <c r="CX197" s="59">
        <f t="shared" si="196"/>
        <v>293.33333333333934</v>
      </c>
      <c r="CY197" s="59">
        <f ca="1">AVERAGE(OFFSET($CX$3,0,0,'Données projet'!$E$13+1,1))-AVERAGE(OFFSET($H$3,0,0,'Données projet'!$E$13+1,1))</f>
        <v>260.65406541614402</v>
      </c>
      <c r="CZ197" s="59">
        <f t="shared" ref="CZ197:CZ203" si="208">$CZ$3</f>
        <v>277.63456890196886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2.2968693295572113</v>
      </c>
      <c r="DG197" s="21">
        <f>EXP(-LN(2)/25)*DG196+(1-EXP(-LN(2)/25))/(LN(2)/25)*Calculateur!DB197*Calculateur!DD197*VLOOKUP('Données projet'!$B$13,Paramètres!$A$1:$I$89,3,0)*0.475*44/12</f>
        <v>2.7712026111059318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5.0680719406631436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1.4897523215040565E-13</v>
      </c>
      <c r="DQ197" s="13">
        <f t="shared" si="176"/>
        <v>2.136562777003313E-12</v>
      </c>
      <c r="DR197" s="20">
        <f t="shared" si="177"/>
        <v>3.9806453659427267E-12</v>
      </c>
      <c r="DS197" s="59">
        <f t="shared" si="197"/>
        <v>293.33333333333729</v>
      </c>
      <c r="DT197" s="59">
        <f ca="1">AVERAGE(OFFSET($DS$3,0,0,'Données projet'!$E$14+1,1))-AVERAGE(OFFSET($H$3,0,0,'Données projet'!$E$14+1,1))</f>
        <v>181.4272795535777</v>
      </c>
      <c r="DU197" s="59">
        <f t="shared" ref="DU197:DU203" si="209">$DU$3</f>
        <v>187.67131775419904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2.1554555139712996</v>
      </c>
      <c r="EB197" s="21">
        <f>EXP(-LN(2)/25)*EB196+(1-EXP(-LN(2)/25))/(LN(2)/25)*Calculateur!DW197*Calculateur!DY197*VLOOKUP('Données projet'!$B$14,Paramètres!$A$1:$I$89,3,0)*0.475*44/12</f>
        <v>1.0092856780052644</v>
      </c>
      <c r="EC197" s="21">
        <f>EXP(-LN(2)/2)*EC196+(1-EXP(-LN(2)/2))/(LN(2)/2)*DW197*DZ197*VLOOKUP('Données projet'!$B$14,Paramètres!$A$1:$I$89,3,0)*0.475*44/12</f>
        <v>5.5715276052513568E-15</v>
      </c>
      <c r="ED197" s="22">
        <f t="shared" si="178"/>
        <v>3.1647411919765696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9.2222762759774927E-14</v>
      </c>
      <c r="EL197" s="13">
        <f t="shared" si="179"/>
        <v>1.3985662224947967E-12</v>
      </c>
      <c r="EM197" s="20">
        <f t="shared" si="180"/>
        <v>2.5964574826517121E-12</v>
      </c>
      <c r="EN197" s="59">
        <f t="shared" si="198"/>
        <v>293.33333333333593</v>
      </c>
      <c r="EO197" s="59">
        <f ca="1">AVERAGE(OFFSET($EN$3,0,0,'Données projet'!$E$15+1,1))-AVERAGE(OFFSET($H$3,0,0,'Données projet'!$E$15+1,1))</f>
        <v>159.68591355116837</v>
      </c>
      <c r="EP197" s="59">
        <f t="shared" ref="EP197:EP203" si="210">$EP$3</f>
        <v>284.32631786390112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0.69077870412349485</v>
      </c>
      <c r="EW197" s="21">
        <f>EXP(-LN(2)/25)*EW196+(1-EXP(-LN(2)/25))/(LN(2)/25)*Calculateur!ER197*Calculateur!ET197*VLOOKUP('Données projet'!$B$15,Paramètres!$A$1:$I$89,3,0)*0.475*44/12</f>
        <v>0.27018606209222373</v>
      </c>
      <c r="EX197" s="21">
        <f>EXP(-LN(2)/2)*EX196+(1-EXP(-LN(2)/2))/(LN(2)/2)*ER197*EU197*VLOOKUP('Données projet'!$B$15,Paramètres!$A$1:$I$89,3,0)*0.475*44/12</f>
        <v>1.9311103408557042E-22</v>
      </c>
      <c r="EY197" s="22">
        <f t="shared" si="181"/>
        <v>0.96096476621571858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-1.3567387213697657E-13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299.10536994156814</v>
      </c>
      <c r="FK197" s="59">
        <f t="shared" ref="FK197:FK203" si="211">$FK$3</f>
        <v>292.57799203101769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4.2489060346388889</v>
      </c>
      <c r="FR197" s="21">
        <f>EXP(-LN(2)/25)*FR196+(1-EXP(-LN(2)/25))/(LN(2)/25)*Calculateur!FM197*Calculateur!FO197*VLOOKUP('Données projet'!$B$16,Paramètres!$A$1:$I$89,3,0)*0.475*44/12</f>
        <v>1.7958928779173153</v>
      </c>
      <c r="FS197" s="21">
        <f>EXP(-LN(2)/2)*FS196+(1-EXP(-LN(2)/2))/(LN(2)/2)*FM197*FP197*VLOOKUP('Données projet'!$B$16,Paramètres!$A$1:$I$89,3,0)*0.475*44/12</f>
        <v>3.6068326648614549E-16</v>
      </c>
      <c r="FT197" s="22">
        <f t="shared" si="184"/>
        <v>6.0447989125562041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5.6843418860808015E-14</v>
      </c>
      <c r="GA197" s="17">
        <f>FZ197*VLOOKUP('Données projet'!$B$17,Paramètres!$A$1:$I$89,3,0)*VLOOKUP('Données projet'!$B$17,Paramètres!$A$1:$I$89,5,0)</f>
        <v>5.1431925385259088E-14</v>
      </c>
      <c r="GB197" s="13">
        <f t="shared" si="185"/>
        <v>8.3482866290946129E-13</v>
      </c>
      <c r="GC197" s="20">
        <f t="shared" si="186"/>
        <v>1.5435705246133045E-12</v>
      </c>
      <c r="GD197" s="59">
        <f t="shared" si="200"/>
        <v>293.33333333333485</v>
      </c>
      <c r="GE197" s="59">
        <f ca="1">AVERAGE(OFFSET($GD$3,0,0,'Données projet'!$E$17+1,1))-AVERAGE(OFFSET($H$3,0,0,'Données projet'!$E$17+1,1))</f>
        <v>204.78565758021779</v>
      </c>
      <c r="GF197" s="59">
        <f t="shared" ref="GF197:GF203" si="212">$GF$3</f>
        <v>287.25131613242439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0.81630928275585857</v>
      </c>
      <c r="GM197" s="21">
        <f>EXP(-LN(2)/25)*GM196+(1-EXP(-LN(2)/25))/(LN(2)/25)*Calculateur!GH197*Calculateur!GJ197*VLOOKUP('Données projet'!$B$17,Paramètres!$A$1:$I$89,3,0)*0.475*44/12</f>
        <v>0.21232161309740835</v>
      </c>
      <c r="GN197" s="21">
        <f>EXP(-LN(2)/2)*GN196+(1-EXP(-LN(2)/2))/(LN(2)/2)*GH197*GK197*VLOOKUP('Données projet'!$B$17,Paramètres!$A$1:$I$89,3,0)*0.475*44/12</f>
        <v>5.1623583775573998E-22</v>
      </c>
      <c r="GO197" s="21">
        <f t="shared" si="187"/>
        <v>1.0286308958532668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5.6843418860808015E-14</v>
      </c>
      <c r="GV197" s="17">
        <f>GU197*VLOOKUP('Données projet'!$B$18,Paramètres!$A$1:$I$89,3,0)*VLOOKUP('Données projet'!$B$18,Paramètres!$A$1:$I$89,5,0)</f>
        <v>4.4337866711430253E-14</v>
      </c>
      <c r="GW197" s="13">
        <f t="shared" si="188"/>
        <v>7.3222115536967035E-13</v>
      </c>
      <c r="GX197" s="20">
        <f t="shared" si="189"/>
        <v>1.3525069634579169E-12</v>
      </c>
      <c r="GY197" s="59">
        <f t="shared" si="201"/>
        <v>293.33333333333468</v>
      </c>
      <c r="GZ197" s="59">
        <f ca="1">AVERAGE(OFFSET($GY$3,0,0,'Données projet'!$E$18+1,1))-AVERAGE(OFFSET($H$3,0,0,'Données projet'!$E$18+1,1))</f>
        <v>288.82868507674738</v>
      </c>
      <c r="HA197" s="59">
        <f t="shared" ref="HA197:HA203" si="213">$HA$3</f>
        <v>283.48738729114024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3.6169873282464278</v>
      </c>
      <c r="HH197" s="21">
        <f>EXP(-LN(2)/25)*HH196+(1-EXP(-LN(2)/25))/(LN(2)/25)*Calculateur!HC197*Calculateur!HE197*VLOOKUP('Données projet'!$B$18,Paramètres!$A$1:$I$89,3,0)*0.475*44/12</f>
        <v>1.3229744350018635</v>
      </c>
      <c r="HI197" s="21">
        <f>EXP(-LN(2)/2)*HI196+(1-EXP(-LN(2)/2))/(LN(2)/2)*HC197*HF197*VLOOKUP('Données projet'!$B$18,Paramètres!$A$1:$I$89,3,0)*0.475*44/12</f>
        <v>9.3156808024852089E-18</v>
      </c>
      <c r="HJ197" s="22">
        <f t="shared" si="190"/>
        <v>4.9399617632482915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349.71285006949597</v>
      </c>
      <c r="T198" s="59">
        <f t="shared" si="204"/>
        <v>258.51550516456842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15.716340605478662</v>
      </c>
      <c r="AA198" s="21">
        <f>EXP(-LN(2)/25)*AA197+(1-EXP(-LN(2)/25))/(LN(2)/25)*Calculateur!V198*Calculateur!X198*VLOOKUP('Données projet'!$B$9,Paramètres!$A$1:$I$89,3,0)*0.475*44/12</f>
        <v>2.133659663092057</v>
      </c>
      <c r="AB198" s="21">
        <f>EXP(-LN(2)/2)*AB197+(1-EXP(-LN(2)/2))/(LN(2)/2)*V198*Y198*VLOOKUP('Données projet'!$B$9,Paramètres!$A$1:$I$89,3,0)*0.475*44/12</f>
        <v>3.4697396114253769E-16</v>
      </c>
      <c r="AC198" s="22">
        <f t="shared" si="163"/>
        <v>17.850000268570717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2.5579538487363607E-13</v>
      </c>
      <c r="AJ198" s="13">
        <f>AI198*VLOOKUP('Données projet'!$B$10,Paramètres!$A$1:$I$89,3,0)*VLOOKUP('Données projet'!$B$10,Paramètres!$A$1:$I$89,5,0)</f>
        <v>2.4341488824575211E-13</v>
      </c>
      <c r="AK198" s="13">
        <f t="shared" si="164"/>
        <v>3.2970717324875541E-12</v>
      </c>
      <c r="AL198" s="20">
        <f t="shared" si="165"/>
        <v>6.1663475311105072E-12</v>
      </c>
      <c r="AM198" s="59">
        <f t="shared" si="193"/>
        <v>293.33333333333945</v>
      </c>
      <c r="AN198" s="59">
        <f ca="1">AVERAGE(OFFSET($AM$3,0,0,'Données projet'!$E$10+1,1))-AVERAGE(OFFSET($H$3,0,0,'Données projet'!$E$10+1,1))</f>
        <v>449.28947235329758</v>
      </c>
      <c r="AO198" s="59">
        <f t="shared" si="205"/>
        <v>289.36994109443964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32.794137780742489</v>
      </c>
      <c r="AV198" s="21">
        <f>EXP(-LN(2)/25)*AV197+(1-EXP(-LN(2)/25))/(LN(2)/25)*Calculateur!AQ198*Calculateur!AS198*VLOOKUP('Données projet'!$B$10,Paramètres!$A$1:$I$89,3,0)*0.475*44/12</f>
        <v>4.0836576519118601</v>
      </c>
      <c r="AW198" s="21">
        <f>EXP(-LN(2)/2)*AW197+(1-EXP(-LN(2)/2))/(LN(2)/2)*AQ198*AT198*VLOOKUP('Données projet'!$B$10,Paramètres!$A$1:$I$89,3,0)*0.475*44/12</f>
        <v>1.1790323995508049E-9</v>
      </c>
      <c r="AX198" s="21">
        <f t="shared" si="166"/>
        <v>36.877795433833384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7.2004695539362725E-13</v>
      </c>
      <c r="BF198" s="13">
        <f t="shared" si="167"/>
        <v>8.5963894794935589E-12</v>
      </c>
      <c r="BG198" s="20">
        <f t="shared" si="168"/>
        <v>1.6226126790761848E-11</v>
      </c>
      <c r="BH198" s="59">
        <f t="shared" si="194"/>
        <v>293.33333333334951</v>
      </c>
      <c r="BI198" s="59">
        <f ca="1">AVERAGE(OFFSET($BH$3,0,0,'Données projet'!$E$11+1,1))-AVERAGE(OFFSET($H$3,0,0,'Données projet'!$E$11+1,1))</f>
        <v>635.71275911100679</v>
      </c>
      <c r="BJ198" s="59">
        <f t="shared" si="206"/>
        <v>281.7776857269169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121.52893081447397</v>
      </c>
      <c r="BQ198" s="21">
        <f>EXP(-LN(2)/25)*BQ197+(1-EXP(-LN(2)/25))/(LN(2)/25)*Calculateur!BL198*Calculateur!BN198*VLOOKUP('Données projet'!$B$11,Paramètres!$A$1:$I$89,3,0)*0.475*44/12</f>
        <v>18.455654418898234</v>
      </c>
      <c r="BR198" s="21">
        <f>EXP(-LN(2)/2)*BR197+(1-EXP(-LN(2)/2))/(LN(2)/2)*BL198*BO198*VLOOKUP('Données projet'!$B$11,Paramètres!$A$1:$I$89,3,0)*0.475*44/12</f>
        <v>0.16601034150481075</v>
      </c>
      <c r="BS198" s="22">
        <f t="shared" si="169"/>
        <v>140.150595574877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-3.2366642699344083E-13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593.28343396240075</v>
      </c>
      <c r="CE198" s="59">
        <f t="shared" si="207"/>
        <v>289.66477662068695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140.12518405884489</v>
      </c>
      <c r="CL198" s="21">
        <f>EXP(-LN(2)/25)*CL197+(1-EXP(-LN(2)/25))/(LN(2)/25)*Calculateur!CG198*Calculateur!CI198*VLOOKUP('Données projet'!$B$12,Paramètres!$A$1:$I$89,3,0)*0.475*44/12</f>
        <v>42.7957920439353</v>
      </c>
      <c r="CM198" s="21">
        <f>EXP(-LN(2)/2)*CM197+(1-EXP(-LN(2)/2))/(LN(2)/2)*CG198*CJ198*VLOOKUP('Données projet'!$B$12,Paramètres!$A$1:$I$89,3,0)*0.475*44/12</f>
        <v>1.9476447671062136</v>
      </c>
      <c r="CN198" s="22">
        <f t="shared" si="172"/>
        <v>184.86862086988643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2.2737367544323206E-13</v>
      </c>
      <c r="CU198" s="17">
        <f>CT198*VLOOKUP('Données projet'!$B$13,Paramètres!$A$1:$I$89,3,0)*VLOOKUP('Données projet'!$B$13,Paramètres!$A$1:$I$89,5,0)</f>
        <v>2.3765096557326618E-13</v>
      </c>
      <c r="CV198" s="13">
        <f t="shared" si="173"/>
        <v>3.2279907425805489E-12</v>
      </c>
      <c r="CW198" s="20">
        <f t="shared" si="174"/>
        <v>6.0359926417012276E-12</v>
      </c>
      <c r="CX198" s="59">
        <f t="shared" si="196"/>
        <v>293.33333333333934</v>
      </c>
      <c r="CY198" s="59">
        <f ca="1">AVERAGE(OFFSET($CX$3,0,0,'Données projet'!$E$13+1,1))-AVERAGE(OFFSET($H$3,0,0,'Données projet'!$E$13+1,1))</f>
        <v>260.65406541614402</v>
      </c>
      <c r="CZ198" s="59">
        <f t="shared" si="208"/>
        <v>277.63456890196886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2.2518291229565528</v>
      </c>
      <c r="DG198" s="21">
        <f>EXP(-LN(2)/25)*DG197+(1-EXP(-LN(2)/25))/(LN(2)/25)*Calculateur!DB198*Calculateur!DD198*VLOOKUP('Données projet'!$B$13,Paramètres!$A$1:$I$89,3,0)*0.475*44/12</f>
        <v>2.6954239299740284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4.9472530529305807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1.4897523215040565E-13</v>
      </c>
      <c r="DQ198" s="13">
        <f t="shared" si="176"/>
        <v>2.136562777003313E-12</v>
      </c>
      <c r="DR198" s="20">
        <f t="shared" si="177"/>
        <v>3.9806453659427267E-12</v>
      </c>
      <c r="DS198" s="59">
        <f t="shared" si="197"/>
        <v>293.33333333333729</v>
      </c>
      <c r="DT198" s="59">
        <f ca="1">AVERAGE(OFFSET($DS$3,0,0,'Données projet'!$E$14+1,1))-AVERAGE(OFFSET($H$3,0,0,'Données projet'!$E$14+1,1))</f>
        <v>181.4272795535777</v>
      </c>
      <c r="DU198" s="59">
        <f t="shared" si="209"/>
        <v>187.67131775419904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2.1131883460403702</v>
      </c>
      <c r="EB198" s="21">
        <f>EXP(-LN(2)/25)*EB197+(1-EXP(-LN(2)/25))/(LN(2)/25)*Calculateur!DW198*Calculateur!DY198*VLOOKUP('Données projet'!$B$14,Paramètres!$A$1:$I$89,3,0)*0.475*44/12</f>
        <v>0.98168670806418334</v>
      </c>
      <c r="EC198" s="21">
        <f>EXP(-LN(2)/2)*EC197+(1-EXP(-LN(2)/2))/(LN(2)/2)*DW198*DZ198*VLOOKUP('Données projet'!$B$14,Paramètres!$A$1:$I$89,3,0)*0.475*44/12</f>
        <v>3.9396649512412802E-15</v>
      </c>
      <c r="ED198" s="22">
        <f t="shared" si="178"/>
        <v>3.0948750541045578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9.2222762759774927E-14</v>
      </c>
      <c r="EL198" s="13">
        <f t="shared" si="179"/>
        <v>1.3985662224947967E-12</v>
      </c>
      <c r="EM198" s="20">
        <f t="shared" si="180"/>
        <v>2.5964574826517121E-12</v>
      </c>
      <c r="EN198" s="59">
        <f t="shared" si="198"/>
        <v>293.33333333333593</v>
      </c>
      <c r="EO198" s="59">
        <f ca="1">AVERAGE(OFFSET($EN$3,0,0,'Données projet'!$E$15+1,1))-AVERAGE(OFFSET($H$3,0,0,'Données projet'!$E$15+1,1))</f>
        <v>159.68591355116837</v>
      </c>
      <c r="EP198" s="59">
        <f t="shared" si="210"/>
        <v>284.32631786390112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0.67723295506903936</v>
      </c>
      <c r="EW198" s="21">
        <f>EXP(-LN(2)/25)*EW197+(1-EXP(-LN(2)/25))/(LN(2)/25)*Calculateur!ER198*Calculateur!ET198*VLOOKUP('Données projet'!$B$15,Paramètres!$A$1:$I$89,3,0)*0.475*44/12</f>
        <v>0.2627978100158444</v>
      </c>
      <c r="EX198" s="21">
        <f>EXP(-LN(2)/2)*EX197+(1-EXP(-LN(2)/2))/(LN(2)/2)*ER198*EU198*VLOOKUP('Données projet'!$B$15,Paramètres!$A$1:$I$89,3,0)*0.475*44/12</f>
        <v>1.3655012172385336E-22</v>
      </c>
      <c r="EY198" s="22">
        <f t="shared" si="181"/>
        <v>0.94003076508488381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-1.3567387213697657E-13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299.10536994156814</v>
      </c>
      <c r="FK198" s="59">
        <f t="shared" si="211"/>
        <v>292.57799203101769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4.1655875788764041</v>
      </c>
      <c r="FR198" s="21">
        <f>EXP(-LN(2)/25)*FR197+(1-EXP(-LN(2)/25))/(LN(2)/25)*Calculateur!FM198*Calculateur!FO198*VLOOKUP('Données projet'!$B$16,Paramètres!$A$1:$I$89,3,0)*0.475*44/12</f>
        <v>1.7467840927287646</v>
      </c>
      <c r="FS198" s="21">
        <f>EXP(-LN(2)/2)*FS197+(1-EXP(-LN(2)/2))/(LN(2)/2)*FM198*FP198*VLOOKUP('Données projet'!$B$16,Paramètres!$A$1:$I$89,3,0)*0.475*44/12</f>
        <v>2.5504158359286809E-16</v>
      </c>
      <c r="FT198" s="22">
        <f t="shared" si="184"/>
        <v>5.9123716716051682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5.6843418860808015E-14</v>
      </c>
      <c r="GA198" s="17">
        <f>FZ198*VLOOKUP('Données projet'!$B$17,Paramètres!$A$1:$I$89,3,0)*VLOOKUP('Données projet'!$B$17,Paramètres!$A$1:$I$89,5,0)</f>
        <v>5.1431925385259088E-14</v>
      </c>
      <c r="GB198" s="13">
        <f t="shared" si="185"/>
        <v>8.3482866290946129E-13</v>
      </c>
      <c r="GC198" s="20">
        <f t="shared" si="186"/>
        <v>1.5435705246133045E-12</v>
      </c>
      <c r="GD198" s="59">
        <f t="shared" si="200"/>
        <v>293.33333333333485</v>
      </c>
      <c r="GE198" s="59">
        <f ca="1">AVERAGE(OFFSET($GD$3,0,0,'Données projet'!$E$17+1,1))-AVERAGE(OFFSET($H$3,0,0,'Données projet'!$E$17+1,1))</f>
        <v>204.78565758021779</v>
      </c>
      <c r="GF198" s="59">
        <f t="shared" si="212"/>
        <v>287.25131613242439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0.8003019556205152</v>
      </c>
      <c r="GM198" s="21">
        <f>EXP(-LN(2)/25)*GM197+(1-EXP(-LN(2)/25))/(LN(2)/25)*Calculateur!GH198*Calculateur!GJ198*VLOOKUP('Données projet'!$B$17,Paramètres!$A$1:$I$89,3,0)*0.475*44/12</f>
        <v>0.20651566742175134</v>
      </c>
      <c r="GN198" s="21">
        <f>EXP(-LN(2)/2)*GN197+(1-EXP(-LN(2)/2))/(LN(2)/2)*GH198*GK198*VLOOKUP('Données projet'!$B$17,Paramètres!$A$1:$I$89,3,0)*0.475*44/12</f>
        <v>3.6503386156860208E-22</v>
      </c>
      <c r="GO198" s="21">
        <f t="shared" si="187"/>
        <v>1.0068176230422665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5.6843418860808015E-14</v>
      </c>
      <c r="GV198" s="17">
        <f>GU198*VLOOKUP('Données projet'!$B$18,Paramètres!$A$1:$I$89,3,0)*VLOOKUP('Données projet'!$B$18,Paramètres!$A$1:$I$89,5,0)</f>
        <v>4.4337866711430253E-14</v>
      </c>
      <c r="GW198" s="13">
        <f t="shared" si="188"/>
        <v>7.3222115536967035E-13</v>
      </c>
      <c r="GX198" s="20">
        <f t="shared" si="189"/>
        <v>1.3525069634579169E-12</v>
      </c>
      <c r="GY198" s="59">
        <f t="shared" si="201"/>
        <v>293.33333333333468</v>
      </c>
      <c r="GZ198" s="59">
        <f ca="1">AVERAGE(OFFSET($GY$3,0,0,'Données projet'!$E$18+1,1))-AVERAGE(OFFSET($H$3,0,0,'Données projet'!$E$18+1,1))</f>
        <v>288.82868507674738</v>
      </c>
      <c r="HA198" s="59">
        <f t="shared" si="213"/>
        <v>283.48738729114024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3.5460604128839468</v>
      </c>
      <c r="HH198" s="21">
        <f>EXP(-LN(2)/25)*HH197+(1-EXP(-LN(2)/25))/(LN(2)/25)*Calculateur!HC198*Calculateur!HE198*VLOOKUP('Données projet'!$B$18,Paramètres!$A$1:$I$89,3,0)*0.475*44/12</f>
        <v>1.2867976295045358</v>
      </c>
      <c r="HI198" s="21">
        <f>EXP(-LN(2)/2)*HI197+(1-EXP(-LN(2)/2))/(LN(2)/2)*HC198*HF198*VLOOKUP('Données projet'!$B$18,Paramètres!$A$1:$I$89,3,0)*0.475*44/12</f>
        <v>6.5871810668066301E-18</v>
      </c>
      <c r="HJ198" s="22">
        <f t="shared" si="190"/>
        <v>4.8328580423884828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349.71285006949597</v>
      </c>
      <c r="T199" s="59">
        <f t="shared" si="204"/>
        <v>258.51550516456842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15.408152752226453</v>
      </c>
      <c r="AA199" s="21">
        <f>EXP(-LN(2)/25)*AA198+(1-EXP(-LN(2)/25))/(LN(2)/25)*Calculateur!V199*Calculateur!X199*VLOOKUP('Données projet'!$B$9,Paramètres!$A$1:$I$89,3,0)*0.475*44/12</f>
        <v>2.0753146274005196</v>
      </c>
      <c r="AB199" s="21">
        <f>EXP(-LN(2)/2)*AB198+(1-EXP(-LN(2)/2))/(LN(2)/2)*V199*Y199*VLOOKUP('Données projet'!$B$9,Paramètres!$A$1:$I$89,3,0)*0.475*44/12</f>
        <v>2.4534764081904604E-16</v>
      </c>
      <c r="AC199" s="22">
        <f t="shared" si="163"/>
        <v>17.483467379626973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2.5579538487363607E-13</v>
      </c>
      <c r="AJ199" s="13">
        <f>AI199*VLOOKUP('Données projet'!$B$10,Paramètres!$A$1:$I$89,3,0)*VLOOKUP('Données projet'!$B$10,Paramètres!$A$1:$I$89,5,0)</f>
        <v>2.4341488824575211E-13</v>
      </c>
      <c r="AK199" s="13">
        <f t="shared" si="164"/>
        <v>3.2970717324875541E-12</v>
      </c>
      <c r="AL199" s="20">
        <f t="shared" si="165"/>
        <v>6.1663475311105072E-12</v>
      </c>
      <c r="AM199" s="59">
        <f t="shared" si="193"/>
        <v>293.33333333333945</v>
      </c>
      <c r="AN199" s="59">
        <f ca="1">AVERAGE(OFFSET($AM$3,0,0,'Données projet'!$E$10+1,1))-AVERAGE(OFFSET($H$3,0,0,'Données projet'!$E$10+1,1))</f>
        <v>449.28947235329758</v>
      </c>
      <c r="AO199" s="59">
        <f t="shared" si="205"/>
        <v>289.36994109443964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32.151064741311096</v>
      </c>
      <c r="AV199" s="21">
        <f>EXP(-LN(2)/25)*AV198+(1-EXP(-LN(2)/25))/(LN(2)/25)*Calculateur!AQ199*Calculateur!AS199*VLOOKUP('Données projet'!$B$10,Paramètres!$A$1:$I$89,3,0)*0.475*44/12</f>
        <v>3.9719898186701079</v>
      </c>
      <c r="AW199" s="21">
        <f>EXP(-LN(2)/2)*AW198+(1-EXP(-LN(2)/2))/(LN(2)/2)*AQ199*AT199*VLOOKUP('Données projet'!$B$10,Paramètres!$A$1:$I$89,3,0)*0.475*44/12</f>
        <v>8.3370180496102108E-10</v>
      </c>
      <c r="AX199" s="21">
        <f t="shared" si="166"/>
        <v>36.123054560814907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7.2004695539362725E-13</v>
      </c>
      <c r="BF199" s="13">
        <f t="shared" si="167"/>
        <v>8.5963894794935589E-12</v>
      </c>
      <c r="BG199" s="20">
        <f t="shared" si="168"/>
        <v>1.6226126790761848E-11</v>
      </c>
      <c r="BH199" s="59">
        <f t="shared" si="194"/>
        <v>293.33333333334951</v>
      </c>
      <c r="BI199" s="59">
        <f ca="1">AVERAGE(OFFSET($BH$3,0,0,'Données projet'!$E$11+1,1))-AVERAGE(OFFSET($H$3,0,0,'Données projet'!$E$11+1,1))</f>
        <v>635.71275911100679</v>
      </c>
      <c r="BJ199" s="59">
        <f t="shared" si="206"/>
        <v>281.7776857269169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119.14582260653066</v>
      </c>
      <c r="BQ199" s="21">
        <f>EXP(-LN(2)/25)*BQ198+(1-EXP(-LN(2)/25))/(LN(2)/25)*Calculateur!BL199*Calculateur!BN199*VLOOKUP('Données projet'!$B$11,Paramètres!$A$1:$I$89,3,0)*0.475*44/12</f>
        <v>17.950983578272776</v>
      </c>
      <c r="BR199" s="21">
        <f>EXP(-LN(2)/2)*BR198+(1-EXP(-LN(2)/2))/(LN(2)/2)*BL199*BO199*VLOOKUP('Données projet'!$B$11,Paramètres!$A$1:$I$89,3,0)*0.475*44/12</f>
        <v>0.11738703822514625</v>
      </c>
      <c r="BS199" s="22">
        <f t="shared" si="169"/>
        <v>137.21419322302856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-3.2366642699344083E-13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593.28343396240075</v>
      </c>
      <c r="CE199" s="59">
        <f t="shared" si="207"/>
        <v>289.66477662068695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137.37741466737396</v>
      </c>
      <c r="CL199" s="21">
        <f>EXP(-LN(2)/25)*CL198+(1-EXP(-LN(2)/25))/(LN(2)/25)*Calculateur!CG199*Calculateur!CI199*VLOOKUP('Données projet'!$B$12,Paramètres!$A$1:$I$89,3,0)*0.475*44/12</f>
        <v>41.625538859960997</v>
      </c>
      <c r="CM199" s="21">
        <f>EXP(-LN(2)/2)*CM198+(1-EXP(-LN(2)/2))/(LN(2)/2)*CG199*CJ199*VLOOKUP('Données projet'!$B$12,Paramètres!$A$1:$I$89,3,0)*0.475*44/12</f>
        <v>1.3771928221632979</v>
      </c>
      <c r="CN199" s="22">
        <f t="shared" si="172"/>
        <v>180.38014634949826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2.2737367544323206E-13</v>
      </c>
      <c r="CU199" s="17">
        <f>CT199*VLOOKUP('Données projet'!$B$13,Paramètres!$A$1:$I$89,3,0)*VLOOKUP('Données projet'!$B$13,Paramètres!$A$1:$I$89,5,0)</f>
        <v>2.3765096557326618E-13</v>
      </c>
      <c r="CV199" s="13">
        <f t="shared" si="173"/>
        <v>3.2279907425805489E-12</v>
      </c>
      <c r="CW199" s="20">
        <f t="shared" si="174"/>
        <v>6.0359926417012276E-12</v>
      </c>
      <c r="CX199" s="59">
        <f t="shared" si="196"/>
        <v>293.33333333333934</v>
      </c>
      <c r="CY199" s="59">
        <f ca="1">AVERAGE(OFFSET($CX$3,0,0,'Données projet'!$E$13+1,1))-AVERAGE(OFFSET($H$3,0,0,'Données projet'!$E$13+1,1))</f>
        <v>260.65406541614402</v>
      </c>
      <c r="CZ199" s="59">
        <f t="shared" si="208"/>
        <v>277.63456890196886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2.20767212733552</v>
      </c>
      <c r="DG199" s="21">
        <f>EXP(-LN(2)/25)*DG198+(1-EXP(-LN(2)/25))/(LN(2)/25)*Calculateur!DB199*Calculateur!DD199*VLOOKUP('Données projet'!$B$13,Paramètres!$A$1:$I$89,3,0)*0.475*44/12</f>
        <v>2.6217174208627045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4.8293895481982245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1.4897523215040565E-13</v>
      </c>
      <c r="DQ199" s="13">
        <f t="shared" si="176"/>
        <v>2.136562777003313E-12</v>
      </c>
      <c r="DR199" s="20">
        <f t="shared" si="177"/>
        <v>3.9806453659427267E-12</v>
      </c>
      <c r="DS199" s="59">
        <f t="shared" si="197"/>
        <v>293.33333333333729</v>
      </c>
      <c r="DT199" s="59">
        <f ca="1">AVERAGE(OFFSET($DS$3,0,0,'Données projet'!$E$14+1,1))-AVERAGE(OFFSET($H$3,0,0,'Données projet'!$E$14+1,1))</f>
        <v>181.4272795535777</v>
      </c>
      <c r="DU199" s="59">
        <f t="shared" si="209"/>
        <v>187.67131775419904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2.0717500114921394</v>
      </c>
      <c r="EB199" s="21">
        <f>EXP(-LN(2)/25)*EB198+(1-EXP(-LN(2)/25))/(LN(2)/25)*Calculateur!DW199*Calculateur!DY199*VLOOKUP('Données projet'!$B$14,Paramètres!$A$1:$I$89,3,0)*0.475*44/12</f>
        <v>0.95484243340750796</v>
      </c>
      <c r="EC199" s="21">
        <f>EXP(-LN(2)/2)*EC198+(1-EXP(-LN(2)/2))/(LN(2)/2)*DW199*DZ199*VLOOKUP('Données projet'!$B$14,Paramètres!$A$1:$I$89,3,0)*0.475*44/12</f>
        <v>2.7857638026256784E-15</v>
      </c>
      <c r="ED199" s="22">
        <f t="shared" si="178"/>
        <v>3.02659244489965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9.2222762759774927E-14</v>
      </c>
      <c r="EL199" s="13">
        <f t="shared" si="179"/>
        <v>1.3985662224947967E-12</v>
      </c>
      <c r="EM199" s="20">
        <f t="shared" si="180"/>
        <v>2.5964574826517121E-12</v>
      </c>
      <c r="EN199" s="59">
        <f t="shared" si="198"/>
        <v>293.33333333333593</v>
      </c>
      <c r="EO199" s="59">
        <f ca="1">AVERAGE(OFFSET($EN$3,0,0,'Données projet'!$E$15+1,1))-AVERAGE(OFFSET($H$3,0,0,'Données projet'!$E$15+1,1))</f>
        <v>159.68591355116837</v>
      </c>
      <c r="EP199" s="59">
        <f t="shared" si="210"/>
        <v>284.32631786390112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0.66395282989145066</v>
      </c>
      <c r="EW199" s="21">
        <f>EXP(-LN(2)/25)*EW198+(1-EXP(-LN(2)/25))/(LN(2)/25)*Calculateur!ER199*Calculateur!ET199*VLOOKUP('Données projet'!$B$15,Paramètres!$A$1:$I$89,3,0)*0.475*44/12</f>
        <v>0.25561159008102496</v>
      </c>
      <c r="EX199" s="21">
        <f>EXP(-LN(2)/2)*EX198+(1-EXP(-LN(2)/2))/(LN(2)/2)*ER199*EU199*VLOOKUP('Données projet'!$B$15,Paramètres!$A$1:$I$89,3,0)*0.475*44/12</f>
        <v>9.655551704278521E-23</v>
      </c>
      <c r="EY199" s="22">
        <f t="shared" si="181"/>
        <v>0.91956441997247562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-1.3567387213697657E-13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299.10536994156814</v>
      </c>
      <c r="FK199" s="59">
        <f t="shared" si="211"/>
        <v>292.57799203101769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4.0839029472121817</v>
      </c>
      <c r="FR199" s="21">
        <f>EXP(-LN(2)/25)*FR198+(1-EXP(-LN(2)/25))/(LN(2)/25)*Calculateur!FM199*Calculateur!FO199*VLOOKUP('Données projet'!$B$16,Paramètres!$A$1:$I$89,3,0)*0.475*44/12</f>
        <v>1.6990181898537133</v>
      </c>
      <c r="FS199" s="21">
        <f>EXP(-LN(2)/2)*FS198+(1-EXP(-LN(2)/2))/(LN(2)/2)*FM199*FP199*VLOOKUP('Données projet'!$B$16,Paramètres!$A$1:$I$89,3,0)*0.475*44/12</f>
        <v>1.8034163324307275E-16</v>
      </c>
      <c r="FT199" s="22">
        <f t="shared" si="184"/>
        <v>5.7829211370658946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5.6843418860808015E-14</v>
      </c>
      <c r="GA199" s="17">
        <f>FZ199*VLOOKUP('Données projet'!$B$17,Paramètres!$A$1:$I$89,3,0)*VLOOKUP('Données projet'!$B$17,Paramètres!$A$1:$I$89,5,0)</f>
        <v>5.1431925385259088E-14</v>
      </c>
      <c r="GB199" s="13">
        <f t="shared" si="185"/>
        <v>8.3482866290946129E-13</v>
      </c>
      <c r="GC199" s="20">
        <f t="shared" si="186"/>
        <v>1.5435705246133045E-12</v>
      </c>
      <c r="GD199" s="59">
        <f t="shared" si="200"/>
        <v>293.33333333333485</v>
      </c>
      <c r="GE199" s="59">
        <f ca="1">AVERAGE(OFFSET($GD$3,0,0,'Données projet'!$E$17+1,1))-AVERAGE(OFFSET($H$3,0,0,'Données projet'!$E$17+1,1))</f>
        <v>204.78565758021779</v>
      </c>
      <c r="GF199" s="59">
        <f t="shared" si="212"/>
        <v>287.25131613242439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0.78460852240679035</v>
      </c>
      <c r="GM199" s="21">
        <f>EXP(-LN(2)/25)*GM198+(1-EXP(-LN(2)/25))/(LN(2)/25)*Calculateur!GH199*Calculateur!GJ199*VLOOKUP('Données projet'!$B$17,Paramètres!$A$1:$I$89,3,0)*0.475*44/12</f>
        <v>0.20086848563591661</v>
      </c>
      <c r="GN199" s="21">
        <f>EXP(-LN(2)/2)*GN198+(1-EXP(-LN(2)/2))/(LN(2)/2)*GH199*GK199*VLOOKUP('Données projet'!$B$17,Paramètres!$A$1:$I$89,3,0)*0.475*44/12</f>
        <v>2.5811791887786999E-22</v>
      </c>
      <c r="GO199" s="21">
        <f t="shared" si="187"/>
        <v>0.98547700804270699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5.6843418860808015E-14</v>
      </c>
      <c r="GV199" s="17">
        <f>GU199*VLOOKUP('Données projet'!$B$18,Paramètres!$A$1:$I$89,3,0)*VLOOKUP('Données projet'!$B$18,Paramètres!$A$1:$I$89,5,0)</f>
        <v>4.4337866711430253E-14</v>
      </c>
      <c r="GW199" s="13">
        <f t="shared" si="188"/>
        <v>7.3222115536967035E-13</v>
      </c>
      <c r="GX199" s="20">
        <f t="shared" si="189"/>
        <v>1.3525069634579169E-12</v>
      </c>
      <c r="GY199" s="59">
        <f t="shared" si="201"/>
        <v>293.33333333333468</v>
      </c>
      <c r="GZ199" s="59">
        <f ca="1">AVERAGE(OFFSET($GY$3,0,0,'Données projet'!$E$18+1,1))-AVERAGE(OFFSET($H$3,0,0,'Données projet'!$E$18+1,1))</f>
        <v>288.82868507674738</v>
      </c>
      <c r="HA199" s="59">
        <f t="shared" si="213"/>
        <v>283.48738729114024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3.4765243310705776</v>
      </c>
      <c r="HH199" s="21">
        <f>EXP(-LN(2)/25)*HH198+(1-EXP(-LN(2)/25))/(LN(2)/25)*Calculateur!HC199*Calculateur!HE199*VLOOKUP('Données projet'!$B$18,Paramètres!$A$1:$I$89,3,0)*0.475*44/12</f>
        <v>1.251610080655988</v>
      </c>
      <c r="HI199" s="21">
        <f>EXP(-LN(2)/2)*HI198+(1-EXP(-LN(2)/2))/(LN(2)/2)*HC199*HF199*VLOOKUP('Données projet'!$B$18,Paramètres!$A$1:$I$89,3,0)*0.475*44/12</f>
        <v>4.6578404012426044E-18</v>
      </c>
      <c r="HJ199" s="22">
        <f t="shared" si="190"/>
        <v>4.7281344117265656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349.71285006949597</v>
      </c>
      <c r="T200" s="59">
        <f t="shared" si="204"/>
        <v>258.51550516456842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15.106008274800491</v>
      </c>
      <c r="AA200" s="21">
        <f>EXP(-LN(2)/25)*AA199+(1-EXP(-LN(2)/25))/(LN(2)/25)*Calculateur!V200*Calculateur!X200*VLOOKUP('Données projet'!$B$9,Paramètres!$A$1:$I$89,3,0)*0.475*44/12</f>
        <v>2.0185650397781996</v>
      </c>
      <c r="AB200" s="21">
        <f>EXP(-LN(2)/2)*AB199+(1-EXP(-LN(2)/2))/(LN(2)/2)*V200*Y200*VLOOKUP('Données projet'!$B$9,Paramètres!$A$1:$I$89,3,0)*0.475*44/12</f>
        <v>1.7348698057126885E-16</v>
      </c>
      <c r="AC200" s="22">
        <f t="shared" si="163"/>
        <v>17.12457331457869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2.5579538487363607E-13</v>
      </c>
      <c r="AJ200" s="13">
        <f>AI200*VLOOKUP('Données projet'!$B$10,Paramètres!$A$1:$I$89,3,0)*VLOOKUP('Données projet'!$B$10,Paramètres!$A$1:$I$89,5,0)</f>
        <v>2.4341488824575211E-13</v>
      </c>
      <c r="AK200" s="13">
        <f t="shared" si="164"/>
        <v>3.2970717324875541E-12</v>
      </c>
      <c r="AL200" s="20">
        <f t="shared" si="165"/>
        <v>6.1663475311105072E-12</v>
      </c>
      <c r="AM200" s="59">
        <f t="shared" si="193"/>
        <v>293.33333333333945</v>
      </c>
      <c r="AN200" s="59">
        <f ca="1">AVERAGE(OFFSET($AM$3,0,0,'Données projet'!$E$10+1,1))-AVERAGE(OFFSET($H$3,0,0,'Données projet'!$E$10+1,1))</f>
        <v>449.28947235329758</v>
      </c>
      <c r="AO200" s="59">
        <f t="shared" si="205"/>
        <v>289.36994109443964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31.52060197194713</v>
      </c>
      <c r="AV200" s="21">
        <f>EXP(-LN(2)/25)*AV199+(1-EXP(-LN(2)/25))/(LN(2)/25)*Calculateur!AQ200*Calculateur!AS200*VLOOKUP('Données projet'!$B$10,Paramètres!$A$1:$I$89,3,0)*0.475*44/12</f>
        <v>3.8633755482007075</v>
      </c>
      <c r="AW200" s="21">
        <f>EXP(-LN(2)/2)*AW199+(1-EXP(-LN(2)/2))/(LN(2)/2)*AQ200*AT200*VLOOKUP('Données projet'!$B$10,Paramètres!$A$1:$I$89,3,0)*0.475*44/12</f>
        <v>5.8951619977540245E-10</v>
      </c>
      <c r="AX200" s="21">
        <f t="shared" si="166"/>
        <v>35.383977520737353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7.2004695539362725E-13</v>
      </c>
      <c r="BF200" s="13">
        <f t="shared" si="167"/>
        <v>8.5963894794935589E-12</v>
      </c>
      <c r="BG200" s="20">
        <f t="shared" si="168"/>
        <v>1.6226126790761848E-11</v>
      </c>
      <c r="BH200" s="59">
        <f t="shared" si="194"/>
        <v>293.33333333334951</v>
      </c>
      <c r="BI200" s="59">
        <f ca="1">AVERAGE(OFFSET($BH$3,0,0,'Données projet'!$E$11+1,1))-AVERAGE(OFFSET($H$3,0,0,'Données projet'!$E$11+1,1))</f>
        <v>635.71275911100679</v>
      </c>
      <c r="BJ200" s="59">
        <f t="shared" si="206"/>
        <v>281.7776857269169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116.80944569699264</v>
      </c>
      <c r="BQ200" s="21">
        <f>EXP(-LN(2)/25)*BQ199+(1-EXP(-LN(2)/25))/(LN(2)/25)*Calculateur!BL200*Calculateur!BN200*VLOOKUP('Données projet'!$B$11,Paramètres!$A$1:$I$89,3,0)*0.475*44/12</f>
        <v>17.460112988323708</v>
      </c>
      <c r="BR200" s="21">
        <f>EXP(-LN(2)/2)*BR199+(1-EXP(-LN(2)/2))/(LN(2)/2)*BL200*BO200*VLOOKUP('Données projet'!$B$11,Paramètres!$A$1:$I$89,3,0)*0.475*44/12</f>
        <v>8.3005170752405377E-2</v>
      </c>
      <c r="BS200" s="22">
        <f t="shared" si="169"/>
        <v>134.35256385606877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-3.2366642699344083E-13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593.28343396240075</v>
      </c>
      <c r="CE200" s="59">
        <f t="shared" si="207"/>
        <v>289.66477662068695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134.68352735769594</v>
      </c>
      <c r="CL200" s="21">
        <f>EXP(-LN(2)/25)*CL199+(1-EXP(-LN(2)/25))/(LN(2)/25)*Calculateur!CG200*Calculateur!CI200*VLOOKUP('Données projet'!$B$12,Paramètres!$A$1:$I$89,3,0)*0.475*44/12</f>
        <v>40.487286310843409</v>
      </c>
      <c r="CM200" s="21">
        <f>EXP(-LN(2)/2)*CM199+(1-EXP(-LN(2)/2))/(LN(2)/2)*CG200*CJ200*VLOOKUP('Données projet'!$B$12,Paramètres!$A$1:$I$89,3,0)*0.475*44/12</f>
        <v>0.97382238355310702</v>
      </c>
      <c r="CN200" s="22">
        <f t="shared" si="172"/>
        <v>176.14463605209247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2.2737367544323206E-13</v>
      </c>
      <c r="CU200" s="17">
        <f>CT200*VLOOKUP('Données projet'!$B$13,Paramètres!$A$1:$I$89,3,0)*VLOOKUP('Données projet'!$B$13,Paramètres!$A$1:$I$89,5,0)</f>
        <v>2.3765096557326618E-13</v>
      </c>
      <c r="CV200" s="13">
        <f t="shared" si="173"/>
        <v>3.2279907425805489E-12</v>
      </c>
      <c r="CW200" s="20">
        <f t="shared" si="174"/>
        <v>6.0359926417012276E-12</v>
      </c>
      <c r="CX200" s="59">
        <f t="shared" si="196"/>
        <v>293.33333333333934</v>
      </c>
      <c r="CY200" s="59">
        <f ca="1">AVERAGE(OFFSET($CX$3,0,0,'Données projet'!$E$13+1,1))-AVERAGE(OFFSET($H$3,0,0,'Données projet'!$E$13+1,1))</f>
        <v>260.65406541614402</v>
      </c>
      <c r="CZ200" s="59">
        <f t="shared" si="208"/>
        <v>277.63456890196886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2.1643810234655074</v>
      </c>
      <c r="DG200" s="21">
        <f>EXP(-LN(2)/25)*DG199+(1-EXP(-LN(2)/25))/(LN(2)/25)*Calculateur!DB200*Calculateur!DD200*VLOOKUP('Données projet'!$B$13,Paramètres!$A$1:$I$89,3,0)*0.475*44/12</f>
        <v>2.5500264201190865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4.7144074435845944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1.4897523215040565E-13</v>
      </c>
      <c r="DQ200" s="13">
        <f t="shared" si="176"/>
        <v>2.136562777003313E-12</v>
      </c>
      <c r="DR200" s="20">
        <f t="shared" si="177"/>
        <v>3.9806453659427267E-12</v>
      </c>
      <c r="DS200" s="59">
        <f t="shared" si="197"/>
        <v>293.33333333333729</v>
      </c>
      <c r="DT200" s="59">
        <f ca="1">AVERAGE(OFFSET($DS$3,0,0,'Données projet'!$E$14+1,1))-AVERAGE(OFFSET($H$3,0,0,'Données projet'!$E$14+1,1))</f>
        <v>181.4272795535777</v>
      </c>
      <c r="DU200" s="59">
        <f t="shared" si="209"/>
        <v>187.67131775419904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2.0311242574095112</v>
      </c>
      <c r="EB200" s="21">
        <f>EXP(-LN(2)/25)*EB199+(1-EXP(-LN(2)/25))/(LN(2)/25)*Calculateur!DW200*Calculateur!DY200*VLOOKUP('Données projet'!$B$14,Paramètres!$A$1:$I$89,3,0)*0.475*44/12</f>
        <v>0.92873221685299845</v>
      </c>
      <c r="EC200" s="21">
        <f>EXP(-LN(2)/2)*EC199+(1-EXP(-LN(2)/2))/(LN(2)/2)*DW200*DZ200*VLOOKUP('Données projet'!$B$14,Paramètres!$A$1:$I$89,3,0)*0.475*44/12</f>
        <v>1.9698324756206401E-15</v>
      </c>
      <c r="ED200" s="22">
        <f t="shared" si="178"/>
        <v>2.9598564742625113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9.2222762759774927E-14</v>
      </c>
      <c r="EL200" s="13">
        <f t="shared" si="179"/>
        <v>1.3985662224947967E-12</v>
      </c>
      <c r="EM200" s="20">
        <f t="shared" si="180"/>
        <v>2.5964574826517121E-12</v>
      </c>
      <c r="EN200" s="59">
        <f t="shared" si="198"/>
        <v>293.33333333333593</v>
      </c>
      <c r="EO200" s="59">
        <f ca="1">AVERAGE(OFFSET($EN$3,0,0,'Données projet'!$E$15+1,1))-AVERAGE(OFFSET($H$3,0,0,'Données projet'!$E$15+1,1))</f>
        <v>159.68591355116837</v>
      </c>
      <c r="EP200" s="59">
        <f t="shared" si="210"/>
        <v>284.32631786390112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0.65093311986851798</v>
      </c>
      <c r="EW200" s="21">
        <f>EXP(-LN(2)/25)*EW199+(1-EXP(-LN(2)/25))/(LN(2)/25)*Calculateur!ER200*Calculateur!ET200*VLOOKUP('Données projet'!$B$15,Paramètres!$A$1:$I$89,3,0)*0.475*44/12</f>
        <v>0.24862187770823002</v>
      </c>
      <c r="EX200" s="21">
        <f>EXP(-LN(2)/2)*EX199+(1-EXP(-LN(2)/2))/(LN(2)/2)*ER200*EU200*VLOOKUP('Données projet'!$B$15,Paramètres!$A$1:$I$89,3,0)*0.475*44/12</f>
        <v>6.8275060861926681E-23</v>
      </c>
      <c r="EY200" s="22">
        <f t="shared" si="181"/>
        <v>0.89955499757674806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-1.3567387213697657E-13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299.10536994156814</v>
      </c>
      <c r="FK200" s="59">
        <f t="shared" si="211"/>
        <v>292.57799203101769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4.003820101352189</v>
      </c>
      <c r="FR200" s="21">
        <f>EXP(-LN(2)/25)*FR199+(1-EXP(-LN(2)/25))/(LN(2)/25)*Calculateur!FM200*Calculateur!FO200*VLOOKUP('Données projet'!$B$16,Paramètres!$A$1:$I$89,3,0)*0.475*44/12</f>
        <v>1.65255844810468</v>
      </c>
      <c r="FS200" s="21">
        <f>EXP(-LN(2)/2)*FS199+(1-EXP(-LN(2)/2))/(LN(2)/2)*FM200*FP200*VLOOKUP('Données projet'!$B$16,Paramètres!$A$1:$I$89,3,0)*0.475*44/12</f>
        <v>1.2752079179643404E-16</v>
      </c>
      <c r="FT200" s="22">
        <f t="shared" si="184"/>
        <v>5.6563785494568695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5.6843418860808015E-14</v>
      </c>
      <c r="GA200" s="17">
        <f>FZ200*VLOOKUP('Données projet'!$B$17,Paramètres!$A$1:$I$89,3,0)*VLOOKUP('Données projet'!$B$17,Paramètres!$A$1:$I$89,5,0)</f>
        <v>5.1431925385259088E-14</v>
      </c>
      <c r="GB200" s="13">
        <f t="shared" si="185"/>
        <v>8.3482866290946129E-13</v>
      </c>
      <c r="GC200" s="20">
        <f t="shared" si="186"/>
        <v>1.5435705246133045E-12</v>
      </c>
      <c r="GD200" s="59">
        <f t="shared" si="200"/>
        <v>293.33333333333485</v>
      </c>
      <c r="GE200" s="59">
        <f ca="1">AVERAGE(OFFSET($GD$3,0,0,'Données projet'!$E$17+1,1))-AVERAGE(OFFSET($H$3,0,0,'Données projet'!$E$17+1,1))</f>
        <v>204.78565758021779</v>
      </c>
      <c r="GF200" s="59">
        <f t="shared" si="212"/>
        <v>287.25131613242439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0.76922282784633755</v>
      </c>
      <c r="GM200" s="21">
        <f>EXP(-LN(2)/25)*GM199+(1-EXP(-LN(2)/25))/(LN(2)/25)*Calculateur!GH200*Calculateur!GJ200*VLOOKUP('Données projet'!$B$17,Paramètres!$A$1:$I$89,3,0)*0.475*44/12</f>
        <v>0.19537572633298791</v>
      </c>
      <c r="GN200" s="21">
        <f>EXP(-LN(2)/2)*GN199+(1-EXP(-LN(2)/2))/(LN(2)/2)*GH200*GK200*VLOOKUP('Données projet'!$B$17,Paramètres!$A$1:$I$89,3,0)*0.475*44/12</f>
        <v>1.8251693078430104E-22</v>
      </c>
      <c r="GO200" s="21">
        <f t="shared" si="187"/>
        <v>0.9645985541793255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5.6843418860808015E-14</v>
      </c>
      <c r="GV200" s="17">
        <f>GU200*VLOOKUP('Données projet'!$B$18,Paramètres!$A$1:$I$89,3,0)*VLOOKUP('Données projet'!$B$18,Paramètres!$A$1:$I$89,5,0)</f>
        <v>4.4337866711430253E-14</v>
      </c>
      <c r="GW200" s="13">
        <f t="shared" si="188"/>
        <v>7.3222115536967035E-13</v>
      </c>
      <c r="GX200" s="20">
        <f t="shared" si="189"/>
        <v>1.3525069634579169E-12</v>
      </c>
      <c r="GY200" s="59">
        <f t="shared" si="201"/>
        <v>293.33333333333468</v>
      </c>
      <c r="GZ200" s="59">
        <f ca="1">AVERAGE(OFFSET($GY$3,0,0,'Données projet'!$E$18+1,1))-AVERAGE(OFFSET($H$3,0,0,'Données projet'!$E$18+1,1))</f>
        <v>288.82868507674738</v>
      </c>
      <c r="HA200" s="59">
        <f t="shared" si="213"/>
        <v>283.48738729114024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3.4083518094087464</v>
      </c>
      <c r="HH200" s="21">
        <f>EXP(-LN(2)/25)*HH199+(1-EXP(-LN(2)/25))/(LN(2)/25)*Calculateur!HC200*Calculateur!HE200*VLOOKUP('Données projet'!$B$18,Paramètres!$A$1:$I$89,3,0)*0.475*44/12</f>
        <v>1.2173847371811364</v>
      </c>
      <c r="HI200" s="21">
        <f>EXP(-LN(2)/2)*HI199+(1-EXP(-LN(2)/2))/(LN(2)/2)*HC200*HF200*VLOOKUP('Données projet'!$B$18,Paramètres!$A$1:$I$89,3,0)*0.475*44/12</f>
        <v>3.2935905334033151E-18</v>
      </c>
      <c r="HJ200" s="22">
        <f t="shared" si="190"/>
        <v>4.6257365465898825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349.71285006949597</v>
      </c>
      <c r="T201" s="59">
        <f t="shared" si="204"/>
        <v>258.51550516456842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14.809788666286918</v>
      </c>
      <c r="AA201" s="21">
        <f>EXP(-LN(2)/25)*AA200+(1-EXP(-LN(2)/25))/(LN(2)/25)*Calculateur!V201*Calculateur!X201*VLOOKUP('Données projet'!$B$9,Paramètres!$A$1:$I$89,3,0)*0.475*44/12</f>
        <v>1.9633672726137428</v>
      </c>
      <c r="AB201" s="21">
        <f>EXP(-LN(2)/2)*AB200+(1-EXP(-LN(2)/2))/(LN(2)/2)*V201*Y201*VLOOKUP('Données projet'!$B$9,Paramètres!$A$1:$I$89,3,0)*0.475*44/12</f>
        <v>1.2267382040952302E-16</v>
      </c>
      <c r="AC201" s="22">
        <f t="shared" si="163"/>
        <v>16.773155938900661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2.5579538487363607E-13</v>
      </c>
      <c r="AJ201" s="13">
        <f>AI201*VLOOKUP('Données projet'!$B$10,Paramètres!$A$1:$I$89,3,0)*VLOOKUP('Données projet'!$B$10,Paramètres!$A$1:$I$89,5,0)</f>
        <v>2.4341488824575211E-13</v>
      </c>
      <c r="AK201" s="13">
        <f t="shared" si="164"/>
        <v>3.2970717324875541E-12</v>
      </c>
      <c r="AL201" s="20">
        <f t="shared" si="165"/>
        <v>6.1663475311105072E-12</v>
      </c>
      <c r="AM201" s="59">
        <f t="shared" si="193"/>
        <v>293.33333333333945</v>
      </c>
      <c r="AN201" s="59">
        <f ca="1">AVERAGE(OFFSET($AM$3,0,0,'Données projet'!$E$10+1,1))-AVERAGE(OFFSET($H$3,0,0,'Données projet'!$E$10+1,1))</f>
        <v>449.28947235329758</v>
      </c>
      <c r="AO201" s="59">
        <f t="shared" si="205"/>
        <v>289.36994109443964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30.902502192946073</v>
      </c>
      <c r="AV201" s="21">
        <f>EXP(-LN(2)/25)*AV200+(1-EXP(-LN(2)/25))/(LN(2)/25)*Calculateur!AQ201*Calculateur!AS201*VLOOKUP('Données projet'!$B$10,Paramètres!$A$1:$I$89,3,0)*0.475*44/12</f>
        <v>3.7577313406690691</v>
      </c>
      <c r="AW201" s="21">
        <f>EXP(-LN(2)/2)*AW200+(1-EXP(-LN(2)/2))/(LN(2)/2)*AQ201*AT201*VLOOKUP('Données projet'!$B$10,Paramètres!$A$1:$I$89,3,0)*0.475*44/12</f>
        <v>4.1685090248051054E-10</v>
      </c>
      <c r="AX201" s="21">
        <f t="shared" si="166"/>
        <v>34.660233534031995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7.2004695539362725E-13</v>
      </c>
      <c r="BF201" s="13">
        <f t="shared" si="167"/>
        <v>8.5963894794935589E-12</v>
      </c>
      <c r="BG201" s="20">
        <f t="shared" si="168"/>
        <v>1.6226126790761848E-11</v>
      </c>
      <c r="BH201" s="59">
        <f t="shared" si="194"/>
        <v>293.33333333334951</v>
      </c>
      <c r="BI201" s="59">
        <f ca="1">AVERAGE(OFFSET($BH$3,0,0,'Données projet'!$E$11+1,1))-AVERAGE(OFFSET($H$3,0,0,'Données projet'!$E$11+1,1))</f>
        <v>635.71275911100679</v>
      </c>
      <c r="BJ201" s="59">
        <f t="shared" si="206"/>
        <v>281.7776857269169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114.51888371360145</v>
      </c>
      <c r="BQ201" s="21">
        <f>EXP(-LN(2)/25)*BQ200+(1-EXP(-LN(2)/25))/(LN(2)/25)*Calculateur!BL201*Calculateur!BN201*VLOOKUP('Données projet'!$B$11,Paramètres!$A$1:$I$89,3,0)*0.475*44/12</f>
        <v>16.98266528047056</v>
      </c>
      <c r="BR201" s="21">
        <f>EXP(-LN(2)/2)*BR200+(1-EXP(-LN(2)/2))/(LN(2)/2)*BL201*BO201*VLOOKUP('Données projet'!$B$11,Paramètres!$A$1:$I$89,3,0)*0.475*44/12</f>
        <v>5.8693519112573124E-2</v>
      </c>
      <c r="BS201" s="22">
        <f t="shared" si="169"/>
        <v>131.56024251318459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-3.2366642699344083E-13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593.28343396240075</v>
      </c>
      <c r="CE201" s="59">
        <f t="shared" si="207"/>
        <v>289.66477662068695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132.04246553505169</v>
      </c>
      <c r="CL201" s="21">
        <f>EXP(-LN(2)/25)*CL200+(1-EXP(-LN(2)/25))/(LN(2)/25)*Calculateur!CG201*Calculateur!CI201*VLOOKUP('Données projet'!$B$12,Paramètres!$A$1:$I$89,3,0)*0.475*44/12</f>
        <v>39.380159337539546</v>
      </c>
      <c r="CM201" s="21">
        <f>EXP(-LN(2)/2)*CM200+(1-EXP(-LN(2)/2))/(LN(2)/2)*CG201*CJ201*VLOOKUP('Données projet'!$B$12,Paramètres!$A$1:$I$89,3,0)*0.475*44/12</f>
        <v>0.68859641108164904</v>
      </c>
      <c r="CN201" s="22">
        <f t="shared" si="172"/>
        <v>172.11122128367288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2.2737367544323206E-13</v>
      </c>
      <c r="CU201" s="17">
        <f>CT201*VLOOKUP('Données projet'!$B$13,Paramètres!$A$1:$I$89,3,0)*VLOOKUP('Données projet'!$B$13,Paramètres!$A$1:$I$89,5,0)</f>
        <v>2.3765096557326618E-13</v>
      </c>
      <c r="CV201" s="13">
        <f t="shared" si="173"/>
        <v>3.2279907425805489E-12</v>
      </c>
      <c r="CW201" s="20">
        <f t="shared" si="174"/>
        <v>6.0359926417012276E-12</v>
      </c>
      <c r="CX201" s="59">
        <f t="shared" si="196"/>
        <v>293.33333333333934</v>
      </c>
      <c r="CY201" s="59">
        <f ca="1">AVERAGE(OFFSET($CX$3,0,0,'Données projet'!$E$13+1,1))-AVERAGE(OFFSET($H$3,0,0,'Données projet'!$E$13+1,1))</f>
        <v>260.65406541614402</v>
      </c>
      <c r="CZ201" s="59">
        <f t="shared" si="208"/>
        <v>277.63456890196886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2.1219388317374199</v>
      </c>
      <c r="DG201" s="21">
        <f>EXP(-LN(2)/25)*DG200+(1-EXP(-LN(2)/25))/(LN(2)/25)*Calculateur!DB201*Calculateur!DD201*VLOOKUP('Données projet'!$B$13,Paramètres!$A$1:$I$89,3,0)*0.475*44/12</f>
        <v>2.4802958135608688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4.6022346452982887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1.4897523215040565E-13</v>
      </c>
      <c r="DQ201" s="13">
        <f t="shared" si="176"/>
        <v>2.136562777003313E-12</v>
      </c>
      <c r="DR201" s="20">
        <f t="shared" si="177"/>
        <v>3.9806453659427267E-12</v>
      </c>
      <c r="DS201" s="59">
        <f t="shared" si="197"/>
        <v>293.33333333333729</v>
      </c>
      <c r="DT201" s="59">
        <f ca="1">AVERAGE(OFFSET($DS$3,0,0,'Données projet'!$E$14+1,1))-AVERAGE(OFFSET($H$3,0,0,'Données projet'!$E$14+1,1))</f>
        <v>181.4272795535777</v>
      </c>
      <c r="DU201" s="59">
        <f t="shared" si="209"/>
        <v>187.67131775419904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1.9912951495851801</v>
      </c>
      <c r="EB201" s="21">
        <f>EXP(-LN(2)/25)*EB200+(1-EXP(-LN(2)/25))/(LN(2)/25)*Calculateur!DW201*Calculateur!DY201*VLOOKUP('Données projet'!$B$14,Paramètres!$A$1:$I$89,3,0)*0.475*44/12</f>
        <v>0.90333598554324857</v>
      </c>
      <c r="EC201" s="21">
        <f>EXP(-LN(2)/2)*EC200+(1-EXP(-LN(2)/2))/(LN(2)/2)*DW201*DZ201*VLOOKUP('Données projet'!$B$14,Paramètres!$A$1:$I$89,3,0)*0.475*44/12</f>
        <v>1.3928819013128392E-15</v>
      </c>
      <c r="ED201" s="22">
        <f t="shared" si="178"/>
        <v>2.8946311351284302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9.2222762759774927E-14</v>
      </c>
      <c r="EL201" s="13">
        <f t="shared" si="179"/>
        <v>1.3985662224947967E-12</v>
      </c>
      <c r="EM201" s="20">
        <f t="shared" si="180"/>
        <v>2.5964574826517121E-12</v>
      </c>
      <c r="EN201" s="59">
        <f t="shared" si="198"/>
        <v>293.33333333333593</v>
      </c>
      <c r="EO201" s="59">
        <f ca="1">AVERAGE(OFFSET($EN$3,0,0,'Données projet'!$E$15+1,1))-AVERAGE(OFFSET($H$3,0,0,'Données projet'!$E$15+1,1))</f>
        <v>159.68591355116837</v>
      </c>
      <c r="EP201" s="59">
        <f t="shared" si="210"/>
        <v>284.32631786390112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0.63816871841789602</v>
      </c>
      <c r="EW201" s="21">
        <f>EXP(-LN(2)/25)*EW200+(1-EXP(-LN(2)/25))/(LN(2)/25)*Calculateur!ER201*Calculateur!ET201*VLOOKUP('Données projet'!$B$15,Paramètres!$A$1:$I$89,3,0)*0.475*44/12</f>
        <v>0.24182329938784217</v>
      </c>
      <c r="EX201" s="21">
        <f>EXP(-LN(2)/2)*EX200+(1-EXP(-LN(2)/2))/(LN(2)/2)*ER201*EU201*VLOOKUP('Données projet'!$B$15,Paramètres!$A$1:$I$89,3,0)*0.475*44/12</f>
        <v>4.8277758521392605E-23</v>
      </c>
      <c r="EY201" s="22">
        <f t="shared" si="181"/>
        <v>0.87999201780573821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-1.3567387213697657E-13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299.10536994156814</v>
      </c>
      <c r="FK201" s="59">
        <f t="shared" si="211"/>
        <v>292.57799203101769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3.9253076312537982</v>
      </c>
      <c r="FR201" s="21">
        <f>EXP(-LN(2)/25)*FR200+(1-EXP(-LN(2)/25))/(LN(2)/25)*Calculateur!FM201*Calculateur!FO201*VLOOKUP('Données projet'!$B$16,Paramètres!$A$1:$I$89,3,0)*0.475*44/12</f>
        <v>1.6073691504369858</v>
      </c>
      <c r="FS201" s="21">
        <f>EXP(-LN(2)/2)*FS200+(1-EXP(-LN(2)/2))/(LN(2)/2)*FM201*FP201*VLOOKUP('Données projet'!$B$16,Paramètres!$A$1:$I$89,3,0)*0.475*44/12</f>
        <v>9.0170816621536373E-17</v>
      </c>
      <c r="FT201" s="22">
        <f t="shared" si="184"/>
        <v>5.5326767816907836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5.6843418860808015E-14</v>
      </c>
      <c r="GA201" s="17">
        <f>FZ201*VLOOKUP('Données projet'!$B$17,Paramètres!$A$1:$I$89,3,0)*VLOOKUP('Données projet'!$B$17,Paramètres!$A$1:$I$89,5,0)</f>
        <v>5.1431925385259088E-14</v>
      </c>
      <c r="GB201" s="13">
        <f t="shared" si="185"/>
        <v>8.3482866290946129E-13</v>
      </c>
      <c r="GC201" s="20">
        <f t="shared" si="186"/>
        <v>1.5435705246133045E-12</v>
      </c>
      <c r="GD201" s="59">
        <f t="shared" si="200"/>
        <v>293.33333333333485</v>
      </c>
      <c r="GE201" s="59">
        <f ca="1">AVERAGE(OFFSET($GD$3,0,0,'Données projet'!$E$17+1,1))-AVERAGE(OFFSET($H$3,0,0,'Données projet'!$E$17+1,1))</f>
        <v>204.78565758021779</v>
      </c>
      <c r="GF201" s="59">
        <f t="shared" si="212"/>
        <v>287.25131613242439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0.75413883737186826</v>
      </c>
      <c r="GM201" s="21">
        <f>EXP(-LN(2)/25)*GM200+(1-EXP(-LN(2)/25))/(LN(2)/25)*Calculateur!GH201*Calculateur!GJ201*VLOOKUP('Données projet'!$B$17,Paramètres!$A$1:$I$89,3,0)*0.475*44/12</f>
        <v>0.19003316682204946</v>
      </c>
      <c r="GN201" s="21">
        <f>EXP(-LN(2)/2)*GN200+(1-EXP(-LN(2)/2))/(LN(2)/2)*GH201*GK201*VLOOKUP('Données projet'!$B$17,Paramètres!$A$1:$I$89,3,0)*0.475*44/12</f>
        <v>1.2905895943893499E-22</v>
      </c>
      <c r="GO201" s="21">
        <f t="shared" si="187"/>
        <v>0.94417200419391767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5.6843418860808015E-14</v>
      </c>
      <c r="GV201" s="17">
        <f>GU201*VLOOKUP('Données projet'!$B$18,Paramètres!$A$1:$I$89,3,0)*VLOOKUP('Données projet'!$B$18,Paramètres!$A$1:$I$89,5,0)</f>
        <v>4.4337866711430253E-14</v>
      </c>
      <c r="GW201" s="13">
        <f t="shared" si="188"/>
        <v>7.3222115536967035E-13</v>
      </c>
      <c r="GX201" s="20">
        <f t="shared" si="189"/>
        <v>1.3525069634579169E-12</v>
      </c>
      <c r="GY201" s="59">
        <f t="shared" si="201"/>
        <v>293.33333333333468</v>
      </c>
      <c r="GZ201" s="59">
        <f ca="1">AVERAGE(OFFSET($GY$3,0,0,'Données projet'!$E$18+1,1))-AVERAGE(OFFSET($H$3,0,0,'Données projet'!$E$18+1,1))</f>
        <v>288.82868507674738</v>
      </c>
      <c r="HA201" s="59">
        <f t="shared" si="213"/>
        <v>283.48738729114024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3.3415161093155712</v>
      </c>
      <c r="HH201" s="21">
        <f>EXP(-LN(2)/25)*HH200+(1-EXP(-LN(2)/25))/(LN(2)/25)*Calculateur!HC201*Calculateur!HE201*VLOOKUP('Données projet'!$B$18,Paramètres!$A$1:$I$89,3,0)*0.475*44/12</f>
        <v>1.1840952875234372</v>
      </c>
      <c r="HI201" s="21">
        <f>EXP(-LN(2)/2)*HI200+(1-EXP(-LN(2)/2))/(LN(2)/2)*HC201*HF201*VLOOKUP('Données projet'!$B$18,Paramètres!$A$1:$I$89,3,0)*0.475*44/12</f>
        <v>2.3289202006213022E-18</v>
      </c>
      <c r="HJ201" s="22">
        <f t="shared" si="190"/>
        <v>4.5256113968390084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349.71285006949597</v>
      </c>
      <c r="T202" s="59">
        <f t="shared" si="204"/>
        <v>258.51550516456842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14.519377743620176</v>
      </c>
      <c r="AA202" s="21">
        <f>EXP(-LN(2)/25)*AA201+(1-EXP(-LN(2)/25))/(LN(2)/25)*Calculateur!V202*Calculateur!X202*VLOOKUP('Données projet'!$B$9,Paramètres!$A$1:$I$89,3,0)*0.475*44/12</f>
        <v>1.9096788912951224</v>
      </c>
      <c r="AB202" s="21">
        <f>EXP(-LN(2)/2)*AB201+(1-EXP(-LN(2)/2))/(LN(2)/2)*V202*Y202*VLOOKUP('Données projet'!$B$9,Paramètres!$A$1:$I$89,3,0)*0.475*44/12</f>
        <v>8.6743490285634423E-17</v>
      </c>
      <c r="AC202" s="22">
        <f t="shared" si="163"/>
        <v>16.429056634915298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2.5579538487363607E-13</v>
      </c>
      <c r="AJ202" s="13">
        <f>AI202*VLOOKUP('Données projet'!$B$10,Paramètres!$A$1:$I$89,3,0)*VLOOKUP('Données projet'!$B$10,Paramètres!$A$1:$I$89,5,0)</f>
        <v>2.4341488824575211E-13</v>
      </c>
      <c r="AK202" s="13">
        <f t="shared" si="164"/>
        <v>3.2970717324875541E-12</v>
      </c>
      <c r="AL202" s="20">
        <f t="shared" si="165"/>
        <v>6.1663475311105072E-12</v>
      </c>
      <c r="AM202" s="59">
        <f t="shared" si="193"/>
        <v>293.33333333333945</v>
      </c>
      <c r="AN202" s="59">
        <f ca="1">AVERAGE(OFFSET($AM$3,0,0,'Données projet'!$E$10+1,1))-AVERAGE(OFFSET($H$3,0,0,'Données projet'!$E$10+1,1))</f>
        <v>449.28947235329758</v>
      </c>
      <c r="AO202" s="59">
        <f t="shared" si="205"/>
        <v>289.36994109443964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30.296522973607587</v>
      </c>
      <c r="AV202" s="21">
        <f>EXP(-LN(2)/25)*AV201+(1-EXP(-LN(2)/25))/(LN(2)/25)*Calculateur!AQ202*Calculateur!AS202*VLOOKUP('Données projet'!$B$10,Paramètres!$A$1:$I$89,3,0)*0.475*44/12</f>
        <v>3.6549759795479706</v>
      </c>
      <c r="AW202" s="21">
        <f>EXP(-LN(2)/2)*AW201+(1-EXP(-LN(2)/2))/(LN(2)/2)*AQ202*AT202*VLOOKUP('Données projet'!$B$10,Paramètres!$A$1:$I$89,3,0)*0.475*44/12</f>
        <v>2.9475809988770122E-10</v>
      </c>
      <c r="AX202" s="21">
        <f t="shared" si="166"/>
        <v>33.951498953450319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7.2004695539362725E-13</v>
      </c>
      <c r="BF202" s="13">
        <f t="shared" si="167"/>
        <v>8.5963894794935589E-12</v>
      </c>
      <c r="BG202" s="20">
        <f t="shared" si="168"/>
        <v>1.6226126790761848E-11</v>
      </c>
      <c r="BH202" s="59">
        <f t="shared" si="194"/>
        <v>293.33333333334951</v>
      </c>
      <c r="BI202" s="59">
        <f ca="1">AVERAGE(OFFSET($BH$3,0,0,'Données projet'!$E$11+1,1))-AVERAGE(OFFSET($H$3,0,0,'Données projet'!$E$11+1,1))</f>
        <v>635.71275911100679</v>
      </c>
      <c r="BJ202" s="59">
        <f t="shared" si="206"/>
        <v>281.7776857269169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112.27323825359971</v>
      </c>
      <c r="BQ202" s="21">
        <f>EXP(-LN(2)/25)*BQ201+(1-EXP(-LN(2)/25))/(LN(2)/25)*Calculateur!BL202*Calculateur!BN202*VLOOKUP('Données projet'!$B$11,Paramètres!$A$1:$I$89,3,0)*0.475*44/12</f>
        <v>16.51827340529654</v>
      </c>
      <c r="BR202" s="21">
        <f>EXP(-LN(2)/2)*BR201+(1-EXP(-LN(2)/2))/(LN(2)/2)*BL202*BO202*VLOOKUP('Données projet'!$B$11,Paramètres!$A$1:$I$89,3,0)*0.475*44/12</f>
        <v>4.1502585376202689E-2</v>
      </c>
      <c r="BS202" s="22">
        <f t="shared" si="169"/>
        <v>128.83301424427245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-3.2366642699344083E-13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593.28343396240075</v>
      </c>
      <c r="CE202" s="59">
        <f t="shared" si="207"/>
        <v>289.66477662068695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129.45319332386083</v>
      </c>
      <c r="CL202" s="21">
        <f>EXP(-LN(2)/25)*CL201+(1-EXP(-LN(2)/25))/(LN(2)/25)*Calculateur!CG202*Calculateur!CI202*VLOOKUP('Données projet'!$B$12,Paramètres!$A$1:$I$89,3,0)*0.475*44/12</f>
        <v>38.303306809541951</v>
      </c>
      <c r="CM202" s="21">
        <f>EXP(-LN(2)/2)*CM201+(1-EXP(-LN(2)/2))/(LN(2)/2)*CG202*CJ202*VLOOKUP('Données projet'!$B$12,Paramètres!$A$1:$I$89,3,0)*0.475*44/12</f>
        <v>0.48691119177655356</v>
      </c>
      <c r="CN202" s="22">
        <f t="shared" si="172"/>
        <v>168.24341132517932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2.2737367544323206E-13</v>
      </c>
      <c r="CU202" s="17">
        <f>CT202*VLOOKUP('Données projet'!$B$13,Paramètres!$A$1:$I$89,3,0)*VLOOKUP('Données projet'!$B$13,Paramètres!$A$1:$I$89,5,0)</f>
        <v>2.3765096557326618E-13</v>
      </c>
      <c r="CV202" s="13">
        <f t="shared" si="173"/>
        <v>3.2279907425805489E-12</v>
      </c>
      <c r="CW202" s="20">
        <f t="shared" si="174"/>
        <v>6.0359926417012276E-12</v>
      </c>
      <c r="CX202" s="59">
        <f t="shared" si="196"/>
        <v>293.33333333333934</v>
      </c>
      <c r="CY202" s="59">
        <f ca="1">AVERAGE(OFFSET($CX$3,0,0,'Données projet'!$E$13+1,1))-AVERAGE(OFFSET($H$3,0,0,'Données projet'!$E$13+1,1))</f>
        <v>260.65406541614402</v>
      </c>
      <c r="CZ202" s="59">
        <f t="shared" si="208"/>
        <v>277.63456890196886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2.0803289055019394</v>
      </c>
      <c r="DG202" s="21">
        <f>EXP(-LN(2)/25)*DG201+(1-EXP(-LN(2)/25))/(LN(2)/25)*Calculateur!DB202*Calculateur!DD202*VLOOKUP('Données projet'!$B$13,Paramètres!$A$1:$I$89,3,0)*0.475*44/12</f>
        <v>2.4124719941059589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4.4928008996078983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1.4897523215040565E-13</v>
      </c>
      <c r="DQ202" s="13">
        <f t="shared" si="176"/>
        <v>2.136562777003313E-12</v>
      </c>
      <c r="DR202" s="20">
        <f t="shared" si="177"/>
        <v>3.9806453659427267E-12</v>
      </c>
      <c r="DS202" s="59">
        <f t="shared" si="197"/>
        <v>293.33333333333729</v>
      </c>
      <c r="DT202" s="59">
        <f ca="1">AVERAGE(OFFSET($DS$3,0,0,'Données projet'!$E$14+1,1))-AVERAGE(OFFSET($H$3,0,0,'Données projet'!$E$14+1,1))</f>
        <v>181.4272795535777</v>
      </c>
      <c r="DU202" s="59">
        <f t="shared" si="209"/>
        <v>187.67131775419904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1.9522470662719271</v>
      </c>
      <c r="EB202" s="21">
        <f>EXP(-LN(2)/25)*EB201+(1-EXP(-LN(2)/25))/(LN(2)/25)*Calculateur!DW202*Calculateur!DY202*VLOOKUP('Données projet'!$B$14,Paramètres!$A$1:$I$89,3,0)*0.475*44/12</f>
        <v>0.87863421551419352</v>
      </c>
      <c r="EC202" s="21">
        <f>EXP(-LN(2)/2)*EC201+(1-EXP(-LN(2)/2))/(LN(2)/2)*DW202*DZ202*VLOOKUP('Données projet'!$B$14,Paramètres!$A$1:$I$89,3,0)*0.475*44/12</f>
        <v>9.8491623781032006E-16</v>
      </c>
      <c r="ED202" s="22">
        <f t="shared" si="178"/>
        <v>2.8308812817861213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9.2222762759774927E-14</v>
      </c>
      <c r="EL202" s="13">
        <f t="shared" si="179"/>
        <v>1.3985662224947967E-12</v>
      </c>
      <c r="EM202" s="20">
        <f t="shared" si="180"/>
        <v>2.5964574826517121E-12</v>
      </c>
      <c r="EN202" s="59">
        <f t="shared" si="198"/>
        <v>293.33333333333593</v>
      </c>
      <c r="EO202" s="59">
        <f ca="1">AVERAGE(OFFSET($EN$3,0,0,'Données projet'!$E$15+1,1))-AVERAGE(OFFSET($H$3,0,0,'Données projet'!$E$15+1,1))</f>
        <v>159.68591355116837</v>
      </c>
      <c r="EP202" s="59">
        <f t="shared" si="210"/>
        <v>284.32631786390112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0.62565461909420461</v>
      </c>
      <c r="EW202" s="21">
        <f>EXP(-LN(2)/25)*EW201+(1-EXP(-LN(2)/25))/(LN(2)/25)*Calculateur!ER202*Calculateur!ET202*VLOOKUP('Données projet'!$B$15,Paramètres!$A$1:$I$89,3,0)*0.475*44/12</f>
        <v>0.23521062854914701</v>
      </c>
      <c r="EX202" s="21">
        <f>EXP(-LN(2)/2)*EX201+(1-EXP(-LN(2)/2))/(LN(2)/2)*ER202*EU202*VLOOKUP('Données projet'!$B$15,Paramètres!$A$1:$I$89,3,0)*0.475*44/12</f>
        <v>3.4137530430963341E-23</v>
      </c>
      <c r="EY202" s="22">
        <f t="shared" si="181"/>
        <v>0.86086524764335159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-1.3567387213697657E-13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299.10536994156814</v>
      </c>
      <c r="FK202" s="59">
        <f t="shared" si="211"/>
        <v>292.57799203101769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3.8483347428061587</v>
      </c>
      <c r="FR202" s="21">
        <f>EXP(-LN(2)/25)*FR201+(1-EXP(-LN(2)/25))/(LN(2)/25)*Calculateur!FM202*Calculateur!FO202*VLOOKUP('Données projet'!$B$16,Paramètres!$A$1:$I$89,3,0)*0.475*44/12</f>
        <v>1.5634155564904164</v>
      </c>
      <c r="FS202" s="21">
        <f>EXP(-LN(2)/2)*FS201+(1-EXP(-LN(2)/2))/(LN(2)/2)*FM202*FP202*VLOOKUP('Données projet'!$B$16,Paramètres!$A$1:$I$89,3,0)*0.475*44/12</f>
        <v>6.3760395898217022E-17</v>
      </c>
      <c r="FT202" s="22">
        <f t="shared" si="184"/>
        <v>5.4117502992965747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5.6843418860808015E-14</v>
      </c>
      <c r="GA202" s="17">
        <f>FZ202*VLOOKUP('Données projet'!$B$17,Paramètres!$A$1:$I$89,3,0)*VLOOKUP('Données projet'!$B$17,Paramètres!$A$1:$I$89,5,0)</f>
        <v>5.1431925385259088E-14</v>
      </c>
      <c r="GB202" s="13">
        <f t="shared" si="185"/>
        <v>8.3482866290946129E-13</v>
      </c>
      <c r="GC202" s="20">
        <f t="shared" si="186"/>
        <v>1.5435705246133045E-12</v>
      </c>
      <c r="GD202" s="59">
        <f t="shared" si="200"/>
        <v>293.33333333333485</v>
      </c>
      <c r="GE202" s="59">
        <f ca="1">AVERAGE(OFFSET($GD$3,0,0,'Données projet'!$E$17+1,1))-AVERAGE(OFFSET($H$3,0,0,'Données projet'!$E$17+1,1))</f>
        <v>204.78565758021779</v>
      </c>
      <c r="GF202" s="59">
        <f t="shared" si="212"/>
        <v>287.25131613242439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0.73935063475027751</v>
      </c>
      <c r="GM202" s="21">
        <f>EXP(-LN(2)/25)*GM201+(1-EXP(-LN(2)/25))/(LN(2)/25)*Calculateur!GH202*Calculateur!GJ202*VLOOKUP('Données projet'!$B$17,Paramètres!$A$1:$I$89,3,0)*0.475*44/12</f>
        <v>0.18483669988189061</v>
      </c>
      <c r="GN202" s="21">
        <f>EXP(-LN(2)/2)*GN201+(1-EXP(-LN(2)/2))/(LN(2)/2)*GH202*GK202*VLOOKUP('Données projet'!$B$17,Paramètres!$A$1:$I$89,3,0)*0.475*44/12</f>
        <v>9.1258465392150521E-23</v>
      </c>
      <c r="GO202" s="21">
        <f t="shared" si="187"/>
        <v>0.92418733463216807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5.6843418860808015E-14</v>
      </c>
      <c r="GV202" s="17">
        <f>GU202*VLOOKUP('Données projet'!$B$18,Paramètres!$A$1:$I$89,3,0)*VLOOKUP('Données projet'!$B$18,Paramètres!$A$1:$I$89,5,0)</f>
        <v>4.4337866711430253E-14</v>
      </c>
      <c r="GW202" s="13">
        <f t="shared" si="188"/>
        <v>7.3222115536967035E-13</v>
      </c>
      <c r="GX202" s="20">
        <f t="shared" si="189"/>
        <v>1.3525069634579169E-12</v>
      </c>
      <c r="GY202" s="59">
        <f t="shared" si="201"/>
        <v>293.33333333333468</v>
      </c>
      <c r="GZ202" s="59">
        <f ca="1">AVERAGE(OFFSET($GY$3,0,0,'Données projet'!$E$18+1,1))-AVERAGE(OFFSET($H$3,0,0,'Données projet'!$E$18+1,1))</f>
        <v>288.82868507674738</v>
      </c>
      <c r="HA202" s="59">
        <f t="shared" si="213"/>
        <v>283.48738729114024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3.2759910165354715</v>
      </c>
      <c r="HH202" s="21">
        <f>EXP(-LN(2)/25)*HH201+(1-EXP(-LN(2)/25))/(LN(2)/25)*Calculateur!HC202*Calculateur!HE202*VLOOKUP('Données projet'!$B$18,Paramètres!$A$1:$I$89,3,0)*0.475*44/12</f>
        <v>1.151716139617244</v>
      </c>
      <c r="HI202" s="21">
        <f>EXP(-LN(2)/2)*HI201+(1-EXP(-LN(2)/2))/(LN(2)/2)*HC202*HF202*VLOOKUP('Données projet'!$B$18,Paramètres!$A$1:$I$89,3,0)*0.475*44/12</f>
        <v>1.6467952667016575E-18</v>
      </c>
      <c r="HJ202" s="22">
        <f t="shared" si="190"/>
        <v>4.4277071561527155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349.71285006949597</v>
      </c>
      <c r="T203" s="59">
        <f t="shared" si="204"/>
        <v>258.51550516456842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14.234661602013755</v>
      </c>
      <c r="AA203" s="21">
        <f>EXP(-LN(2)/25)*AA202+(1-EXP(-LN(2)/25))/(LN(2)/25)*Calculateur!V203*Calculateur!X203*VLOOKUP('Données projet'!$B$9,Paramètres!$A$1:$I$89,3,0)*0.475*44/12</f>
        <v>1.857458621587009</v>
      </c>
      <c r="AB203" s="21">
        <f>EXP(-LN(2)/2)*AB202+(1-EXP(-LN(2)/2))/(LN(2)/2)*V203*Y203*VLOOKUP('Données projet'!$B$9,Paramètres!$A$1:$I$89,3,0)*0.475*44/12</f>
        <v>6.133691020476151E-17</v>
      </c>
      <c r="AC203" s="22">
        <f t="shared" si="163"/>
        <v>16.092120223600766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2.5579538487363607E-13</v>
      </c>
      <c r="AJ203" s="13">
        <f>AI203*VLOOKUP('Données projet'!$B$10,Paramètres!$A$1:$I$89,3,0)*VLOOKUP('Données projet'!$B$10,Paramètres!$A$1:$I$89,5,0)</f>
        <v>2.4341488824575211E-13</v>
      </c>
      <c r="AK203" s="13">
        <f t="shared" si="164"/>
        <v>3.2970717324875541E-12</v>
      </c>
      <c r="AL203" s="20">
        <f t="shared" si="165"/>
        <v>6.1663475311105072E-12</v>
      </c>
      <c r="AM203" s="59">
        <f t="shared" si="193"/>
        <v>293.33333333333945</v>
      </c>
      <c r="AN203" s="59">
        <f ca="1">AVERAGE(OFFSET($AM$3,0,0,'Données projet'!$E$10+1,1))-AVERAGE(OFFSET($H$3,0,0,'Données projet'!$E$10+1,1))</f>
        <v>449.28947235329758</v>
      </c>
      <c r="AO203" s="59">
        <f t="shared" si="205"/>
        <v>289.36994109443964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29.7024266371495</v>
      </c>
      <c r="AV203" s="21">
        <f>EXP(-LN(2)/25)*AV202+(1-EXP(-LN(2)/25))/(LN(2)/25)*Calculateur!AQ203*Calculateur!AS203*VLOOKUP('Données projet'!$B$10,Paramètres!$A$1:$I$89,3,0)*0.475*44/12</f>
        <v>3.555030469180398</v>
      </c>
      <c r="AW203" s="21">
        <f>EXP(-LN(2)/2)*AW202+(1-EXP(-LN(2)/2))/(LN(2)/2)*AQ203*AT203*VLOOKUP('Données projet'!$B$10,Paramètres!$A$1:$I$89,3,0)*0.475*44/12</f>
        <v>2.0842545124025527E-10</v>
      </c>
      <c r="AX203" s="21">
        <f t="shared" si="166"/>
        <v>33.257457106538318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7.2004695539362725E-13</v>
      </c>
      <c r="BF203" s="13">
        <f t="shared" si="167"/>
        <v>8.5963894794935589E-12</v>
      </c>
      <c r="BG203" s="20">
        <f t="shared" si="168"/>
        <v>1.6226126790761848E-11</v>
      </c>
      <c r="BH203" s="59">
        <f t="shared" si="194"/>
        <v>293.33333333334951</v>
      </c>
      <c r="BI203" s="59">
        <f ca="1">AVERAGE(OFFSET($BH$3,0,0,'Données projet'!$E$11+1,1))-AVERAGE(OFFSET($H$3,0,0,'Données projet'!$E$11+1,1))</f>
        <v>635.71275911100679</v>
      </c>
      <c r="BJ203" s="59">
        <f t="shared" si="206"/>
        <v>281.7776857269169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110.07162853136013</v>
      </c>
      <c r="BQ203" s="21">
        <f>EXP(-LN(2)/25)*BQ202+(1-EXP(-LN(2)/25))/(LN(2)/25)*Calculateur!BL203*Calculateur!BN203*VLOOKUP('Données projet'!$B$11,Paramètres!$A$1:$I$89,3,0)*0.475*44/12</f>
        <v>16.066580350370462</v>
      </c>
      <c r="BR203" s="21">
        <f>EXP(-LN(2)/2)*BR202+(1-EXP(-LN(2)/2))/(LN(2)/2)*BL203*BO203*VLOOKUP('Données projet'!$B$11,Paramètres!$A$1:$I$89,3,0)*0.475*44/12</f>
        <v>2.9346759556286562E-2</v>
      </c>
      <c r="BS203" s="22">
        <f t="shared" si="169"/>
        <v>126.16755564128688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-3.2366642699344083E-13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593.28343396240075</v>
      </c>
      <c r="CE203" s="59">
        <f t="shared" si="207"/>
        <v>289.66477662068695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126.91469516143133</v>
      </c>
      <c r="CL203" s="21">
        <f>EXP(-LN(2)/25)*CL202+(1-EXP(-LN(2)/25))/(LN(2)/25)*Calculateur!CG203*Calculateur!CI203*VLOOKUP('Données projet'!$B$12,Paramètres!$A$1:$I$89,3,0)*0.475*44/12</f>
        <v>37.255900870551663</v>
      </c>
      <c r="CM203" s="21">
        <f>EXP(-LN(2)/2)*CM202+(1-EXP(-LN(2)/2))/(LN(2)/2)*CG203*CJ203*VLOOKUP('Données projet'!$B$12,Paramètres!$A$1:$I$89,3,0)*0.475*44/12</f>
        <v>0.34429820554082458</v>
      </c>
      <c r="CN203" s="22">
        <f t="shared" si="172"/>
        <v>164.51489423752383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2.2737367544323206E-13</v>
      </c>
      <c r="CU203" s="17">
        <f>CT203*VLOOKUP('Données projet'!$B$13,Paramètres!$A$1:$I$89,3,0)*VLOOKUP('Données projet'!$B$13,Paramètres!$A$1:$I$89,5,0)</f>
        <v>2.3765096557326618E-13</v>
      </c>
      <c r="CV203" s="13">
        <f t="shared" si="173"/>
        <v>3.2279907425805489E-12</v>
      </c>
      <c r="CW203" s="20">
        <f t="shared" si="174"/>
        <v>6.0359926417012276E-12</v>
      </c>
      <c r="CX203" s="59">
        <f t="shared" si="196"/>
        <v>293.33333333333934</v>
      </c>
      <c r="CY203" s="59">
        <f ca="1">AVERAGE(OFFSET($CX$3,0,0,'Données projet'!$E$13+1,1))-AVERAGE(OFFSET($H$3,0,0,'Données projet'!$E$13+1,1))</f>
        <v>260.65406541614402</v>
      </c>
      <c r="CZ203" s="59">
        <f t="shared" si="208"/>
        <v>277.63456890196886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2.0395349245403875</v>
      </c>
      <c r="DG203" s="21">
        <f>EXP(-LN(2)/25)*DG202+(1-EXP(-LN(2)/25))/(LN(2)/25)*Calculateur!DB203*Calculateur!DD203*VLOOKUP('Données projet'!$B$13,Paramètres!$A$1:$I$89,3,0)*0.475*44/12</f>
        <v>2.346502820560743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4.386037745101131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1.4897523215040565E-13</v>
      </c>
      <c r="DQ203" s="13">
        <f t="shared" si="176"/>
        <v>2.136562777003313E-12</v>
      </c>
      <c r="DR203" s="20">
        <f t="shared" si="177"/>
        <v>3.9806453659427267E-12</v>
      </c>
      <c r="DS203" s="59">
        <f t="shared" si="197"/>
        <v>293.33333333333729</v>
      </c>
      <c r="DT203" s="59">
        <f ca="1">AVERAGE(OFFSET($DS$3,0,0,'Données projet'!$E$14+1,1))-AVERAGE(OFFSET($H$3,0,0,'Données projet'!$E$14+1,1))</f>
        <v>181.4272795535777</v>
      </c>
      <c r="DU203" s="59">
        <f t="shared" si="209"/>
        <v>187.67131775419904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1.913964692055468</v>
      </c>
      <c r="EB203" s="21">
        <f>EXP(-LN(2)/25)*EB202+(1-EXP(-LN(2)/25))/(LN(2)/25)*Calculateur!DW203*Calculateur!DY203*VLOOKUP('Données projet'!$B$14,Paramètres!$A$1:$I$89,3,0)*0.475*44/12</f>
        <v>0.85460791668559266</v>
      </c>
      <c r="EC203" s="21">
        <f>EXP(-LN(2)/2)*EC202+(1-EXP(-LN(2)/2))/(LN(2)/2)*DW203*DZ203*VLOOKUP('Données projet'!$B$14,Paramètres!$A$1:$I$89,3,0)*0.475*44/12</f>
        <v>6.964409506564196E-16</v>
      </c>
      <c r="ED203" s="22">
        <f t="shared" si="178"/>
        <v>2.7685726087410618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9.2222762759774927E-14</v>
      </c>
      <c r="EL203" s="13">
        <f t="shared" si="179"/>
        <v>1.3985662224947967E-12</v>
      </c>
      <c r="EM203" s="20">
        <f t="shared" si="180"/>
        <v>2.5964574826517121E-12</v>
      </c>
      <c r="EN203" s="59">
        <f t="shared" si="198"/>
        <v>293.33333333333593</v>
      </c>
      <c r="EO203" s="59">
        <f ca="1">AVERAGE(OFFSET($EN$3,0,0,'Données projet'!$E$15+1,1))-AVERAGE(OFFSET($H$3,0,0,'Données projet'!$E$15+1,1))</f>
        <v>159.68591355116837</v>
      </c>
      <c r="EP203" s="59">
        <f t="shared" si="210"/>
        <v>284.32631786390112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0.61338591362540384</v>
      </c>
      <c r="EW203" s="21">
        <f>EXP(-LN(2)/25)*EW202+(1-EXP(-LN(2)/25))/(LN(2)/25)*Calculateur!ER203*Calculateur!ET203*VLOOKUP('Données projet'!$B$15,Paramètres!$A$1:$I$89,3,0)*0.475*44/12</f>
        <v>0.22877878154228121</v>
      </c>
      <c r="EX203" s="21">
        <f>EXP(-LN(2)/2)*EX202+(1-EXP(-LN(2)/2))/(LN(2)/2)*ER203*EU203*VLOOKUP('Données projet'!$B$15,Paramètres!$A$1:$I$89,3,0)*0.475*44/12</f>
        <v>2.4138879260696303E-23</v>
      </c>
      <c r="EY203" s="22">
        <f t="shared" si="181"/>
        <v>0.84216469516768511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-1.3567387213697657E-13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299.10536994156814</v>
      </c>
      <c r="FK203" s="59">
        <f t="shared" si="211"/>
        <v>292.57799203101769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3.7728712457521509</v>
      </c>
      <c r="FR203" s="21">
        <f>EXP(-LN(2)/25)*FR202+(1-EXP(-LN(2)/25))/(LN(2)/25)*Calculateur!FM203*Calculateur!FO203*VLOOKUP('Données projet'!$B$16,Paramètres!$A$1:$I$89,3,0)*0.475*44/12</f>
        <v>1.520663875881735</v>
      </c>
      <c r="FS203" s="21">
        <f>EXP(-LN(2)/2)*FS202+(1-EXP(-LN(2)/2))/(LN(2)/2)*FM203*FP203*VLOOKUP('Données projet'!$B$16,Paramètres!$A$1:$I$89,3,0)*0.475*44/12</f>
        <v>4.5085408310768186E-17</v>
      </c>
      <c r="FT203" s="22">
        <f t="shared" si="184"/>
        <v>5.2935351216338855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5.6843418860808015E-14</v>
      </c>
      <c r="GA203" s="17">
        <f>FZ203*VLOOKUP('Données projet'!$B$17,Paramètres!$A$1:$I$89,3,0)*VLOOKUP('Données projet'!$B$17,Paramètres!$A$1:$I$89,5,0)</f>
        <v>5.1431925385259088E-14</v>
      </c>
      <c r="GB203" s="13">
        <f t="shared" si="185"/>
        <v>8.3482866290946129E-13</v>
      </c>
      <c r="GC203" s="20">
        <f t="shared" si="186"/>
        <v>1.5435705246133045E-12</v>
      </c>
      <c r="GD203" s="59">
        <f t="shared" si="200"/>
        <v>293.33333333333485</v>
      </c>
      <c r="GE203" s="59">
        <f ca="1">AVERAGE(OFFSET($GD$3,0,0,'Données projet'!$E$17+1,1))-AVERAGE(OFFSET($H$3,0,0,'Données projet'!$E$17+1,1))</f>
        <v>204.78565758021779</v>
      </c>
      <c r="GF203" s="59">
        <f t="shared" si="212"/>
        <v>287.25131613242439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0.72485241976218318</v>
      </c>
      <c r="GM203" s="21">
        <f>EXP(-LN(2)/25)*GM202+(1-EXP(-LN(2)/25))/(LN(2)/25)*Calculateur!GH203*Calculateur!GJ203*VLOOKUP('Données projet'!$B$17,Paramètres!$A$1:$I$89,3,0)*0.475*44/12</f>
        <v>0.1797823306034807</v>
      </c>
      <c r="GN203" s="21">
        <f>EXP(-LN(2)/2)*GN202+(1-EXP(-LN(2)/2))/(LN(2)/2)*GH203*GK203*VLOOKUP('Données projet'!$B$17,Paramètres!$A$1:$I$89,3,0)*0.475*44/12</f>
        <v>6.4529479719467497E-23</v>
      </c>
      <c r="GO203" s="21">
        <f t="shared" si="187"/>
        <v>0.90463475036566388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5.6843418860808015E-14</v>
      </c>
      <c r="GV203" s="17">
        <f>GU203*VLOOKUP('Données projet'!$B$18,Paramètres!$A$1:$I$89,3,0)*VLOOKUP('Données projet'!$B$18,Paramètres!$A$1:$I$89,5,0)</f>
        <v>4.4337866711430253E-14</v>
      </c>
      <c r="GW203" s="13">
        <f t="shared" si="188"/>
        <v>7.3222115536967035E-13</v>
      </c>
      <c r="GX203" s="20">
        <f t="shared" si="189"/>
        <v>1.3525069634579169E-12</v>
      </c>
      <c r="GY203" s="59">
        <f t="shared" si="201"/>
        <v>293.33333333333468</v>
      </c>
      <c r="GZ203" s="59">
        <f ca="1">AVERAGE(OFFSET($GY$3,0,0,'Données projet'!$E$18+1,1))-AVERAGE(OFFSET($H$3,0,0,'Données projet'!$E$18+1,1))</f>
        <v>288.82868507674738</v>
      </c>
      <c r="HA203" s="59">
        <f t="shared" si="213"/>
        <v>283.48738729114024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3.2117508308584295</v>
      </c>
      <c r="HH203" s="21">
        <f>EXP(-LN(2)/25)*HH202+(1-EXP(-LN(2)/25))/(LN(2)/25)*Calculateur!HC203*Calculateur!HE203*VLOOKUP('Données projet'!$B$18,Paramètres!$A$1:$I$89,3,0)*0.475*44/12</f>
        <v>1.1202224012132909</v>
      </c>
      <c r="HI203" s="21">
        <f>EXP(-LN(2)/2)*HI202+(1-EXP(-LN(2)/2))/(LN(2)/2)*HC203*HF203*VLOOKUP('Données projet'!$B$18,Paramètres!$A$1:$I$89,3,0)*0.475*44/12</f>
        <v>1.1644601003106511E-18</v>
      </c>
      <c r="HJ203" s="22">
        <f t="shared" si="190"/>
        <v>4.3319732320717206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1.2474449991725556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1.141469227569226</v>
      </c>
      <c r="BA205" s="82">
        <f>EXP(LN('Données projet'!B88)/'Données projet'!A88)</f>
        <v>1.1303799945549604</v>
      </c>
      <c r="BV205" s="82">
        <f>EXP(LN('Données projet'!B114)/'Données projet'!A114)</f>
        <v>1.0924684246274448</v>
      </c>
      <c r="CQ205" s="82">
        <f>EXP(LN('Données projet'!B140)/'Données projet'!A140)</f>
        <v>1.2484537743049755</v>
      </c>
      <c r="DL205" s="82">
        <f>EXP(LN('Données projet'!B166)/'Données projet'!A166)</f>
        <v>1.2157010972598057</v>
      </c>
      <c r="EG205" s="82">
        <f>EXP(LN('Données projet'!B192)/'Données projet'!A192)</f>
        <v>1.3897820613456893</v>
      </c>
      <c r="FB205" s="82">
        <f>EXP(LN('Données projet'!B218)/'Données projet'!A218)</f>
        <v>1.2721747796233518</v>
      </c>
      <c r="FW205" s="82">
        <f>EXP(LN('Données projet'!B244)/'Données projet'!A244)</f>
        <v>1.7815855705624291</v>
      </c>
      <c r="GR205" s="82">
        <f>EXP(LN('Données projet'!B270)/'Données projet'!A270)</f>
        <v>1.2788040393997409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31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53125" style="4" bestFit="1" customWidth="1"/>
    <col min="7" max="7" width="11.46484375" style="4" bestFit="1" customWidth="1"/>
    <col min="8" max="8" width="39" style="4" bestFit="1" customWidth="1"/>
    <col min="9" max="9" width="16.531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30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30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30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30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30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30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30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30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55402-F212-4F78-BD2B-95F7D507F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b31a522-a3bf-48c4-bec5-a17f159ba481"/>
    <ds:schemaRef ds:uri="http://schemas.microsoft.com/office/infopath/2007/PartnerControls"/>
    <ds:schemaRef ds:uri="e2382d34-9bb8-44b7-b653-fe70b92f328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VAN</vt:lpstr>
      <vt:lpstr>Calculateur</vt:lpstr>
      <vt:lpstr>Paramètres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2024-02-02T09:58:39Z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