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 codeName="ThisWorkbook"/>
  <mc:AlternateContent xmlns:mc="http://schemas.openxmlformats.org/markup-compatibility/2006">
    <mc:Choice Requires="x15">
      <x15ac:absPath xmlns:x15ac="http://schemas.microsoft.com/office/spreadsheetml/2010/11/ac" url="https://forestiersfransylva.sharepoint.com/sites/FransylvaServices/Shared Documents/Financements innovants/CLIENTS 2023-2024/# MELE/C. PASCAL - 13842364 LE/"/>
    </mc:Choice>
  </mc:AlternateContent>
  <xr:revisionPtr revIDLastSave="181" documentId="13_ncr:1_{91C62E09-7A97-40C6-8A6D-8C8B5668C142}" xr6:coauthVersionLast="47" xr6:coauthVersionMax="47" xr10:uidLastSave="{B1F4C4FB-ECA4-472A-A7A6-EA6D2CEC9CED}"/>
  <bookViews>
    <workbookView xWindow="-98" yWindow="-98" windowWidth="19396" windowHeight="11475" tabRatio="866" firstSheet="1" activeTab="1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R4" i="2" l="1"/>
  <c r="BQ4" i="2"/>
  <c r="EA4" i="2"/>
  <c r="FR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EX5" i="2" s="1"/>
  <c r="DV5" i="2"/>
  <c r="DM5" i="2"/>
  <c r="DA5" i="2"/>
  <c r="CR5" i="2"/>
  <c r="CQ5" i="2"/>
  <c r="EU5" i="2"/>
  <c r="EG5" i="2"/>
  <c r="DW5" i="2"/>
  <c r="EC5" i="2" s="1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A5" i="2" l="1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EA6" i="2" s="1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FR6" i="2" l="1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EB7" i="2" s="1"/>
  <c r="DD7" i="2"/>
  <c r="DC7" i="2"/>
  <c r="BM7" i="2"/>
  <c r="BN7" i="2"/>
  <c r="DX7" i="2"/>
  <c r="EA7" i="2" s="1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W7" i="2"/>
  <c r="EV7" i="2"/>
  <c r="EX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EX8" i="2" s="1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HG8" i="2" l="1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FS9" i="2" l="1"/>
  <c r="HG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HH10" i="2"/>
  <c r="EB10" i="2"/>
  <c r="HG10" i="2"/>
  <c r="FS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V12" i="2" l="1"/>
  <c r="HH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HG13" i="2" s="1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EC13" i="2" l="1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EX14" i="2" s="1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EC14" i="2" l="1"/>
  <c r="HH14" i="2"/>
  <c r="HG14" i="2"/>
  <c r="EB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FS15" i="2" s="1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FS18" i="2" l="1"/>
  <c r="EA18" i="2"/>
  <c r="EV18" i="2"/>
  <c r="EW18" i="2"/>
  <c r="EX18" i="2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EV20" i="2" s="1"/>
  <c r="DX20" i="2"/>
  <c r="CI20" i="2"/>
  <c r="BM20" i="2"/>
  <c r="GI20" i="2"/>
  <c r="ET20" i="2"/>
  <c r="DC20" i="2"/>
  <c r="CH20" i="2"/>
  <c r="BN20" i="2"/>
  <c r="AS20" i="2"/>
  <c r="AR20" i="2"/>
  <c r="FN20" i="2"/>
  <c r="HE20" i="2"/>
  <c r="HH20" i="2" s="1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S20" i="2" s="1"/>
  <c r="FB20" i="2"/>
  <c r="ER20" i="2"/>
  <c r="DV20" i="2"/>
  <c r="DM20" i="2"/>
  <c r="DA20" i="2"/>
  <c r="EU20" i="2"/>
  <c r="EG20" i="2"/>
  <c r="DW20" i="2"/>
  <c r="EC20" i="2" s="1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W20" i="2" l="1"/>
  <c r="HG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W21" i="2" s="1"/>
  <c r="ES21" i="2"/>
  <c r="EV21" i="2" s="1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H21" i="2" l="1"/>
  <c r="EB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G22" i="2" l="1"/>
  <c r="EB22" i="2"/>
  <c r="EA22" i="2"/>
  <c r="EW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FR24" i="2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C26" i="2" s="1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EX27" i="2" s="1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C27" i="2" l="1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EV28" i="2" s="1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HI28" i="2" s="1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B28" i="2" l="1"/>
  <c r="FS28" i="2"/>
  <c r="EC28" i="2"/>
  <c r="HG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HG31" i="2" l="1"/>
  <c r="D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HG33" i="2" l="1"/>
  <c r="EW33" i="2"/>
  <c r="HH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EA35" i="2" s="1"/>
  <c r="DC35" i="2"/>
  <c r="DD35" i="2"/>
  <c r="BN35" i="2"/>
  <c r="CI35" i="2"/>
  <c r="BM35" i="2"/>
  <c r="W35" i="2"/>
  <c r="FN35" i="2"/>
  <c r="DY35" i="2"/>
  <c r="EB35" i="2" s="1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CM35" i="2" l="1"/>
  <c r="FQ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EA37" i="2" s="1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HG37" i="2" l="1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S38" i="2" s="1"/>
  <c r="FP38" i="2"/>
  <c r="DZ38" i="2"/>
  <c r="DL38" i="2"/>
  <c r="DE38" i="2"/>
  <c r="FX38" i="2"/>
  <c r="EQ38" i="2"/>
  <c r="EH38" i="2"/>
  <c r="CJ38" i="2"/>
  <c r="GG38" i="2"/>
  <c r="FB38" i="2"/>
  <c r="ER38" i="2"/>
  <c r="EX38" i="2" s="1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HI38" i="2" l="1"/>
  <c r="EW38" i="2"/>
  <c r="EA38" i="2"/>
  <c r="HH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HG43" i="2" l="1"/>
  <c r="DG43" i="2"/>
  <c r="EX43" i="2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W44" i="2" l="1"/>
  <c r="HH44" i="2"/>
  <c r="EC44" i="2"/>
  <c r="HG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X45" i="2"/>
  <c r="HG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C46" i="2" s="1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W46" i="2" l="1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EC48" i="2" s="1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HG48" i="2"/>
  <c r="HI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C50" i="2" s="1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EX51" i="2" s="1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A51" i="2" l="1"/>
  <c r="EB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B52" i="2" s="1"/>
  <c r="ES52" i="2"/>
  <c r="EV52" i="2" s="1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HI52" i="2" l="1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I55" i="2" s="1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EX55" i="2" s="1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FS55" i="2" l="1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HG56" i="2" s="1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FS56" i="2" l="1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FN57" i="2"/>
  <c r="DY57" i="2"/>
  <c r="GI57" i="2"/>
  <c r="DD57" i="2"/>
  <c r="ES57" i="2"/>
  <c r="EV57" i="2" s="1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HI57" i="2" s="1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B57" i="2" l="1"/>
  <c r="HG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EC59" i="2" s="1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B59" i="2" l="1"/>
  <c r="EA59" i="2"/>
  <c r="HH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G60" i="2" s="1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HH60" i="2"/>
  <c r="EV60" i="2"/>
  <c r="HI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EV61" i="2" s="1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X61" i="2" l="1"/>
  <c r="EA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HH62" i="2" s="1"/>
  <c r="GI62" i="2"/>
  <c r="GJ62" i="2"/>
  <c r="ET62" i="2"/>
  <c r="FO62" i="2"/>
  <c r="FN62" i="2"/>
  <c r="DY62" i="2"/>
  <c r="ES62" i="2"/>
  <c r="DX62" i="2"/>
  <c r="EA62" i="2" s="1"/>
  <c r="BN62" i="2"/>
  <c r="DD62" i="2"/>
  <c r="CH62" i="2"/>
  <c r="AS62" i="2"/>
  <c r="W62" i="2"/>
  <c r="DC62" i="2"/>
  <c r="CI62" i="2"/>
  <c r="BM62" i="2"/>
  <c r="X62" i="2"/>
  <c r="AR62" i="2"/>
  <c r="HC62" i="2"/>
  <c r="HI62" i="2" s="1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B62" i="2" l="1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EC63" i="2" s="1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HG63" i="2" l="1"/>
  <c r="EB63" i="2"/>
  <c r="EX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A64" i="2" l="1"/>
  <c r="EV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HH67" i="2" s="1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EV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HG70" i="2"/>
  <c r="HI70" i="2"/>
  <c r="EW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HH71" i="2" s="1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W71" i="2" l="1"/>
  <c r="EA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H72" i="2" l="1"/>
  <c r="EB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EW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EA75" i="2" s="1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HH75" i="2" l="1"/>
  <c r="EB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H76" i="2" l="1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HI77" i="2"/>
  <c r="EB77" i="2"/>
  <c r="EA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C78" i="2" l="1"/>
  <c r="EB78" i="2"/>
  <c r="HI78" i="2"/>
  <c r="EW78" i="2"/>
  <c r="EV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EB79" i="2" l="1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HH82" i="2" s="1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G82" i="2" l="1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W85" i="2" s="1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HH85" i="2" l="1"/>
  <c r="EV85" i="2"/>
  <c r="HG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A86" i="2" l="1"/>
  <c r="EB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FS88" i="2" l="1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EX92" i="2" s="1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W92" i="2" l="1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EC93" i="2" l="1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EX98" i="2" s="1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EW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EX100" i="2" s="1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HI102" i="2" l="1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A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EX104" i="2" s="1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W104" i="2" l="1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EV105" i="2" s="1"/>
  <c r="DX105" i="2"/>
  <c r="EA105" i="2" s="1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B105" i="2" l="1"/>
  <c r="FS105" i="2"/>
  <c r="HH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G106" i="2" s="1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I106" i="2" l="1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EC107" i="2" s="1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EX107" i="2"/>
  <c r="EA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EA108" i="2" s="1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W108" i="2" l="1"/>
  <c r="FS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X112" i="2" l="1"/>
  <c r="EB112" i="2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HG113" i="2" s="1"/>
  <c r="GJ113" i="2"/>
  <c r="FO113" i="2"/>
  <c r="FN113" i="2"/>
  <c r="GI113" i="2"/>
  <c r="ET113" i="2"/>
  <c r="CH113" i="2"/>
  <c r="AS113" i="2"/>
  <c r="DY113" i="2"/>
  <c r="EB113" i="2" s="1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X113" i="2" l="1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V114" i="2" l="1"/>
  <c r="HH114" i="2"/>
  <c r="EW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EX115" i="2" l="1"/>
  <c r="FS115" i="2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EA116" i="2" s="1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V116" i="2" l="1"/>
  <c r="HG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A117" i="2"/>
  <c r="HG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S118" i="2" s="1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Q118" i="2" l="1"/>
  <c r="EX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I120" i="2" s="1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FR120" i="2" l="1"/>
  <c r="FQ120" i="2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EA121" i="2" s="1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B121" i="2" l="1"/>
  <c r="FR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I122" i="2" s="1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H122" i="2" l="1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H124" i="2" l="1"/>
  <c r="HG124" i="2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EC125" i="2" s="1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FS125" i="2" l="1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EA126" i="2" l="1"/>
  <c r="HG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V127" i="2" s="1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I127" i="2" s="1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FS127" i="2" l="1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EB128" i="2"/>
  <c r="HG128" i="2"/>
  <c r="EV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EV129" i="2" s="1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X129" i="2" l="1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G130" i="2" s="1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FS130" i="2" l="1"/>
  <c r="HI130" i="2"/>
  <c r="EW130" i="2"/>
  <c r="EX130" i="2"/>
  <c r="EB130" i="2"/>
  <c r="HH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G132" i="2" s="1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EC132" i="2" s="1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FS132" i="2" l="1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HH133" i="2" l="1"/>
  <c r="EV133" i="2"/>
  <c r="EW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EV134" i="2" s="1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G134" i="2" l="1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EA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FS136" i="2" s="1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HI136" i="2" l="1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EX137" i="2" s="1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C138" i="2" s="1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DY139" i="2"/>
  <c r="EB139" i="2" s="1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FS139" i="2" l="1"/>
  <c r="EW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HG141" i="2" s="1"/>
  <c r="CH141" i="2"/>
  <c r="CI141" i="2"/>
  <c r="BM141" i="2"/>
  <c r="DY141" i="2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S141" i="2" s="1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EB141" i="2" l="1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G142" i="2" s="1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C142" i="2" l="1"/>
  <c r="EW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EA143" i="2" l="1"/>
  <c r="FS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FR144" i="2" s="1"/>
  <c r="GJ144" i="2"/>
  <c r="GI144" i="2"/>
  <c r="ES144" i="2"/>
  <c r="DX144" i="2"/>
  <c r="EA144" i="2" s="1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HH144" i="2" l="1"/>
  <c r="EX144" i="2"/>
  <c r="HG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FR145" i="2"/>
  <c r="EA145" i="2"/>
  <c r="EB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EA146" i="2" s="1"/>
  <c r="DC146" i="2"/>
  <c r="W146" i="2"/>
  <c r="X146" i="2"/>
  <c r="DY146" i="2"/>
  <c r="BM146" i="2"/>
  <c r="AR146" i="2"/>
  <c r="CI146" i="2"/>
  <c r="AS146" i="2"/>
  <c r="HC146" i="2"/>
  <c r="HI146" i="2" s="1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HH146" i="2" l="1"/>
  <c r="FR146" i="2"/>
  <c r="HG146" i="2"/>
  <c r="FS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EX147" i="2" s="1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EC149" i="2" s="1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X149" i="2" l="1"/>
  <c r="HG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EC150" i="2" s="1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FS150" i="2"/>
  <c r="HI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EC151" i="2" s="1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X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I152" i="2" s="1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B152" i="2" l="1"/>
  <c r="EV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EA153" i="2" s="1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B153" i="2" l="1"/>
  <c r="EX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HG154" i="2"/>
  <c r="EX154" i="2"/>
  <c r="AA154" i="2"/>
  <c r="EV154" i="2"/>
  <c r="EY154" i="2" s="1"/>
  <c r="EC154" i="2"/>
  <c r="EA154" i="2"/>
  <c r="ED154" i="2" s="1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EW155" i="2" s="1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AC154" i="2" l="1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Y155" i="2" s="1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HI156" i="2" s="1"/>
  <c r="GI156" i="2"/>
  <c r="FP156" i="2"/>
  <c r="HD156" i="2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D155" i="2"/>
  <c r="AX152" i="2"/>
  <c r="AB156" i="2" l="1"/>
  <c r="DH156" i="2"/>
  <c r="EX156" i="2"/>
  <c r="HG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HG157" i="2" s="1"/>
  <c r="GJ157" i="2"/>
  <c r="HE157" i="2"/>
  <c r="HH157" i="2" s="1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EX157" i="2" s="1"/>
  <c r="DM157" i="2"/>
  <c r="ES157" i="2"/>
  <c r="ET157" i="2"/>
  <c r="DW157" i="2"/>
  <c r="CQ157" i="2"/>
  <c r="BW157" i="2"/>
  <c r="FB157" i="2"/>
  <c r="DX157" i="2"/>
  <c r="EA157" i="2" s="1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CN156" i="2" l="1"/>
  <c r="EC157" i="2"/>
  <c r="EB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H158" i="2" l="1"/>
  <c r="EV158" i="2"/>
  <c r="HG158" i="2"/>
  <c r="EW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ED158" i="2" s="1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HH159" i="2" s="1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HI159" i="2" s="1"/>
  <c r="GI159" i="2"/>
  <c r="FP159" i="2"/>
  <c r="EG159" i="2"/>
  <c r="ER159" i="2"/>
  <c r="FL159" i="2"/>
  <c r="ES159" i="2"/>
  <c r="ET159" i="2"/>
  <c r="DW159" i="2"/>
  <c r="EC159" i="2" s="1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FS159" i="2" l="1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FS160" i="2" l="1"/>
  <c r="EC160" i="2"/>
  <c r="HG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EB161" i="2" l="1"/>
  <c r="FS161" i="2"/>
  <c r="AB161" i="2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HG162" i="2" s="1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B162" i="2" s="1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HH162" i="2" l="1"/>
  <c r="EC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EA163" i="2" s="1"/>
  <c r="DA163" i="2"/>
  <c r="CG163" i="2"/>
  <c r="DY163" i="2"/>
  <c r="EB163" i="2" s="1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V163" i="2" l="1"/>
  <c r="HI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HH164" i="2" s="1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EA164" i="2" s="1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DH164" i="2" s="1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HG164" i="2" l="1"/>
  <c r="EX164" i="2"/>
  <c r="EV164" i="2"/>
  <c r="FS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B165" i="2" l="1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CN165" i="2" l="1"/>
  <c r="FS166" i="2"/>
  <c r="HG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GI167" i="2"/>
  <c r="FP167" i="2"/>
  <c r="EG167" i="2"/>
  <c r="FL167" i="2"/>
  <c r="EQ167" i="2"/>
  <c r="FW167" i="2"/>
  <c r="EU167" i="2"/>
  <c r="DW167" i="2"/>
  <c r="DY167" i="2"/>
  <c r="EB167" i="2" s="1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DG167" i="2" s="1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X167" i="2" l="1"/>
  <c r="EC167" i="2"/>
  <c r="HI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EB168" i="2" s="1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V168" i="2" l="1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HH169" i="2" s="1"/>
  <c r="GK169" i="2"/>
  <c r="FB169" i="2"/>
  <c r="EQ169" i="2"/>
  <c r="EU169" i="2"/>
  <c r="DM169" i="2"/>
  <c r="FN169" i="2"/>
  <c r="EH169" i="2"/>
  <c r="DY169" i="2"/>
  <c r="EB169" i="2" s="1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X169" i="2" l="1"/>
  <c r="EA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G172" i="2" l="1"/>
  <c r="EW172" i="2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H173" i="2" s="1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EB173" i="2" s="1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C173" i="2" l="1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Y173" i="2" s="1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C174" i="2" s="1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HH174" i="2" l="1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ED174" i="2"/>
  <c r="AX172" i="2"/>
  <c r="AA175" i="2" l="1"/>
  <c r="EW175" i="2"/>
  <c r="EA175" i="2"/>
  <c r="FS175" i="2"/>
  <c r="HI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HH176" i="2" s="1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C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HH177" i="2" s="1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I177" i="2" l="1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FQ178" i="2" s="1"/>
  <c r="HB178" i="2"/>
  <c r="HC178" i="2"/>
  <c r="GI178" i="2"/>
  <c r="FP178" i="2"/>
  <c r="HD178" i="2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EA178" i="2" s="1"/>
  <c r="CQ178" i="2"/>
  <c r="EH178" i="2"/>
  <c r="DY178" i="2"/>
  <c r="EB178" i="2" s="1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HH178" i="2" l="1"/>
  <c r="HG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HH179" i="2" l="1"/>
  <c r="EV179" i="2"/>
  <c r="DF179" i="2"/>
  <c r="EA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G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HG181" i="2" l="1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C182" i="2" l="1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FS183" i="2" l="1"/>
  <c r="EA183" i="2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HI184" i="2" l="1"/>
  <c r="FS184" i="2"/>
  <c r="EX184" i="2"/>
  <c r="EC184" i="2"/>
  <c r="AW184" i="2"/>
  <c r="EB184" i="2"/>
  <c r="EV184" i="2"/>
  <c r="EY184" i="2" s="1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AX182" i="2"/>
  <c r="HH185" i="2" l="1"/>
  <c r="HG185" i="2"/>
  <c r="EA185" i="2"/>
  <c r="EV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HG186" i="2" s="1"/>
  <c r="GJ186" i="2"/>
  <c r="HE186" i="2"/>
  <c r="HH186" i="2" s="1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EA186" i="2" s="1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FR186" i="2" l="1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EY186" i="2"/>
  <c r="AX184" i="2"/>
  <c r="HG187" i="2" l="1"/>
  <c r="EB187" i="2"/>
  <c r="HH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G188" i="2" s="1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I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H189" i="2" s="1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A189" i="2" s="1"/>
  <c r="EY188" i="2"/>
  <c r="AX186" i="2"/>
  <c r="EB189" i="2" l="1"/>
  <c r="EV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HG190" i="2" s="1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EW190" i="2" s="1"/>
  <c r="FC190" i="2"/>
  <c r="EH190" i="2"/>
  <c r="FN190" i="2"/>
  <c r="FP190" i="2"/>
  <c r="ER190" i="2"/>
  <c r="DX190" i="2"/>
  <c r="CR190" i="2"/>
  <c r="ES190" i="2"/>
  <c r="EV190" i="2" s="1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HG191" i="2" s="1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H191" i="2" l="1"/>
  <c r="EW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HI192" i="2" s="1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C192" i="2" l="1"/>
  <c r="EW192" i="2"/>
  <c r="HG192" i="2"/>
  <c r="EA192" i="2"/>
  <c r="EV192" i="2"/>
  <c r="HH192" i="2"/>
  <c r="EB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A193" i="2" s="1"/>
  <c r="EU193" i="2"/>
  <c r="DY193" i="2"/>
  <c r="EB193" i="2" s="1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X193" i="2" l="1"/>
  <c r="FQ193" i="2"/>
  <c r="HI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HI194" i="2" s="1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AW194" i="2" l="1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EB195" i="2" s="1"/>
  <c r="DA195" i="2"/>
  <c r="BW195" i="2"/>
  <c r="EG195" i="2"/>
  <c r="DZ195" i="2"/>
  <c r="EH195" i="2"/>
  <c r="ER195" i="2"/>
  <c r="EX195" i="2" s="1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AA195" i="2" l="1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EW196" i="2"/>
  <c r="HG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EA197" i="2" s="1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A197" i="2" s="1"/>
  <c r="AX194" i="2"/>
  <c r="EW197" i="2" l="1"/>
  <c r="EC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V198" i="2" l="1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FS199" i="2" s="1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H199" i="2" l="1"/>
  <c r="EB199" i="2"/>
  <c r="HG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X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HG201" i="2" s="1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BC5" i="2" s="1" a="1"/>
  <c r="BC5" i="2" s="1"/>
  <c r="BD5" i="2" s="1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AH5" i="2" s="1" a="1"/>
  <c r="AH5" i="2" s="1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AH4" i="2" a="1"/>
  <c r="AH4" i="2" s="1"/>
  <c r="AI4" i="2" s="1"/>
  <c r="EI4" i="2" a="1"/>
  <c r="EI4" i="2" s="1"/>
  <c r="EJ4" i="2" s="1"/>
  <c r="AX198" i="2"/>
  <c r="EY200" i="2"/>
  <c r="ED200" i="2"/>
  <c r="DI200" i="2"/>
  <c r="EA201" i="2" l="1"/>
  <c r="EB201" i="2"/>
  <c r="HH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FZ6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EW202" i="2" s="1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HG202" i="2" l="1"/>
  <c r="FR202" i="2"/>
  <c r="EX202" i="2"/>
  <c r="HH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50" i="2" a="1"/>
  <c r="FY50" i="2" s="1"/>
  <c r="FY35" i="2" a="1"/>
  <c r="FY35" i="2" s="1"/>
  <c r="FY69" i="2" a="1"/>
  <c r="FY69" i="2" s="1"/>
  <c r="FY186" i="2" a="1"/>
  <c r="FY186" i="2" s="1"/>
  <c r="FY78" i="2" a="1"/>
  <c r="FY78" i="2" s="1"/>
  <c r="FY190" i="2" a="1"/>
  <c r="FY190" i="2" s="1"/>
  <c r="FY104" i="2" a="1"/>
  <c r="FY104" i="2" s="1"/>
  <c r="BC34" i="2" a="1"/>
  <c r="BC34" i="2" s="1"/>
  <c r="BC58" i="2" a="1"/>
  <c r="BC58" i="2" s="1"/>
  <c r="BC68" i="2" a="1"/>
  <c r="BC68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66" i="2" a="1"/>
  <c r="EI166" i="2" s="1"/>
  <c r="EI106" i="2" a="1"/>
  <c r="EI106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DN103" i="2" a="1"/>
  <c r="DN103" i="2" s="1"/>
  <c r="DN114" i="2" a="1"/>
  <c r="DN114" i="2" s="1"/>
  <c r="CS77" i="2" a="1"/>
  <c r="CS77" i="2" s="1"/>
  <c r="CS161" i="2" a="1"/>
  <c r="CS161" i="2" s="1"/>
  <c r="CS105" i="2" a="1"/>
  <c r="CS105" i="2" s="1"/>
  <c r="CS38" i="2" a="1"/>
  <c r="CS38" i="2" s="1"/>
  <c r="FY196" i="2" a="1"/>
  <c r="FY196" i="2" s="1"/>
  <c r="FY30" i="2" a="1"/>
  <c r="FY30" i="2" s="1"/>
  <c r="FY142" i="2" a="1"/>
  <c r="FY142" i="2" s="1"/>
  <c r="FD188" i="2" a="1"/>
  <c r="FD188" i="2" s="1"/>
  <c r="FD48" i="2" a="1"/>
  <c r="FD48" i="2" s="1"/>
  <c r="FD189" i="2" a="1"/>
  <c r="FD189" i="2" s="1"/>
  <c r="FD167" i="2" a="1"/>
  <c r="FD167" i="2" s="1"/>
  <c r="FD159" i="2" a="1"/>
  <c r="FD159" i="2" s="1"/>
  <c r="FD160" i="2" a="1"/>
  <c r="FD160" i="2" s="1"/>
  <c r="BC130" i="2" a="1"/>
  <c r="BC130" i="2" s="1"/>
  <c r="BC55" i="2" a="1"/>
  <c r="BC55" i="2" s="1"/>
  <c r="BC192" i="2" a="1"/>
  <c r="BC192" i="2" s="1"/>
  <c r="BC164" i="2" a="1"/>
  <c r="BC164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AH151" i="2" l="1" a="1"/>
  <c r="AH151" i="2" s="1"/>
  <c r="BC82" i="2" a="1"/>
  <c r="BC82" i="2" s="1"/>
  <c r="BC47" i="2" a="1"/>
  <c r="BC47" i="2" s="1"/>
  <c r="BC32" i="2" a="1"/>
  <c r="BC32" i="2" s="1"/>
  <c r="AH163" i="2" a="1"/>
  <c r="AH163" i="2" s="1"/>
  <c r="AH62" i="2" a="1"/>
  <c r="AH62" i="2" s="1"/>
  <c r="AH199" i="2" a="1"/>
  <c r="AH199" i="2" s="1"/>
  <c r="AH19" i="2" a="1"/>
  <c r="AH19" i="2" s="1"/>
  <c r="AH166" i="2" a="1"/>
  <c r="AH166" i="2" s="1"/>
  <c r="AH92" i="2" a="1"/>
  <c r="AH92" i="2" s="1"/>
  <c r="AH90" i="2" a="1"/>
  <c r="AH90" i="2" s="1"/>
  <c r="FD107" i="2" a="1"/>
  <c r="FD107" i="2" s="1"/>
  <c r="FD44" i="2" a="1"/>
  <c r="FD44" i="2" s="1"/>
  <c r="FY42" i="2" a="1"/>
  <c r="FY42" i="2" s="1"/>
  <c r="EI153" i="2" a="1"/>
  <c r="EI153" i="2" s="1"/>
  <c r="FY34" i="2" a="1"/>
  <c r="FY34" i="2" s="1"/>
  <c r="FY72" i="2" a="1"/>
  <c r="FY72" i="2" s="1"/>
  <c r="FY174" i="2" a="1"/>
  <c r="FY174" i="2" s="1"/>
  <c r="FY173" i="2" a="1"/>
  <c r="FY173" i="2" s="1"/>
  <c r="FY66" i="2" a="1"/>
  <c r="FY66" i="2" s="1"/>
  <c r="FY165" i="2" a="1"/>
  <c r="FY165" i="2" s="1"/>
  <c r="FY109" i="2" a="1"/>
  <c r="FY109" i="2" s="1"/>
  <c r="HG203" i="2"/>
  <c r="FY164" i="2" a="1"/>
  <c r="FY164" i="2" s="1"/>
  <c r="FY99" i="2" a="1"/>
  <c r="FY99" i="2" s="1"/>
  <c r="FY159" i="2" a="1"/>
  <c r="FY159" i="2" s="1"/>
  <c r="FY120" i="2" a="1"/>
  <c r="FY120" i="2" s="1"/>
  <c r="FY146" i="2" a="1"/>
  <c r="FY146" i="2" s="1"/>
  <c r="FY79" i="2" a="1"/>
  <c r="FY79" i="2" s="1"/>
  <c r="FD187" i="2" a="1"/>
  <c r="FD187" i="2" s="1"/>
  <c r="FD131" i="2" a="1"/>
  <c r="FD131" i="2" s="1"/>
  <c r="FD60" i="2" a="1"/>
  <c r="FD60" i="2" s="1"/>
  <c r="FY82" i="2" a="1"/>
  <c r="FY82" i="2" s="1"/>
  <c r="EI178" i="2" a="1"/>
  <c r="EI178" i="2" s="1"/>
  <c r="EI198" i="2" a="1"/>
  <c r="EI198" i="2" s="1"/>
  <c r="FY149" i="2" a="1"/>
  <c r="FY149" i="2" s="1"/>
  <c r="FY178" i="2" a="1"/>
  <c r="FY178" i="2" s="1"/>
  <c r="FY116" i="2" a="1"/>
  <c r="FY116" i="2" s="1"/>
  <c r="FY143" i="2" a="1"/>
  <c r="FY143" i="2" s="1"/>
  <c r="FY71" i="2" a="1"/>
  <c r="FY71" i="2" s="1"/>
  <c r="FY32" i="2" a="1"/>
  <c r="FY32" i="2" s="1"/>
  <c r="FY47" i="2" a="1"/>
  <c r="FY47" i="2" s="1"/>
  <c r="FD194" i="2" a="1"/>
  <c r="FD194" i="2" s="1"/>
  <c r="FD43" i="2" a="1"/>
  <c r="FD43" i="2" s="1"/>
  <c r="FY121" i="2" a="1"/>
  <c r="FY121" i="2" s="1"/>
  <c r="FY182" i="2" a="1"/>
  <c r="FY182" i="2" s="1"/>
  <c r="EI145" i="2" a="1"/>
  <c r="EI145" i="2" s="1"/>
  <c r="FD59" i="2" a="1"/>
  <c r="FD59" i="2" s="1"/>
  <c r="FY24" i="2" a="1"/>
  <c r="FY24" i="2" s="1"/>
  <c r="FY55" i="2" a="1"/>
  <c r="FY55" i="2" s="1"/>
  <c r="FY92" i="2" a="1"/>
  <c r="FY92" i="2" s="1"/>
  <c r="FY191" i="2" a="1"/>
  <c r="FY191" i="2" s="1"/>
  <c r="FY18" i="2" a="1"/>
  <c r="FY18" i="2" s="1"/>
  <c r="FY22" i="2" a="1"/>
  <c r="FY22" i="2" s="1"/>
  <c r="FR203" i="2"/>
  <c r="FD19" i="2" a="1"/>
  <c r="FD19" i="2" s="1"/>
  <c r="FD64" i="2" a="1"/>
  <c r="FD64" i="2" s="1"/>
  <c r="FY167" i="2" a="1"/>
  <c r="FY167" i="2" s="1"/>
  <c r="FY115" i="2" a="1"/>
  <c r="FY115" i="2" s="1"/>
  <c r="EI162" i="2" a="1"/>
  <c r="EI162" i="2" s="1"/>
  <c r="FD144" i="2" a="1"/>
  <c r="FD144" i="2" s="1"/>
  <c r="FY124" i="2" a="1"/>
  <c r="FY124" i="2" s="1"/>
  <c r="FY126" i="2" a="1"/>
  <c r="FY126" i="2" s="1"/>
  <c r="FY111" i="2" a="1"/>
  <c r="FY111" i="2" s="1"/>
  <c r="FY110" i="2" a="1"/>
  <c r="FY110" i="2" s="1"/>
  <c r="FY133" i="2" a="1"/>
  <c r="FY133" i="2" s="1"/>
  <c r="FY90" i="2" a="1"/>
  <c r="FY90" i="2" s="1"/>
  <c r="FY86" i="2" a="1"/>
  <c r="FY86" i="2" s="1"/>
  <c r="EI150" i="2" a="1"/>
  <c r="EI150" i="2" s="1"/>
  <c r="FD21" i="2" a="1"/>
  <c r="FD21" i="2" s="1"/>
  <c r="FY169" i="2" a="1"/>
  <c r="FY169" i="2" s="1"/>
  <c r="FY188" i="2" a="1"/>
  <c r="FY188" i="2" s="1"/>
  <c r="FY73" i="2" a="1"/>
  <c r="FY73" i="2" s="1"/>
  <c r="FY153" i="2" a="1"/>
  <c r="FY153" i="2" s="1"/>
  <c r="FY140" i="2" a="1"/>
  <c r="FY140" i="2" s="1"/>
  <c r="FY57" i="2" a="1"/>
  <c r="FY57" i="2" s="1"/>
  <c r="FD137" i="2" a="1"/>
  <c r="FD137" i="2" s="1"/>
  <c r="FD14" i="2" a="1"/>
  <c r="FD14" i="2" s="1"/>
  <c r="FY80" i="2" a="1"/>
  <c r="FY80" i="2" s="1"/>
  <c r="FY58" i="2" a="1"/>
  <c r="FY58" i="2" s="1"/>
  <c r="EI29" i="2" a="1"/>
  <c r="EI29" i="2" s="1"/>
  <c r="FY172" i="2" a="1"/>
  <c r="FY172" i="2" s="1"/>
  <c r="FY62" i="2" a="1"/>
  <c r="FY62" i="2" s="1"/>
  <c r="FY28" i="2" a="1"/>
  <c r="FY28" i="2" s="1"/>
  <c r="FY152" i="2" a="1"/>
  <c r="FY152" i="2" s="1"/>
  <c r="FY102" i="2" a="1"/>
  <c r="FY102" i="2" s="1"/>
  <c r="FY29" i="2" a="1"/>
  <c r="FY29" i="2" s="1"/>
  <c r="FY54" i="2" a="1"/>
  <c r="FY54" i="2" s="1"/>
  <c r="BP203" i="2"/>
  <c r="HH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Z8" i="2" s="1"/>
  <c r="FZ9" i="2" s="1"/>
  <c r="FZ10" i="2" s="1"/>
  <c r="FZ11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2" i="2" l="1"/>
  <c r="FZ13" i="2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J16" i="2" l="1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I176" i="2" l="1"/>
  <c r="BI76" i="2"/>
  <c r="BI26" i="2"/>
  <c r="BI47" i="2"/>
  <c r="BI10" i="2"/>
  <c r="BI177" i="2"/>
  <c r="BI84" i="2"/>
  <c r="BI108" i="2"/>
  <c r="BI203" i="2"/>
  <c r="BI74" i="2"/>
  <c r="BI9" i="2"/>
  <c r="BI202" i="2"/>
  <c r="BI61" i="2"/>
  <c r="BI77" i="2"/>
  <c r="BI193" i="2"/>
  <c r="BI30" i="2"/>
  <c r="BI23" i="2"/>
  <c r="BI123" i="2"/>
  <c r="BI128" i="2"/>
  <c r="BI180" i="2"/>
  <c r="BI122" i="2"/>
  <c r="BI35" i="2"/>
  <c r="BI156" i="2"/>
  <c r="BI134" i="2"/>
  <c r="BI116" i="2"/>
  <c r="BI199" i="2"/>
  <c r="BI149" i="2"/>
  <c r="BI186" i="2"/>
  <c r="BI135" i="2"/>
  <c r="BI7" i="2"/>
  <c r="BI178" i="2"/>
  <c r="BI91" i="2"/>
  <c r="BI192" i="2"/>
  <c r="BI67" i="2"/>
  <c r="BI31" i="2"/>
  <c r="BI71" i="2"/>
  <c r="BI140" i="2"/>
  <c r="BI73" i="2"/>
  <c r="BI25" i="2"/>
  <c r="BI48" i="2"/>
  <c r="BI101" i="2"/>
  <c r="BI200" i="2"/>
  <c r="BI131" i="2"/>
  <c r="BI87" i="2"/>
  <c r="BI82" i="2"/>
  <c r="BI159" i="2"/>
  <c r="BI165" i="2"/>
  <c r="BI59" i="2"/>
  <c r="BI143" i="2"/>
  <c r="BI34" i="2"/>
  <c r="BI42" i="2"/>
  <c r="BI198" i="2"/>
  <c r="BI57" i="2"/>
  <c r="BI189" i="2"/>
  <c r="BI164" i="2"/>
  <c r="BI113" i="2"/>
  <c r="BI174" i="2"/>
  <c r="BI79" i="2"/>
  <c r="BI33" i="2"/>
  <c r="BI41" i="2"/>
  <c r="BI188" i="2"/>
  <c r="BI154" i="2"/>
  <c r="BI197" i="2"/>
  <c r="BI141" i="2"/>
  <c r="BI161" i="2"/>
  <c r="BI169" i="2"/>
  <c r="BI160" i="2"/>
  <c r="BI27" i="2"/>
  <c r="BI152" i="2"/>
  <c r="BI63" i="2"/>
  <c r="BI118" i="2"/>
  <c r="BI170" i="2"/>
  <c r="BI39" i="2"/>
  <c r="BI129" i="2"/>
  <c r="BI142" i="2"/>
  <c r="BI102" i="2"/>
  <c r="BI103" i="2"/>
  <c r="BI145" i="2"/>
  <c r="BI32" i="2"/>
  <c r="BI126" i="2"/>
  <c r="BI133" i="2"/>
  <c r="BI86" i="2"/>
  <c r="BI166" i="2"/>
  <c r="BI6" i="2"/>
  <c r="BI60" i="2"/>
  <c r="BI53" i="2"/>
  <c r="BI147" i="2"/>
  <c r="BI69" i="2"/>
  <c r="BI190" i="2"/>
  <c r="BI109" i="2"/>
  <c r="BI105" i="2"/>
  <c r="BI114" i="2"/>
  <c r="BI52" i="2"/>
  <c r="BI65" i="2"/>
  <c r="BI51" i="2"/>
  <c r="BI93" i="2"/>
  <c r="BI100" i="2"/>
  <c r="BI130" i="2"/>
  <c r="BI158" i="2"/>
  <c r="BI92" i="2"/>
  <c r="BI115" i="2"/>
  <c r="BI64" i="2"/>
  <c r="BI38" i="2"/>
  <c r="BI13" i="2"/>
  <c r="BI56" i="2"/>
  <c r="BI153" i="2"/>
  <c r="BI28" i="2"/>
  <c r="BI50" i="2"/>
  <c r="BI138" i="2"/>
  <c r="BI157" i="2"/>
  <c r="BI173" i="2"/>
  <c r="BI183" i="2"/>
  <c r="BI168" i="2"/>
  <c r="BI16" i="2"/>
  <c r="BI36" i="2"/>
  <c r="BI43" i="2"/>
  <c r="BI20" i="2"/>
  <c r="BI37" i="2"/>
  <c r="BI83" i="2"/>
  <c r="BI88" i="2"/>
  <c r="BI70" i="2"/>
  <c r="BI139" i="2"/>
  <c r="BI181" i="2"/>
  <c r="BI94" i="2"/>
  <c r="BI155" i="2"/>
  <c r="BI15" i="2"/>
  <c r="BI137" i="2"/>
  <c r="BI55" i="2"/>
  <c r="BI4" i="2"/>
  <c r="BI175" i="2"/>
  <c r="BI191" i="2"/>
  <c r="BI68" i="2"/>
  <c r="BI17" i="2"/>
  <c r="BI148" i="2"/>
  <c r="BI136" i="2"/>
  <c r="BI185" i="2"/>
  <c r="BI80" i="2"/>
  <c r="BI90" i="2"/>
  <c r="BI124" i="2"/>
  <c r="BI112" i="2"/>
  <c r="BI5" i="2"/>
  <c r="BI19" i="2"/>
  <c r="BI45" i="2"/>
  <c r="BI98" i="2"/>
  <c r="BI106" i="2"/>
  <c r="BI163" i="2"/>
  <c r="BI119" i="2"/>
  <c r="BI12" i="2"/>
  <c r="BI111" i="2"/>
  <c r="BI182" i="2"/>
  <c r="BI121" i="2"/>
  <c r="BI195" i="2"/>
  <c r="BI171" i="2"/>
  <c r="BI99" i="2"/>
  <c r="BI104" i="2"/>
  <c r="BI196" i="2"/>
  <c r="BI3" i="2"/>
  <c r="C8" i="4" s="1"/>
  <c r="E8" i="4" s="1"/>
  <c r="F8" i="4" s="1"/>
  <c r="G8" i="4" s="1"/>
  <c r="L8" i="4" s="1"/>
  <c r="BI24" i="2"/>
  <c r="BI117" i="2"/>
  <c r="BI151" i="2"/>
  <c r="BI11" i="2"/>
  <c r="BI127" i="2"/>
  <c r="BI46" i="2"/>
  <c r="BI85" i="2"/>
  <c r="BI72" i="2"/>
  <c r="BI62" i="2"/>
  <c r="BI107" i="2"/>
  <c r="BI150" i="2"/>
  <c r="BI29" i="2"/>
  <c r="BI172" i="2"/>
  <c r="BI167" i="2"/>
  <c r="BI44" i="2"/>
  <c r="BI187" i="2"/>
  <c r="BI66" i="2"/>
  <c r="BI201" i="2"/>
  <c r="BI54" i="2"/>
  <c r="BI96" i="2"/>
  <c r="BI81" i="2"/>
  <c r="BI144" i="2"/>
  <c r="BI21" i="2"/>
  <c r="BI78" i="2"/>
  <c r="BI95" i="2"/>
  <c r="BI14" i="2"/>
  <c r="BI18" i="2"/>
  <c r="BI120" i="2"/>
  <c r="BI184" i="2"/>
  <c r="BI8" i="2"/>
  <c r="BI22" i="2"/>
  <c r="BI125" i="2"/>
  <c r="BI49" i="2"/>
  <c r="BI75" i="2"/>
  <c r="BI58" i="2"/>
  <c r="BI97" i="2"/>
  <c r="BI162" i="2"/>
  <c r="BI132" i="2"/>
  <c r="BI40" i="2"/>
  <c r="BI194" i="2"/>
  <c r="BI89" i="2"/>
  <c r="BI110" i="2"/>
  <c r="BI179" i="2"/>
  <c r="BI146" i="2"/>
  <c r="BF147" i="2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M16" i="4" s="1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<sst xmlns="http://schemas.openxmlformats.org/spreadsheetml/2006/main" count="1174" uniqueCount="326">
  <si>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</si>
  <si>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</si>
  <si>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</si>
  <si>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</si>
  <si>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</si>
  <si>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</si>
  <si>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</si>
  <si>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</si>
  <si>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</si>
  <si>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</si>
  <si>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</si>
  <si>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</si>
  <si>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</si>
  <si>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</si>
  <si>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</si>
  <si>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</si>
  <si>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</si>
  <si>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</si>
  <si>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</si>
  <si>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</si>
  <si>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</si>
  <si>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</si>
  <si>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</si>
  <si>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</si>
  <si>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</si>
  <si>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</si>
  <si>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</si>
  <si>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</si>
  <si>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</si>
  <si>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</si>
  <si>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</si>
  <si>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</si>
  <si>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</si>
  <si>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</si>
  <si>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</si>
  <si>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</si>
  <si>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</si>
  <si>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</si>
  <si>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</si>
  <si>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</si>
  <si>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</si>
  <si>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</si>
  <si>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</si>
  <si>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</si>
  <si>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</si>
  <si>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</si>
  <si>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</si>
  <si>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</si>
  <si>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</si>
  <si>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</si>
  <si>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</si>
  <si>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</si>
  <si>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</si>
  <si>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</si>
  <si>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</si>
  <si>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</si>
  <si>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</si>
  <si>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</si>
  <si>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</si>
  <si>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</si>
  <si>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</si>
  <si>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</si>
  <si>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</si>
  <si>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</si>
  <si>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</si>
  <si>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</si>
  <si>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</si>
  <si>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</si>
  <si>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</si>
  <si>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</si>
  <si>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</si>
  <si>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</si>
  <si>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</si>
  <si>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</si>
  <si>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</si>
  <si>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</si>
  <si>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</si>
  <si>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</si>
  <si>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</si>
  <si>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</si>
  <si>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</si>
  <si>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</si>
  <si>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</si>
  <si>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</si>
  <si>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</si>
  <si>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</si>
  <si>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</si>
  <si>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</si>
  <si>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</si>
  <si>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</si>
  <si>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</si>
  <si>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</si>
  <si>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</si>
  <si>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</si>
  <si>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</si>
  <si>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</si>
  <si>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</si>
  <si>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</si>
  <si>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</si>
  <si>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</si>
  <si>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</si>
  <si>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</si>
  <si>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</si>
  <si>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</si>
  <si>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</si>
  <si>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</si>
  <si>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</si>
  <si>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</si>
  <si>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</si>
  <si>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</si>
  <si>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</si>
  <si>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</si>
  <si>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</si>
  <si>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</si>
  <si>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</si>
  <si>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</si>
  <si>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</si>
  <si>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</si>
  <si>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</si>
  <si>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</si>
  <si>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</si>
  <si>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</si>
  <si>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</si>
  <si>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</si>
  <si>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</si>
  <si>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</si>
  <si>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</si>
  <si>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</si>
  <si>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</si>
  <si>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</si>
  <si>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</si>
  <si>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</si>
  <si>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</si>
  <si>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</si>
  <si>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</si>
  <si>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</si>
  <si>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</si>
  <si>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</si>
  <si>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</si>
  <si>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</si>
  <si>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</si>
  <si>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</si>
  <si>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</si>
  <si>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</si>
  <si>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</si>
  <si>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</si>
  <si>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</si>
  <si>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</si>
  <si>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</si>
  <si>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</si>
  <si>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</si>
  <si>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</si>
  <si>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</si>
  <si>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</si>
  <si>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</si>
  <si>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</si>
  <si>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</si>
  <si>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</si>
  <si>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</si>
  <si>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</si>
  <si>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</si>
  <si>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</si>
  <si>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</si>
  <si>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</si>
  <si>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</si>
  <si>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</si>
  <si>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</si>
  <si>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</si>
  <si>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</si>
  <si>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</si>
  <si>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</si>
  <si>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</si>
  <si>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</si>
  <si>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</si>
  <si>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</si>
  <si>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</si>
  <si>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</si>
  <si>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</si>
  <si>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</si>
  <si>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</si>
  <si>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</si>
  <si>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</si>
  <si>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</si>
  <si>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</si>
  <si>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</si>
  <si>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</si>
  <si>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</si>
  <si>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</si>
  <si>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</si>
  <si>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</si>
  <si>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</si>
  <si>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</si>
  <si>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</si>
  <si>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</si>
  <si>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</si>
  <si>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</si>
  <si>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</si>
  <si>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</si>
  <si>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</si>
  <si>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</si>
  <si>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</si>
  <si>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</si>
  <si>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</si>
  <si>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</si>
  <si>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</si>
  <si>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</si>
  <si>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</si>
  <si>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</si>
  <si>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</si>
  <si>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</si>
  <si>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</si>
  <si>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</si>
  <si>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</si>
  <si>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</si>
  <si>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</si>
  <si>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</si>
  <si>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</si>
  <si>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</si>
  <si>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</si>
  <si>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</si>
  <si>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</si>
  <si>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</si>
  <si>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</si>
  <si>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</si>
  <si>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</si>
  <si>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</si>
  <si>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</si>
  <si>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</si>
  <si>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</si>
  <si>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</si>
  <si>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</si>
  <si>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</si>
  <si>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</si>
  <si>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</si>
  <si>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</si>
  <si>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</si>
  <si>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</si>
  <si>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</si>
  <si>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</si>
  <si>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</si>
  <si>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</si>
  <si>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</si>
  <si>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</si>
  <si>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</si>
  <si>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</si>
  <si>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</si>
  <si>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</si>
  <si>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</si>
  <si>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</si>
  <si>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</si>
  <si>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</si>
  <si>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</si>
  <si>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</si>
  <si>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</si>
  <si>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</si>
  <si>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</si>
  <si>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</si>
  <si>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</si>
  <si>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</si>
  <si>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</si>
  <si>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</si>
  <si>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</si>
  <si>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</si>
  <si>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</si>
  <si>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</si>
  <si>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</si>
  <si>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</si>
  <si>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</si>
  <si>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</si>
  <si>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</si>
  <si>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</si>
  <si>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</si>
  <si>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</si>
  <si>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</si>
  <si>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</si>
  <si>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</si>
  <si>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</si>
  <si>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</si>
  <si>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</si>
  <si>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</si>
  <si>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</si>
  <si>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</si>
  <si>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</si>
  <si>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</si>
  <si>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</si>
  <si>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</si>
  <si>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</si>
  <si>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</si>
  <si>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</si>
  <si>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</si>
  <si>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</si>
  <si>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</si>
  <si>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</si>
  <si>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</si>
  <si>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</si>
  <si>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</si>
  <si>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</si>
  <si>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</si>
  <si>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</si>
  <si>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</si>
  <si>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</si>
  <si>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</si>
  <si>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</si>
  <si>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</si>
  <si>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</si>
  <si>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</si>
  <si>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</si>
  <si>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</si>
  <si>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</si>
  <si>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</si>
  <si>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</si>
  <si>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</si>
  <si>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</si>
  <si>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</si>
  <si>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</si>
  <si>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</si>
  <si>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</si>
  <si>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</si>
  <si>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</si>
  <si>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</si>
  <si>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</si>
  <si>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</si>
  <si>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</si>
  <si>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</si>
  <si>
    <t>ONF F3</t>
  </si>
  <si>
    <t>ONF F2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</si>
</sst>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04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1.704104346396196</c:v>
                </c:pt>
                <c:pt idx="2">
                  <c:v>1.997817795745559</c:v>
                </c:pt>
                <c:pt idx="3">
                  <c:v>2.3423437898460904</c:v>
                </c:pt>
                <c:pt idx="4">
                  <c:v>2.7465039154767976</c:v>
                </c:pt>
                <c:pt idx="5">
                  <c:v>3.2206563398501058</c:v>
                </c:pt>
                <c:pt idx="6">
                  <c:v>3.7769642820306903</c:v>
                </c:pt>
                <c:pt idx="7">
                  <c:v>4.4297115252434045</c:v>
                </c:pt>
                <c:pt idx="8">
                  <c:v>5.1956732340483649</c:v>
                </c:pt>
                <c:pt idx="9">
                  <c:v>6.0945517956288251</c:v>
                </c:pt>
                <c:pt idx="10">
                  <c:v>7.1494891165339531</c:v>
                </c:pt>
                <c:pt idx="11">
                  <c:v>8.387668820559627</c:v>
                </c:pt>
                <c:pt idx="12">
                  <c:v>9.8410241634967992</c:v>
                </c:pt>
                <c:pt idx="13">
                  <c:v>11.547070269162338</c:v>
                </c:pt>
                <c:pt idx="14">
                  <c:v>13.549882572539316</c:v>
                </c:pt>
                <c:pt idx="15">
                  <c:v>15.901247217213713</c:v>
                </c:pt>
                <c:pt idx="16">
                  <c:v>18.66201369829005</c:v>
                </c:pt>
                <c:pt idx="17">
                  <c:v>21.903685389498751</c:v>
                </c:pt>
                <c:pt idx="18">
                  <c:v>25.710289886620075</c:v>
                </c:pt>
                <c:pt idx="19">
                  <c:v>30.180578506247247</c:v>
                </c:pt>
                <c:pt idx="20">
                  <c:v>35.430612996644278</c:v>
                </c:pt>
                <c:pt idx="21">
                  <c:v>41.596807778404155</c:v>
                </c:pt>
                <c:pt idx="22">
                  <c:v>48.839508110420148</c:v>
                </c:pt>
                <c:pt idx="23">
                  <c:v>57.347198793584305</c:v>
                </c:pt>
                <c:pt idx="24">
                  <c:v>67.341454760093711</c:v>
                </c:pt>
                <c:pt idx="25">
                  <c:v>79.082764597166076</c:v>
                </c:pt>
                <c:pt idx="26">
                  <c:v>92.877381246640297</c:v>
                </c:pt>
                <c:pt idx="27">
                  <c:v>109.08538142620021</c:v>
                </c:pt>
                <c:pt idx="28">
                  <c:v>128.13014746383186</c:v>
                </c:pt>
                <c:pt idx="29">
                  <c:v>150.50952308441916</c:v>
                </c:pt>
                <c:pt idx="30">
                  <c:v>176.80893924881809</c:v>
                </c:pt>
                <c:pt idx="31">
                  <c:v>207.71685861415708</c:v>
                </c:pt>
                <c:pt idx="32">
                  <c:v>244.04294896453294</c:v>
                </c:pt>
                <c:pt idx="33">
                  <c:v>286.73946870873027</c:v>
                </c:pt>
                <c:pt idx="34">
                  <c:v>336.92643320563343</c:v>
                </c:pt>
                <c:pt idx="35">
                  <c:v>240.78735345126222</c:v>
                </c:pt>
                <c:pt idx="36">
                  <c:v>257.96333045729415</c:v>
                </c:pt>
                <c:pt idx="37">
                  <c:v>275.1134597941047</c:v>
                </c:pt>
                <c:pt idx="38">
                  <c:v>292.23957938710726</c:v>
                </c:pt>
                <c:pt idx="39">
                  <c:v>309.34329411618654</c:v>
                </c:pt>
                <c:pt idx="40">
                  <c:v>326.42601688873862</c:v>
                </c:pt>
                <c:pt idx="41">
                  <c:v>343.48900065871186</c:v>
                </c:pt>
                <c:pt idx="42">
                  <c:v>360.53336374718884</c:v>
                </c:pt>
                <c:pt idx="43">
                  <c:v>377.56011012264042</c:v>
                </c:pt>
                <c:pt idx="44">
                  <c:v>306.70823919022098</c:v>
                </c:pt>
                <c:pt idx="45">
                  <c:v>322.35313713324871</c:v>
                </c:pt>
                <c:pt idx="46">
                  <c:v>337.98124879382232</c:v>
                </c:pt>
                <c:pt idx="47">
                  <c:v>353.59345956749917</c:v>
                </c:pt>
                <c:pt idx="48">
                  <c:v>369.19057028530955</c:v>
                </c:pt>
                <c:pt idx="49">
                  <c:v>384.77330859662766</c:v>
                </c:pt>
                <c:pt idx="50">
                  <c:v>400.34233841146147</c:v>
                </c:pt>
                <c:pt idx="51">
                  <c:v>415.89826779710933</c:v>
                </c:pt>
                <c:pt idx="52">
                  <c:v>431.44165563170139</c:v>
                </c:pt>
                <c:pt idx="53">
                  <c:v>372.80538436041343</c:v>
                </c:pt>
                <c:pt idx="54">
                  <c:v>387.06090729775877</c:v>
                </c:pt>
                <c:pt idx="55">
                  <c:v>401.30503173226475</c:v>
                </c:pt>
                <c:pt idx="56">
                  <c:v>415.53821919739977</c:v>
                </c:pt>
                <c:pt idx="57">
                  <c:v>429.76089703282014</c:v>
                </c:pt>
                <c:pt idx="58">
                  <c:v>443.97346198917921</c:v>
                </c:pt>
                <c:pt idx="59">
                  <c:v>458.17628334730517</c:v>
                </c:pt>
                <c:pt idx="60">
                  <c:v>472.36970563050181</c:v>
                </c:pt>
                <c:pt idx="61">
                  <c:v>486.55405097392025</c:v>
                </c:pt>
                <c:pt idx="62">
                  <c:v>500.7296212032972</c:v>
                </c:pt>
                <c:pt idx="63">
                  <c:v>434.91319488591353</c:v>
                </c:pt>
                <c:pt idx="64">
                  <c:v>447.39421813300993</c:v>
                </c:pt>
                <c:pt idx="65">
                  <c:v>459.86779019414934</c:v>
                </c:pt>
                <c:pt idx="66">
                  <c:v>472.33414164874415</c:v>
                </c:pt>
                <c:pt idx="67">
                  <c:v>484.79348991278385</c:v>
                </c:pt>
                <c:pt idx="68">
                  <c:v>497.24604031644066</c:v>
                </c:pt>
                <c:pt idx="69">
                  <c:v>509.69198706812244</c:v>
                </c:pt>
                <c:pt idx="70">
                  <c:v>522.13151411947536</c:v>
                </c:pt>
                <c:pt idx="71">
                  <c:v>534.56479594367818</c:v>
                </c:pt>
                <c:pt idx="72">
                  <c:v>546.99199823757579</c:v>
                </c:pt>
                <c:pt idx="73">
                  <c:v>481.49454017018076</c:v>
                </c:pt>
                <c:pt idx="74">
                  <c:v>491.99206122262177</c:v>
                </c:pt>
                <c:pt idx="75">
                  <c:v>502.48483400372714</c:v>
                </c:pt>
                <c:pt idx="76">
                  <c:v>512.97297164905785</c:v>
                </c:pt>
                <c:pt idx="77">
                  <c:v>523.45658229038543</c:v>
                </c:pt>
                <c:pt idx="78">
                  <c:v>533.93576937491866</c:v>
                </c:pt>
                <c:pt idx="79">
                  <c:v>544.41063195816992</c:v>
                </c:pt>
                <c:pt idx="80">
                  <c:v>554.88126497310884</c:v>
                </c:pt>
                <c:pt idx="81">
                  <c:v>565.34775947794776</c:v>
                </c:pt>
                <c:pt idx="82">
                  <c:v>575.81020288462628</c:v>
                </c:pt>
                <c:pt idx="83">
                  <c:v>586.26867916982792</c:v>
                </c:pt>
                <c:pt idx="84">
                  <c:v>596.72326907015974</c:v>
                </c:pt>
                <c:pt idx="85">
                  <c:v>522.21156041997722</c:v>
                </c:pt>
                <c:pt idx="86">
                  <c:v>530.65835138372609</c:v>
                </c:pt>
                <c:pt idx="87">
                  <c:v>539.10231337329117</c:v>
                </c:pt>
                <c:pt idx="88">
                  <c:v>547.54349695513713</c:v>
                </c:pt>
                <c:pt idx="89">
                  <c:v>555.98195100920418</c:v>
                </c:pt>
                <c:pt idx="90">
                  <c:v>564.41772281045303</c:v>
                </c:pt>
                <c:pt idx="91">
                  <c:v>572.85085810528494</c:v>
                </c:pt>
                <c:pt idx="92">
                  <c:v>581.28140118322233</c:v>
                </c:pt>
                <c:pt idx="93">
                  <c:v>589.70939494422078</c:v>
                </c:pt>
                <c:pt idx="94">
                  <c:v>598.13488096192737</c:v>
                </c:pt>
                <c:pt idx="95">
                  <c:v>606.55789954319505</c:v>
                </c:pt>
                <c:pt idx="96">
                  <c:v>614.9784897841156</c:v>
                </c:pt>
                <c:pt idx="97">
                  <c:v>533.79388152894137</c:v>
                </c:pt>
                <c:pt idx="98">
                  <c:v>540.42038354683268</c:v>
                </c:pt>
                <c:pt idx="99">
                  <c:v>547.04517897913945</c:v>
                </c:pt>
                <c:pt idx="100">
                  <c:v>553.66829141515575</c:v>
                </c:pt>
                <c:pt idx="101">
                  <c:v>560.28974383359127</c:v>
                </c:pt>
                <c:pt idx="102">
                  <c:v>566.90955862556223</c:v>
                </c:pt>
                <c:pt idx="103">
                  <c:v>573.52775761645341</c:v>
                </c:pt>
                <c:pt idx="104">
                  <c:v>580.14436208671611</c:v>
                </c:pt>
                <c:pt idx="105">
                  <c:v>586.75939279167244</c:v>
                </c:pt>
                <c:pt idx="106">
                  <c:v>593.37286998037405</c:v>
                </c:pt>
                <c:pt idx="107">
                  <c:v>599.98481341358115</c:v>
                </c:pt>
                <c:pt idx="108">
                  <c:v>606.59524238090523</c:v>
                </c:pt>
                <c:pt idx="109">
                  <c:v>534.6885499642093</c:v>
                </c:pt>
                <c:pt idx="110">
                  <c:v>539.83326946006639</c:v>
                </c:pt>
                <c:pt idx="111">
                  <c:v>544.9769589919714</c:v>
                </c:pt>
                <c:pt idx="112">
                  <c:v>550.11962965760983</c:v>
                </c:pt>
                <c:pt idx="113">
                  <c:v>555.26129233014706</c:v>
                </c:pt>
                <c:pt idx="114">
                  <c:v>560.40195766485374</c:v>
                </c:pt>
                <c:pt idx="115">
                  <c:v>565.54163610547505</c:v>
                </c:pt>
                <c:pt idx="116">
                  <c:v>570.68033789035644</c:v>
                </c:pt>
                <c:pt idx="117">
                  <c:v>575.81807305833763</c:v>
                </c:pt>
                <c:pt idx="118">
                  <c:v>580.95485145442512</c:v>
                </c:pt>
                <c:pt idx="119">
                  <c:v>586.09068273525281</c:v>
                </c:pt>
                <c:pt idx="120">
                  <c:v>591.22557637434227</c:v>
                </c:pt>
                <c:pt idx="121">
                  <c:v>2.6741562174905032E-12</c:v>
                </c:pt>
                <c:pt idx="122">
                  <c:v>2.6741562174905032E-12</c:v>
                </c:pt>
                <c:pt idx="123">
                  <c:v>2.6741562174905032E-12</c:v>
                </c:pt>
                <c:pt idx="124">
                  <c:v>2.6741562174905032E-12</c:v>
                </c:pt>
                <c:pt idx="125">
                  <c:v>2.6741562174905032E-12</c:v>
                </c:pt>
                <c:pt idx="126">
                  <c:v>2.6741562174905032E-12</c:v>
                </c:pt>
                <c:pt idx="127">
                  <c:v>2.6741562174905032E-12</c:v>
                </c:pt>
                <c:pt idx="128">
                  <c:v>2.6741562174905032E-12</c:v>
                </c:pt>
                <c:pt idx="129">
                  <c:v>2.6741562174905032E-12</c:v>
                </c:pt>
                <c:pt idx="130">
                  <c:v>2.6741562174905032E-12</c:v>
                </c:pt>
                <c:pt idx="131">
                  <c:v>2.6741562174905032E-12</c:v>
                </c:pt>
                <c:pt idx="132">
                  <c:v>2.6741562174905032E-12</c:v>
                </c:pt>
                <c:pt idx="133">
                  <c:v>2.6741562174905032E-12</c:v>
                </c:pt>
                <c:pt idx="134">
                  <c:v>2.6741562174905032E-12</c:v>
                </c:pt>
                <c:pt idx="135">
                  <c:v>2.6741562174905032E-12</c:v>
                </c:pt>
                <c:pt idx="136">
                  <c:v>2.6741562174905032E-12</c:v>
                </c:pt>
                <c:pt idx="137">
                  <c:v>2.6741562174905032E-12</c:v>
                </c:pt>
                <c:pt idx="138">
                  <c:v>2.6741562174905032E-12</c:v>
                </c:pt>
                <c:pt idx="139">
                  <c:v>2.6741562174905032E-12</c:v>
                </c:pt>
                <c:pt idx="140">
                  <c:v>2.6741562174905032E-12</c:v>
                </c:pt>
                <c:pt idx="141">
                  <c:v>2.6741562174905032E-12</c:v>
                </c:pt>
                <c:pt idx="142">
                  <c:v>2.6741562174905032E-12</c:v>
                </c:pt>
                <c:pt idx="143">
                  <c:v>2.6741562174905032E-12</c:v>
                </c:pt>
                <c:pt idx="144">
                  <c:v>2.6741562174905032E-12</c:v>
                </c:pt>
                <c:pt idx="145">
                  <c:v>2.6741562174905032E-12</c:v>
                </c:pt>
                <c:pt idx="146">
                  <c:v>2.6741562174905032E-12</c:v>
                </c:pt>
                <c:pt idx="147">
                  <c:v>2.6741562174905032E-12</c:v>
                </c:pt>
                <c:pt idx="148">
                  <c:v>2.6741562174905032E-12</c:v>
                </c:pt>
                <c:pt idx="149">
                  <c:v>2.6741562174905032E-12</c:v>
                </c:pt>
                <c:pt idx="150">
                  <c:v>2.6741562174905032E-12</c:v>
                </c:pt>
                <c:pt idx="151">
                  <c:v>2.6741562174905032E-12</c:v>
                </c:pt>
                <c:pt idx="152">
                  <c:v>2.6741562174905032E-12</c:v>
                </c:pt>
                <c:pt idx="153">
                  <c:v>2.6741562174905032E-12</c:v>
                </c:pt>
                <c:pt idx="154">
                  <c:v>2.6741562174905032E-12</c:v>
                </c:pt>
                <c:pt idx="155">
                  <c:v>2.6741562174905032E-12</c:v>
                </c:pt>
                <c:pt idx="156">
                  <c:v>2.6741562174905032E-12</c:v>
                </c:pt>
                <c:pt idx="157">
                  <c:v>2.6741562174905032E-12</c:v>
                </c:pt>
                <c:pt idx="158">
                  <c:v>2.6741562174905032E-12</c:v>
                </c:pt>
                <c:pt idx="159">
                  <c:v>2.6741562174905032E-12</c:v>
                </c:pt>
                <c:pt idx="160">
                  <c:v>2.6741562174905032E-12</c:v>
                </c:pt>
                <c:pt idx="161">
                  <c:v>2.6741562174905032E-12</c:v>
                </c:pt>
                <c:pt idx="162">
                  <c:v>2.6741562174905032E-12</c:v>
                </c:pt>
                <c:pt idx="163">
                  <c:v>2.6741562174905032E-12</c:v>
                </c:pt>
                <c:pt idx="164">
                  <c:v>2.6741562174905032E-12</c:v>
                </c:pt>
                <c:pt idx="165">
                  <c:v>2.6741562174905032E-12</c:v>
                </c:pt>
                <c:pt idx="166">
                  <c:v>2.6741562174905032E-12</c:v>
                </c:pt>
                <c:pt idx="167">
                  <c:v>2.6741562174905032E-12</c:v>
                </c:pt>
                <c:pt idx="168">
                  <c:v>2.6741562174905032E-12</c:v>
                </c:pt>
                <c:pt idx="169">
                  <c:v>2.6741562174905032E-12</c:v>
                </c:pt>
                <c:pt idx="170">
                  <c:v>2.6741562174905032E-12</c:v>
                </c:pt>
                <c:pt idx="171">
                  <c:v>2.6741562174905032E-12</c:v>
                </c:pt>
                <c:pt idx="172">
                  <c:v>2.6741562174905032E-12</c:v>
                </c:pt>
                <c:pt idx="173">
                  <c:v>2.6741562174905032E-12</c:v>
                </c:pt>
                <c:pt idx="174">
                  <c:v>2.6741562174905032E-12</c:v>
                </c:pt>
                <c:pt idx="175">
                  <c:v>2.6741562174905032E-12</c:v>
                </c:pt>
                <c:pt idx="176">
                  <c:v>2.6741562174905032E-12</c:v>
                </c:pt>
                <c:pt idx="177">
                  <c:v>2.6741562174905032E-12</c:v>
                </c:pt>
                <c:pt idx="178">
                  <c:v>2.6741562174905032E-12</c:v>
                </c:pt>
                <c:pt idx="179">
                  <c:v>2.6741562174905032E-12</c:v>
                </c:pt>
                <c:pt idx="180">
                  <c:v>2.6741562174905032E-12</c:v>
                </c:pt>
                <c:pt idx="181">
                  <c:v>2.6741562174905032E-12</c:v>
                </c:pt>
                <c:pt idx="182">
                  <c:v>2.6741562174905032E-12</c:v>
                </c:pt>
                <c:pt idx="183">
                  <c:v>2.6741562174905032E-12</c:v>
                </c:pt>
                <c:pt idx="184">
                  <c:v>2.6741562174905032E-12</c:v>
                </c:pt>
                <c:pt idx="185">
                  <c:v>2.6741562174905032E-12</c:v>
                </c:pt>
                <c:pt idx="186">
                  <c:v>2.6741562174905032E-12</c:v>
                </c:pt>
                <c:pt idx="187">
                  <c:v>2.6741562174905032E-12</c:v>
                </c:pt>
                <c:pt idx="188">
                  <c:v>2.6741562174905032E-12</c:v>
                </c:pt>
                <c:pt idx="189">
                  <c:v>2.6741562174905032E-12</c:v>
                </c:pt>
                <c:pt idx="190">
                  <c:v>2.6741562174905032E-12</c:v>
                </c:pt>
                <c:pt idx="191">
                  <c:v>2.6741562174905032E-12</c:v>
                </c:pt>
                <c:pt idx="192">
                  <c:v>2.6741562174905032E-12</c:v>
                </c:pt>
                <c:pt idx="193">
                  <c:v>2.6741562174905032E-12</c:v>
                </c:pt>
                <c:pt idx="194">
                  <c:v>2.6741562174905032E-12</c:v>
                </c:pt>
                <c:pt idx="195">
                  <c:v>2.6741562174905032E-12</c:v>
                </c:pt>
                <c:pt idx="196">
                  <c:v>2.6741562174905032E-12</c:v>
                </c:pt>
                <c:pt idx="197">
                  <c:v>2.6741562174905032E-12</c:v>
                </c:pt>
                <c:pt idx="198">
                  <c:v>2.6741562174905032E-12</c:v>
                </c:pt>
                <c:pt idx="199">
                  <c:v>2.6741562174905032E-12</c:v>
                </c:pt>
                <c:pt idx="200">
                  <c:v>2.6741562174905032E-12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2.0795372090593456</c:v>
                </c:pt>
                <c:pt idx="2">
                  <c:v>2.6767360435395098</c:v>
                </c:pt>
                <c:pt idx="3">
                  <c:v>3.4461288787733699</c:v>
                </c:pt>
                <c:pt idx="4">
                  <c:v>4.4375534869622877</c:v>
                </c:pt>
                <c:pt idx="5">
                  <c:v>5.7153230288444377</c:v>
                </c:pt>
                <c:pt idx="6">
                  <c:v>7.3624441813975059</c:v>
                </c:pt>
                <c:pt idx="7">
                  <c:v>9.4860681256370967</c:v>
                </c:pt>
                <c:pt idx="8">
                  <c:v>12.224535721998178</c:v>
                </c:pt>
                <c:pt idx="9">
                  <c:v>15.75648436384756</c:v>
                </c:pt>
                <c:pt idx="10">
                  <c:v>20.312621425545984</c:v>
                </c:pt>
                <c:pt idx="11">
                  <c:v>26.1909471351813</c:v>
                </c:pt>
                <c:pt idx="12">
                  <c:v>33.776440055750776</c:v>
                </c:pt>
                <c:pt idx="13">
                  <c:v>43.566516638901568</c:v>
                </c:pt>
                <c:pt idx="14">
                  <c:v>56.203962590623313</c:v>
                </c:pt>
                <c:pt idx="15">
                  <c:v>72.519534065863823</c:v>
                </c:pt>
                <c:pt idx="16">
                  <c:v>93.587074695597963</c:v>
                </c:pt>
                <c:pt idx="17">
                  <c:v>120.79483383419057</c:v>
                </c:pt>
                <c:pt idx="18">
                  <c:v>155.93775882820458</c:v>
                </c:pt>
                <c:pt idx="19">
                  <c:v>153.22371186614836</c:v>
                </c:pt>
                <c:pt idx="20">
                  <c:v>177.61148225294494</c:v>
                </c:pt>
                <c:pt idx="21">
                  <c:v>201.92063702336623</c:v>
                </c:pt>
                <c:pt idx="22">
                  <c:v>188.42454454363443</c:v>
                </c:pt>
                <c:pt idx="23">
                  <c:v>210.0081668012941</c:v>
                </c:pt>
                <c:pt idx="24">
                  <c:v>231.54060536306486</c:v>
                </c:pt>
                <c:pt idx="25">
                  <c:v>211.57989792897527</c:v>
                </c:pt>
                <c:pt idx="26">
                  <c:v>230.64436776020281</c:v>
                </c:pt>
                <c:pt idx="27">
                  <c:v>249.67282178538531</c:v>
                </c:pt>
                <c:pt idx="28">
                  <c:v>268.6683907698814</c:v>
                </c:pt>
                <c:pt idx="29">
                  <c:v>287.63372643257628</c:v>
                </c:pt>
                <c:pt idx="30">
                  <c:v>306.57110217476503</c:v>
                </c:pt>
                <c:pt idx="31">
                  <c:v>252.80368978904474</c:v>
                </c:pt>
                <c:pt idx="32">
                  <c:v>270.00808353321963</c:v>
                </c:pt>
                <c:pt idx="33">
                  <c:v>287.18781271272866</c:v>
                </c:pt>
                <c:pt idx="34">
                  <c:v>304.34456023906205</c:v>
                </c:pt>
                <c:pt idx="35">
                  <c:v>321.47980377066716</c:v>
                </c:pt>
                <c:pt idx="36">
                  <c:v>338.5948505822164</c:v>
                </c:pt>
                <c:pt idx="37">
                  <c:v>271.12437982914275</c:v>
                </c:pt>
                <c:pt idx="38">
                  <c:v>286.51891307475506</c:v>
                </c:pt>
                <c:pt idx="39">
                  <c:v>301.89494535388923</c:v>
                </c:pt>
                <c:pt idx="40">
                  <c:v>317.25355162035777</c:v>
                </c:pt>
                <c:pt idx="41">
                  <c:v>332.59569423900763</c:v>
                </c:pt>
                <c:pt idx="42">
                  <c:v>347.92223953697521</c:v>
                </c:pt>
                <c:pt idx="43">
                  <c:v>272.68702100091008</c:v>
                </c:pt>
                <c:pt idx="44">
                  <c:v>286.96485004460743</c:v>
                </c:pt>
                <c:pt idx="45">
                  <c:v>301.22679191692959</c:v>
                </c:pt>
                <c:pt idx="46">
                  <c:v>315.47370483249205</c:v>
                </c:pt>
                <c:pt idx="47">
                  <c:v>329.70636314748066</c:v>
                </c:pt>
                <c:pt idx="48">
                  <c:v>343.92546889640715</c:v>
                </c:pt>
                <c:pt idx="49">
                  <c:v>270.11971783077774</c:v>
                </c:pt>
                <c:pt idx="50">
                  <c:v>283.1738887162237</c:v>
                </c:pt>
                <c:pt idx="51">
                  <c:v>296.21458319381429</c:v>
                </c:pt>
                <c:pt idx="52">
                  <c:v>309.24247828757859</c:v>
                </c:pt>
                <c:pt idx="53">
                  <c:v>322.25818930207646</c:v>
                </c:pt>
                <c:pt idx="54">
                  <c:v>335.2622777674473</c:v>
                </c:pt>
                <c:pt idx="55">
                  <c:v>348.25525808679203</c:v>
                </c:pt>
                <c:pt idx="56">
                  <c:v>361.2376031393249</c:v>
                </c:pt>
                <c:pt idx="57">
                  <c:v>374.20974903573409</c:v>
                </c:pt>
                <c:pt idx="58">
                  <c:v>387.17209917956257</c:v>
                </c:pt>
                <c:pt idx="59">
                  <c:v>400.12502775620351</c:v>
                </c:pt>
                <c:pt idx="60">
                  <c:v>413.06888274647389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11.022921945714486</c:v>
                </c:pt>
                <c:pt idx="2">
                  <c:v>21.569775337000863</c:v>
                </c:pt>
                <c:pt idx="3">
                  <c:v>31.962882482353482</c:v>
                </c:pt>
                <c:pt idx="4">
                  <c:v>42.261216864432001</c:v>
                </c:pt>
                <c:pt idx="5">
                  <c:v>52.491507198856389</c:v>
                </c:pt>
                <c:pt idx="6">
                  <c:v>62.669000660971285</c:v>
                </c:pt>
                <c:pt idx="7">
                  <c:v>72.803526515180806</c:v>
                </c:pt>
                <c:pt idx="8">
                  <c:v>82.901931232201505</c:v>
                </c:pt>
                <c:pt idx="9">
                  <c:v>92.96924705510412</c:v>
                </c:pt>
                <c:pt idx="10">
                  <c:v>103.0093223469003</c:v>
                </c:pt>
                <c:pt idx="11">
                  <c:v>113.02519125910277</c:v>
                </c:pt>
                <c:pt idx="12">
                  <c:v>123.01930463768576</c:v>
                </c:pt>
                <c:pt idx="13">
                  <c:v>132.99368156136481</c:v>
                </c:pt>
                <c:pt idx="14">
                  <c:v>142.95001283572014</c:v>
                </c:pt>
                <c:pt idx="15">
                  <c:v>152.8897340356751</c:v>
                </c:pt>
                <c:pt idx="16">
                  <c:v>162.81407849721657</c:v>
                </c:pt>
                <c:pt idx="17">
                  <c:v>172.72411667578595</c:v>
                </c:pt>
                <c:pt idx="18">
                  <c:v>182.62078597667798</c:v>
                </c:pt>
                <c:pt idx="19">
                  <c:v>192.50491376641401</c:v>
                </c:pt>
                <c:pt idx="20">
                  <c:v>202.37723540141405</c:v>
                </c:pt>
                <c:pt idx="21">
                  <c:v>212.23840854846472</c:v>
                </c:pt>
                <c:pt idx="22">
                  <c:v>222.08902470019424</c:v>
                </c:pt>
                <c:pt idx="23">
                  <c:v>231.92961853763973</c:v>
                </c:pt>
                <c:pt idx="24">
                  <c:v>241.76067561859728</c:v>
                </c:pt>
                <c:pt idx="25">
                  <c:v>251.58263874847276</c:v>
                </c:pt>
                <c:pt idx="26">
                  <c:v>261.39591330310378</c:v>
                </c:pt>
                <c:pt idx="27">
                  <c:v>271.20087170965184</c:v>
                </c:pt>
                <c:pt idx="28">
                  <c:v>280.99785724499856</c:v>
                </c:pt>
                <c:pt idx="29">
                  <c:v>290.78718727626364</c:v>
                </c:pt>
                <c:pt idx="30">
                  <c:v>300.56915604179892</c:v>
                </c:pt>
                <c:pt idx="31">
                  <c:v>310.34403705096628</c:v>
                </c:pt>
                <c:pt idx="32">
                  <c:v>320.1120851655682</c:v>
                </c:pt>
                <c:pt idx="33">
                  <c:v>329.87353841379132</c:v>
                </c:pt>
                <c:pt idx="34">
                  <c:v>339.62861957809957</c:v>
                </c:pt>
                <c:pt idx="35">
                  <c:v>349.37753759106778</c:v>
                </c:pt>
                <c:pt idx="36">
                  <c:v>359.12048876720706</c:v>
                </c:pt>
                <c:pt idx="37">
                  <c:v>368.85765789407247</c:v>
                </c:pt>
                <c:pt idx="38">
                  <c:v>378.58921920209747</c:v>
                </c:pt>
                <c:pt idx="39">
                  <c:v>388.31533722946671</c:v>
                </c:pt>
                <c:pt idx="40">
                  <c:v>398.03616759578972</c:v>
                </c:pt>
                <c:pt idx="41">
                  <c:v>407.75185769622823</c:v>
                </c:pt>
                <c:pt idx="42">
                  <c:v>417.46254732599772</c:v>
                </c:pt>
                <c:pt idx="43">
                  <c:v>427.16836924371643</c:v>
                </c:pt>
                <c:pt idx="44">
                  <c:v>436.86944968087437</c:v>
                </c:pt>
                <c:pt idx="45">
                  <c:v>446.56590880368054</c:v>
                </c:pt>
                <c:pt idx="46">
                  <c:v>456.2578611326997</c:v>
                </c:pt>
                <c:pt idx="47">
                  <c:v>465.94541592496972</c:v>
                </c:pt>
                <c:pt idx="48">
                  <c:v>475.62867752268113</c:v>
                </c:pt>
                <c:pt idx="49">
                  <c:v>485.30774567197881</c:v>
                </c:pt>
                <c:pt idx="50">
                  <c:v>494.98271581500495</c:v>
                </c:pt>
                <c:pt idx="51">
                  <c:v>504.65367935791875</c:v>
                </c:pt>
                <c:pt idx="52">
                  <c:v>514.32072391729992</c:v>
                </c:pt>
                <c:pt idx="53">
                  <c:v>523.98393354706366</c:v>
                </c:pt>
                <c:pt idx="54">
                  <c:v>533.64338894776483</c:v>
                </c:pt>
                <c:pt idx="55">
                  <c:v>543.29916765995983</c:v>
                </c:pt>
                <c:pt idx="56">
                  <c:v>552.95134424310788</c:v>
                </c:pt>
                <c:pt idx="57">
                  <c:v>562.59999044133144</c:v>
                </c:pt>
                <c:pt idx="58">
                  <c:v>313.15901462446647</c:v>
                </c:pt>
                <c:pt idx="59">
                  <c:v>333.37016293478251</c:v>
                </c:pt>
                <c:pt idx="60">
                  <c:v>353.55431248111205</c:v>
                </c:pt>
                <c:pt idx="61">
                  <c:v>373.71322064496036</c:v>
                </c:pt>
                <c:pt idx="62">
                  <c:v>393.84843980378497</c:v>
                </c:pt>
                <c:pt idx="63">
                  <c:v>413.96135071964676</c:v>
                </c:pt>
                <c:pt idx="64">
                  <c:v>434.05318909906981</c:v>
                </c:pt>
                <c:pt idx="65">
                  <c:v>454.12506697846646</c:v>
                </c:pt>
                <c:pt idx="66">
                  <c:v>474.17799013187573</c:v>
                </c:pt>
                <c:pt idx="67">
                  <c:v>353.15556162606208</c:v>
                </c:pt>
                <c:pt idx="68">
                  <c:v>372.9410608652168</c:v>
                </c:pt>
                <c:pt idx="69">
                  <c:v>392.70368859796127</c:v>
                </c:pt>
                <c:pt idx="70">
                  <c:v>412.44475712652587</c:v>
                </c:pt>
                <c:pt idx="71">
                  <c:v>432.16544293806578</c:v>
                </c:pt>
                <c:pt idx="72">
                  <c:v>451.86680644393624</c:v>
                </c:pt>
                <c:pt idx="73">
                  <c:v>471.54980809722161</c:v>
                </c:pt>
                <c:pt idx="74">
                  <c:v>491.21532167944696</c:v>
                </c:pt>
                <c:pt idx="75">
                  <c:v>510.86414534931674</c:v>
                </c:pt>
                <c:pt idx="76">
                  <c:v>397.77942220736014</c:v>
                </c:pt>
                <c:pt idx="77">
                  <c:v>416.73673129165627</c:v>
                </c:pt>
                <c:pt idx="78">
                  <c:v>435.67545665291277</c:v>
                </c:pt>
                <c:pt idx="79">
                  <c:v>454.59651935340895</c:v>
                </c:pt>
                <c:pt idx="80">
                  <c:v>473.50075756936286</c:v>
                </c:pt>
                <c:pt idx="81">
                  <c:v>492.38893712893508</c:v>
                </c:pt>
                <c:pt idx="82">
                  <c:v>511.26176034949043</c:v>
                </c:pt>
                <c:pt idx="83">
                  <c:v>530.11987350248683</c:v>
                </c:pt>
                <c:pt idx="84">
                  <c:v>548.96387316130676</c:v>
                </c:pt>
                <c:pt idx="85">
                  <c:v>448.94649320784362</c:v>
                </c:pt>
                <c:pt idx="86">
                  <c:v>467.00838189349179</c:v>
                </c:pt>
                <c:pt idx="87">
                  <c:v>485.05538670764457</c:v>
                </c:pt>
                <c:pt idx="88">
                  <c:v>503.08813905548283</c:v>
                </c:pt>
                <c:pt idx="89">
                  <c:v>521.10722141246958</c:v>
                </c:pt>
                <c:pt idx="90">
                  <c:v>539.11317271151017</c:v>
                </c:pt>
                <c:pt idx="91">
                  <c:v>557.10649297326029</c:v>
                </c:pt>
                <c:pt idx="92">
                  <c:v>575.08764730740131</c:v>
                </c:pt>
                <c:pt idx="93">
                  <c:v>593.05706938772175</c:v>
                </c:pt>
                <c:pt idx="94">
                  <c:v>487.79816569346821</c:v>
                </c:pt>
                <c:pt idx="95">
                  <c:v>504.62658372968235</c:v>
                </c:pt>
                <c:pt idx="96">
                  <c:v>521.44313643080113</c:v>
                </c:pt>
                <c:pt idx="97">
                  <c:v>538.24826012898905</c:v>
                </c:pt>
                <c:pt idx="98">
                  <c:v>555.04236170359593</c:v>
                </c:pt>
                <c:pt idx="99">
                  <c:v>571.82582141856528</c:v>
                </c:pt>
                <c:pt idx="100">
                  <c:v>588.59899540955666</c:v>
                </c:pt>
                <c:pt idx="101">
                  <c:v>605.36221787297757</c:v>
                </c:pt>
                <c:pt idx="102">
                  <c:v>622.11580300007529</c:v>
                </c:pt>
                <c:pt idx="103">
                  <c:v>638.86004669198417</c:v>
                </c:pt>
                <c:pt idx="104">
                  <c:v>655.59522808574116</c:v>
                </c:pt>
                <c:pt idx="105">
                  <c:v>672.32161091649061</c:v>
                </c:pt>
                <c:pt idx="106">
                  <c:v>536.0193121811385</c:v>
                </c:pt>
                <c:pt idx="107">
                  <c:v>551.33981949005295</c:v>
                </c:pt>
                <c:pt idx="108">
                  <c:v>566.65140487060228</c:v>
                </c:pt>
                <c:pt idx="109">
                  <c:v>581.95434324031635</c:v>
                </c:pt>
                <c:pt idx="110">
                  <c:v>597.2488938870938</c:v>
                </c:pt>
                <c:pt idx="111">
                  <c:v>612.53530174353966</c:v>
                </c:pt>
                <c:pt idx="112">
                  <c:v>627.81379852754765</c:v>
                </c:pt>
                <c:pt idx="113">
                  <c:v>643.08460376614528</c:v>
                </c:pt>
                <c:pt idx="114">
                  <c:v>658.34792571708965</c:v>
                </c:pt>
                <c:pt idx="115">
                  <c:v>673.60396220061159</c:v>
                </c:pt>
                <c:pt idx="116">
                  <c:v>688.85290135193964</c:v>
                </c:pt>
                <c:pt idx="117">
                  <c:v>704.09492230377691</c:v>
                </c:pt>
                <c:pt idx="118">
                  <c:v>584.29116991114904</c:v>
                </c:pt>
                <c:pt idx="119">
                  <c:v>598.19943835010224</c:v>
                </c:pt>
                <c:pt idx="120">
                  <c:v>612.10098480775684</c:v>
                </c:pt>
                <c:pt idx="121">
                  <c:v>625.99598338533099</c:v>
                </c:pt>
                <c:pt idx="122">
                  <c:v>639.8845998288034</c:v>
                </c:pt>
                <c:pt idx="123">
                  <c:v>653.76699210630261</c:v>
                </c:pt>
                <c:pt idx="124">
                  <c:v>667.64331093392855</c:v>
                </c:pt>
                <c:pt idx="125">
                  <c:v>681.5137002556138</c:v>
                </c:pt>
                <c:pt idx="126">
                  <c:v>695.37829768191443</c:v>
                </c:pt>
                <c:pt idx="127">
                  <c:v>709.23723489200802</c:v>
                </c:pt>
                <c:pt idx="128">
                  <c:v>723.09063800265938</c:v>
                </c:pt>
                <c:pt idx="129">
                  <c:v>736.93862790746232</c:v>
                </c:pt>
                <c:pt idx="130">
                  <c:v>490.13214910831761</c:v>
                </c:pt>
                <c:pt idx="131">
                  <c:v>502.29586180590962</c:v>
                </c:pt>
                <c:pt idx="132">
                  <c:v>514.45334323804366</c:v>
                </c:pt>
                <c:pt idx="133">
                  <c:v>526.60476139435877</c:v>
                </c:pt>
                <c:pt idx="134">
                  <c:v>538.75027588067985</c:v>
                </c:pt>
                <c:pt idx="135">
                  <c:v>361.07056275163495</c:v>
                </c:pt>
                <c:pt idx="136">
                  <c:v>370.90645592232516</c:v>
                </c:pt>
                <c:pt idx="137">
                  <c:v>380.73666173818418</c:v>
                </c:pt>
                <c:pt idx="138">
                  <c:v>390.56134780867916</c:v>
                </c:pt>
                <c:pt idx="139">
                  <c:v>400.38067261909356</c:v>
                </c:pt>
                <c:pt idx="140">
                  <c:v>246.10170558957336</c:v>
                </c:pt>
                <c:pt idx="141">
                  <c:v>253.5471413853551</c:v>
                </c:pt>
                <c:pt idx="142">
                  <c:v>260.98762657708357</c:v>
                </c:pt>
                <c:pt idx="143">
                  <c:v>268.42332237956549</c:v>
                </c:pt>
                <c:pt idx="144">
                  <c:v>1.2478387515390925E-11</c:v>
                </c:pt>
                <c:pt idx="145">
                  <c:v>1.2478387515390925E-11</c:v>
                </c:pt>
                <c:pt idx="146">
                  <c:v>1.2478387515390925E-11</c:v>
                </c:pt>
                <c:pt idx="147">
                  <c:v>1.2478387515390925E-11</c:v>
                </c:pt>
                <c:pt idx="148">
                  <c:v>1.2478387515390925E-11</c:v>
                </c:pt>
                <c:pt idx="149">
                  <c:v>1.2478387515390925E-11</c:v>
                </c:pt>
                <c:pt idx="150">
                  <c:v>1.2478387515390925E-11</c:v>
                </c:pt>
                <c:pt idx="151">
                  <c:v>1.2478387515390925E-11</c:v>
                </c:pt>
                <c:pt idx="152">
                  <c:v>1.2478387515390925E-11</c:v>
                </c:pt>
                <c:pt idx="153">
                  <c:v>1.2478387515390925E-11</c:v>
                </c:pt>
                <c:pt idx="154">
                  <c:v>1.2478387515390925E-11</c:v>
                </c:pt>
                <c:pt idx="155">
                  <c:v>1.2478387515390925E-11</c:v>
                </c:pt>
                <c:pt idx="156">
                  <c:v>1.2478387515390925E-11</c:v>
                </c:pt>
                <c:pt idx="157">
                  <c:v>1.2478387515390925E-11</c:v>
                </c:pt>
                <c:pt idx="158">
                  <c:v>1.2478387515390925E-11</c:v>
                </c:pt>
                <c:pt idx="159">
                  <c:v>1.2478387515390925E-11</c:v>
                </c:pt>
                <c:pt idx="160">
                  <c:v>1.2478387515390925E-11</c:v>
                </c:pt>
                <c:pt idx="161">
                  <c:v>1.2478387515390925E-11</c:v>
                </c:pt>
                <c:pt idx="162">
                  <c:v>1.2478387515390925E-11</c:v>
                </c:pt>
                <c:pt idx="163">
                  <c:v>1.2478387515390925E-11</c:v>
                </c:pt>
                <c:pt idx="164">
                  <c:v>1.2478387515390925E-11</c:v>
                </c:pt>
                <c:pt idx="165">
                  <c:v>1.2478387515390925E-11</c:v>
                </c:pt>
                <c:pt idx="166">
                  <c:v>1.2478387515390925E-11</c:v>
                </c:pt>
                <c:pt idx="167">
                  <c:v>1.2478387515390925E-11</c:v>
                </c:pt>
                <c:pt idx="168">
                  <c:v>1.2478387515390925E-11</c:v>
                </c:pt>
                <c:pt idx="169">
                  <c:v>1.2478387515390925E-11</c:v>
                </c:pt>
                <c:pt idx="170">
                  <c:v>1.2478387515390925E-11</c:v>
                </c:pt>
                <c:pt idx="171">
                  <c:v>1.2478387515390925E-11</c:v>
                </c:pt>
                <c:pt idx="172">
                  <c:v>1.2478387515390925E-11</c:v>
                </c:pt>
                <c:pt idx="173">
                  <c:v>1.2478387515390925E-11</c:v>
                </c:pt>
                <c:pt idx="174">
                  <c:v>1.2478387515390925E-11</c:v>
                </c:pt>
                <c:pt idx="175">
                  <c:v>1.2478387515390925E-11</c:v>
                </c:pt>
                <c:pt idx="176">
                  <c:v>1.2478387515390925E-11</c:v>
                </c:pt>
                <c:pt idx="177">
                  <c:v>1.2478387515390925E-11</c:v>
                </c:pt>
                <c:pt idx="178">
                  <c:v>1.2478387515390925E-11</c:v>
                </c:pt>
                <c:pt idx="179">
                  <c:v>1.2478387515390925E-11</c:v>
                </c:pt>
                <c:pt idx="180">
                  <c:v>1.2478387515390925E-11</c:v>
                </c:pt>
                <c:pt idx="181">
                  <c:v>1.2478387515390925E-11</c:v>
                </c:pt>
                <c:pt idx="182">
                  <c:v>1.2478387515390925E-11</c:v>
                </c:pt>
                <c:pt idx="183">
                  <c:v>1.2478387515390925E-11</c:v>
                </c:pt>
                <c:pt idx="184">
                  <c:v>1.2478387515390925E-11</c:v>
                </c:pt>
                <c:pt idx="185">
                  <c:v>1.2478387515390925E-11</c:v>
                </c:pt>
                <c:pt idx="186">
                  <c:v>1.2478387515390925E-11</c:v>
                </c:pt>
                <c:pt idx="187">
                  <c:v>1.2478387515390925E-11</c:v>
                </c:pt>
                <c:pt idx="188">
                  <c:v>1.2478387515390925E-11</c:v>
                </c:pt>
                <c:pt idx="189">
                  <c:v>1.2478387515390925E-11</c:v>
                </c:pt>
                <c:pt idx="190">
                  <c:v>1.2478387515390925E-11</c:v>
                </c:pt>
                <c:pt idx="191">
                  <c:v>1.2478387515390925E-11</c:v>
                </c:pt>
                <c:pt idx="192">
                  <c:v>1.2478387515390925E-11</c:v>
                </c:pt>
                <c:pt idx="193">
                  <c:v>1.2478387515390925E-11</c:v>
                </c:pt>
                <c:pt idx="194">
                  <c:v>1.2478387515390925E-11</c:v>
                </c:pt>
                <c:pt idx="195">
                  <c:v>1.2478387515390925E-11</c:v>
                </c:pt>
                <c:pt idx="196">
                  <c:v>1.2478387515390925E-11</c:v>
                </c:pt>
                <c:pt idx="197">
                  <c:v>1.2478387515390925E-11</c:v>
                </c:pt>
                <c:pt idx="198">
                  <c:v>1.2478387515390925E-11</c:v>
                </c:pt>
                <c:pt idx="199">
                  <c:v>1.2478387515390925E-11</c:v>
                </c:pt>
                <c:pt idx="200">
                  <c:v>1.2478387515390925E-11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topLeftCell="A10" zoomScale="80" zoomScaleNormal="80" workbookViewId="0">
      <selection activeCell="B18" sqref="B18:M31"/>
    </sheetView>
  </sheetViews>
  <sheetFormatPr baseColWidth="10" defaultRowHeight="14.25" x14ac:dyDescent="0.45"/>
  <cols>
    <col min="1" max="1" width="6.6640625" customWidth="1"/>
    <col min="2" max="13" width="15.86328125" customWidth="1"/>
  </cols>
  <sheetData>
    <row r="12" spans="2:13" ht="15" customHeight="1" x14ac:dyDescent="0.45">
      <c r="B12" s="257" t="s">
        <v>291</v>
      </c>
      <c r="C12" s="257"/>
      <c r="D12" s="257"/>
      <c r="E12" s="257"/>
      <c r="F12" s="257"/>
      <c r="G12" s="257"/>
      <c r="H12" s="257"/>
      <c r="I12" s="257"/>
      <c r="J12" s="257"/>
      <c r="K12" s="257"/>
      <c r="L12" s="257"/>
      <c r="M12" s="257"/>
    </row>
    <row r="13" spans="2:13" ht="15" customHeight="1" x14ac:dyDescent="0.45">
      <c r="B13" s="257"/>
      <c r="C13" s="257"/>
      <c r="D13" s="257"/>
      <c r="E13" s="257"/>
      <c r="F13" s="257"/>
      <c r="G13" s="257"/>
      <c r="H13" s="257"/>
      <c r="I13" s="257"/>
      <c r="J13" s="257"/>
      <c r="K13" s="257"/>
      <c r="L13" s="257"/>
      <c r="M13" s="257"/>
    </row>
    <row r="14" spans="2:13" ht="15" customHeight="1" x14ac:dyDescent="0.45">
      <c r="B14" s="257"/>
      <c r="C14" s="257"/>
      <c r="D14" s="257"/>
      <c r="E14" s="257"/>
      <c r="F14" s="257"/>
      <c r="G14" s="257"/>
      <c r="H14" s="257"/>
      <c r="I14" s="257"/>
      <c r="J14" s="257"/>
      <c r="K14" s="257"/>
      <c r="L14" s="257"/>
      <c r="M14" s="257"/>
    </row>
    <row r="15" spans="2:13" ht="18.75" customHeight="1" x14ac:dyDescent="0.45">
      <c r="B15" s="257"/>
      <c r="C15" s="257"/>
      <c r="D15" s="257"/>
      <c r="E15" s="257"/>
      <c r="F15" s="257"/>
      <c r="G15" s="257"/>
      <c r="H15" s="257"/>
      <c r="I15" s="257"/>
      <c r="J15" s="257"/>
      <c r="K15" s="257"/>
      <c r="L15" s="257"/>
      <c r="M15" s="257"/>
    </row>
    <row r="16" spans="2:13" ht="18.75" customHeight="1" x14ac:dyDescent="0.45">
      <c r="B16" s="257"/>
      <c r="C16" s="257"/>
      <c r="D16" s="257"/>
      <c r="E16" s="257"/>
      <c r="F16" s="257"/>
      <c r="G16" s="257"/>
      <c r="H16" s="257"/>
      <c r="I16" s="257"/>
      <c r="J16" s="257"/>
      <c r="K16" s="257"/>
      <c r="L16" s="257"/>
      <c r="M16" s="257"/>
    </row>
    <row r="18" spans="2:13" ht="12" customHeight="1" x14ac:dyDescent="0.45">
      <c r="B18" s="257" t="s">
        <v>292</v>
      </c>
      <c r="C18" s="257"/>
      <c r="D18" s="257"/>
      <c r="E18" s="257"/>
      <c r="F18" s="257"/>
      <c r="G18" s="257"/>
      <c r="H18" s="257"/>
      <c r="I18" s="257"/>
      <c r="J18" s="257"/>
      <c r="K18" s="257"/>
      <c r="L18" s="257"/>
      <c r="M18" s="257"/>
    </row>
    <row r="19" spans="2:13" ht="12" customHeight="1" x14ac:dyDescent="0.45">
      <c r="B19" s="257"/>
      <c r="C19" s="257"/>
      <c r="D19" s="257"/>
      <c r="E19" s="257"/>
      <c r="F19" s="257"/>
      <c r="G19" s="257"/>
      <c r="H19" s="257"/>
      <c r="I19" s="257"/>
      <c r="J19" s="257"/>
      <c r="K19" s="257"/>
      <c r="L19" s="257"/>
      <c r="M19" s="257"/>
    </row>
    <row r="20" spans="2:13" ht="12" customHeight="1" x14ac:dyDescent="0.45">
      <c r="B20" s="257"/>
      <c r="C20" s="257"/>
      <c r="D20" s="257"/>
      <c r="E20" s="257"/>
      <c r="F20" s="257"/>
      <c r="G20" s="257"/>
      <c r="H20" s="257"/>
      <c r="I20" s="257"/>
      <c r="J20" s="257"/>
      <c r="K20" s="257"/>
      <c r="L20" s="257"/>
      <c r="M20" s="257"/>
    </row>
    <row r="21" spans="2:13" ht="12" customHeight="1" x14ac:dyDescent="0.45">
      <c r="B21" s="257"/>
      <c r="C21" s="257"/>
      <c r="D21" s="257"/>
      <c r="E21" s="257"/>
      <c r="F21" s="257"/>
      <c r="G21" s="257"/>
      <c r="H21" s="257"/>
      <c r="I21" s="257"/>
      <c r="J21" s="257"/>
      <c r="K21" s="257"/>
      <c r="L21" s="257"/>
      <c r="M21" s="257"/>
    </row>
    <row r="22" spans="2:13" ht="12" customHeight="1" x14ac:dyDescent="0.45">
      <c r="B22" s="257"/>
      <c r="C22" s="257"/>
      <c r="D22" s="257"/>
      <c r="E22" s="257"/>
      <c r="F22" s="257"/>
      <c r="G22" s="257"/>
      <c r="H22" s="257"/>
      <c r="I22" s="257"/>
      <c r="J22" s="257"/>
      <c r="K22" s="257"/>
      <c r="L22" s="257"/>
      <c r="M22" s="257"/>
    </row>
    <row r="23" spans="2:13" ht="12" customHeight="1" x14ac:dyDescent="0.45">
      <c r="B23" s="257"/>
      <c r="C23" s="257"/>
      <c r="D23" s="257"/>
      <c r="E23" s="257"/>
      <c r="F23" s="257"/>
      <c r="G23" s="257"/>
      <c r="H23" s="257"/>
      <c r="I23" s="257"/>
      <c r="J23" s="257"/>
      <c r="K23" s="257"/>
      <c r="L23" s="257"/>
      <c r="M23" s="257"/>
    </row>
    <row r="24" spans="2:13" ht="12" customHeight="1" x14ac:dyDescent="0.45">
      <c r="B24" s="257"/>
      <c r="C24" s="257"/>
      <c r="D24" s="257"/>
      <c r="E24" s="257"/>
      <c r="F24" s="257"/>
      <c r="G24" s="257"/>
      <c r="H24" s="257"/>
      <c r="I24" s="257"/>
      <c r="J24" s="257"/>
      <c r="K24" s="257"/>
      <c r="L24" s="257"/>
      <c r="M24" s="257"/>
    </row>
    <row r="25" spans="2:13" ht="12" customHeight="1" x14ac:dyDescent="0.45">
      <c r="B25" s="257"/>
      <c r="C25" s="257"/>
      <c r="D25" s="257"/>
      <c r="E25" s="257"/>
      <c r="F25" s="257"/>
      <c r="G25" s="257"/>
      <c r="H25" s="257"/>
      <c r="I25" s="257"/>
      <c r="J25" s="257"/>
      <c r="K25" s="257"/>
      <c r="L25" s="257"/>
      <c r="M25" s="257"/>
    </row>
    <row r="26" spans="2:13" ht="12" customHeight="1" x14ac:dyDescent="0.45">
      <c r="B26" s="257"/>
      <c r="C26" s="257"/>
      <c r="D26" s="257"/>
      <c r="E26" s="257"/>
      <c r="F26" s="257"/>
      <c r="G26" s="257"/>
      <c r="H26" s="257"/>
      <c r="I26" s="257"/>
      <c r="J26" s="257"/>
      <c r="K26" s="257"/>
      <c r="L26" s="257"/>
      <c r="M26" s="257"/>
    </row>
    <row r="27" spans="2:13" ht="12" customHeight="1" x14ac:dyDescent="0.45">
      <c r="B27" s="257"/>
      <c r="C27" s="257"/>
      <c r="D27" s="257"/>
      <c r="E27" s="257"/>
      <c r="F27" s="257"/>
      <c r="G27" s="257"/>
      <c r="H27" s="257"/>
      <c r="I27" s="257"/>
      <c r="J27" s="257"/>
      <c r="K27" s="257"/>
      <c r="L27" s="257"/>
      <c r="M27" s="257"/>
    </row>
    <row r="28" spans="2:13" ht="12" customHeight="1" x14ac:dyDescent="0.45">
      <c r="B28" s="257"/>
      <c r="C28" s="257"/>
      <c r="D28" s="257"/>
      <c r="E28" s="257"/>
      <c r="F28" s="257"/>
      <c r="G28" s="257"/>
      <c r="H28" s="257"/>
      <c r="I28" s="257"/>
      <c r="J28" s="257"/>
      <c r="K28" s="257"/>
      <c r="L28" s="257"/>
      <c r="M28" s="257"/>
    </row>
    <row r="29" spans="2:13" ht="12" customHeight="1" x14ac:dyDescent="0.45">
      <c r="B29" s="257"/>
      <c r="C29" s="257"/>
      <c r="D29" s="257"/>
      <c r="E29" s="257"/>
      <c r="F29" s="257"/>
      <c r="G29" s="257"/>
      <c r="H29" s="257"/>
      <c r="I29" s="257"/>
      <c r="J29" s="257"/>
      <c r="K29" s="257"/>
      <c r="L29" s="257"/>
      <c r="M29" s="257"/>
    </row>
    <row r="30" spans="2:13" ht="12" customHeight="1" x14ac:dyDescent="0.45">
      <c r="B30" s="257"/>
      <c r="C30" s="257"/>
      <c r="D30" s="257"/>
      <c r="E30" s="257"/>
      <c r="F30" s="257"/>
      <c r="G30" s="257"/>
      <c r="H30" s="257"/>
      <c r="I30" s="257"/>
      <c r="J30" s="257"/>
      <c r="K30" s="257"/>
      <c r="L30" s="257"/>
      <c r="M30" s="257"/>
    </row>
    <row r="31" spans="2:13" ht="12" customHeight="1" x14ac:dyDescent="0.45">
      <c r="B31" s="257"/>
      <c r="C31" s="257"/>
      <c r="D31" s="257"/>
      <c r="E31" s="257"/>
      <c r="F31" s="257"/>
      <c r="G31" s="257"/>
      <c r="H31" s="257"/>
      <c r="I31" s="257"/>
      <c r="J31" s="257"/>
      <c r="K31" s="257"/>
      <c r="L31" s="257"/>
      <c r="M31" s="257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abSelected="1" topLeftCell="A5" zoomScale="115" zoomScaleNormal="115" workbookViewId="0">
      <selection activeCell="J22" sqref="J22"/>
    </sheetView>
  </sheetViews>
  <sheetFormatPr baseColWidth="10" defaultColWidth="11.46484375" defaultRowHeight="14.25" x14ac:dyDescent="0.45"/>
  <cols>
    <col min="1" max="1" width="13.6640625" style="23" customWidth="1"/>
    <col min="2" max="2" width="36.1328125" style="23" customWidth="1"/>
    <col min="3" max="3" width="14.86328125" style="23" bestFit="1" customWidth="1"/>
    <col min="4" max="4" width="16.46484375" style="23" customWidth="1"/>
    <col min="5" max="5" width="23.33203125" style="23" customWidth="1"/>
    <col min="6" max="6" width="28.86328125" style="23" bestFit="1" customWidth="1"/>
    <col min="7" max="8" width="14.6640625" style="23" customWidth="1"/>
    <col min="9" max="9" width="17" style="23" customWidth="1"/>
    <col min="10" max="10" width="13.86328125" style="23" customWidth="1"/>
    <col min="11" max="16384" width="11.46484375" style="23"/>
  </cols>
  <sheetData>
    <row r="1" spans="1:38" x14ac:dyDescent="0.45">
      <c r="A1" s="4"/>
      <c r="B1" s="4"/>
      <c r="C1" s="262" t="s">
        <v>190</v>
      </c>
      <c r="D1" s="262"/>
      <c r="E1" s="262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4.65" thickBot="1" x14ac:dyDescent="0.5">
      <c r="A2" s="4"/>
      <c r="B2" s="4"/>
      <c r="C2" s="4"/>
      <c r="D2" s="4"/>
      <c r="E2" s="4"/>
      <c r="F2" s="4"/>
      <c r="G2" s="4"/>
      <c r="H2" s="4"/>
      <c r="I2" s="211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5.9" thickBot="1" x14ac:dyDescent="0.5">
      <c r="A3" s="4"/>
      <c r="B3" s="263" t="s">
        <v>192</v>
      </c>
      <c r="C3" s="264"/>
      <c r="D3" s="264"/>
      <c r="E3" s="264"/>
      <c r="F3" s="265"/>
      <c r="G3" s="89"/>
      <c r="I3" s="211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5.5" x14ac:dyDescent="0.45">
      <c r="A4" s="90"/>
      <c r="B4" s="90"/>
      <c r="C4" s="90"/>
      <c r="D4" s="90"/>
      <c r="E4" s="90"/>
      <c r="F4" s="90"/>
      <c r="G4" s="218"/>
      <c r="I4" s="211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5.5" x14ac:dyDescent="0.45">
      <c r="A5" s="268" t="s">
        <v>231</v>
      </c>
      <c r="B5" s="268"/>
      <c r="C5" s="24">
        <v>1.84</v>
      </c>
      <c r="D5" s="269" t="s">
        <v>229</v>
      </c>
      <c r="E5" s="270"/>
      <c r="F5" s="90"/>
      <c r="G5" s="218"/>
      <c r="H5" s="218"/>
      <c r="I5" s="218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45">
      <c r="A6" s="91"/>
      <c r="B6" s="91"/>
      <c r="C6" s="4"/>
      <c r="D6" s="86"/>
      <c r="E6" s="86"/>
      <c r="F6" s="26"/>
      <c r="G6" s="205"/>
      <c r="H6" s="205"/>
      <c r="I6" s="205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5.5" x14ac:dyDescent="0.45">
      <c r="A7" s="267" t="s">
        <v>226</v>
      </c>
      <c r="B7" s="267"/>
      <c r="C7" s="90"/>
      <c r="D7" s="90"/>
      <c r="E7" s="4"/>
      <c r="F7" s="90"/>
      <c r="G7" s="218"/>
      <c r="H7" s="218"/>
      <c r="I7" s="218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45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I8" s="225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45">
      <c r="A9" s="30" t="s">
        <v>165</v>
      </c>
      <c r="B9" s="31" t="s">
        <v>18</v>
      </c>
      <c r="C9" s="32">
        <v>0.54</v>
      </c>
      <c r="D9" s="33">
        <f t="shared" ref="D9:D18" si="0">C9*$C$5</f>
        <v>0.99360000000000015</v>
      </c>
      <c r="E9" s="34">
        <v>120</v>
      </c>
      <c r="F9" s="35" t="str">
        <f t="array" ref="F9">IF(E9="","",IF(INDEX(A:A,MAX(IF(ISNUMBER($A$36:$A$55),ROW($A$36:$A$55),"")))&lt;&gt;E9,"Corrigez : révolution incorrecte","OK"))</f>
        <v>OK</v>
      </c>
      <c r="G9" s="228" t="s">
        <v>306</v>
      </c>
      <c r="I9" s="226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45">
      <c r="A10" s="30" t="s">
        <v>166</v>
      </c>
      <c r="B10" s="31" t="s">
        <v>27</v>
      </c>
      <c r="C10" s="32">
        <v>0.23</v>
      </c>
      <c r="D10" s="33">
        <f t="shared" si="0"/>
        <v>0.42320000000000002</v>
      </c>
      <c r="E10" s="34">
        <v>60</v>
      </c>
      <c r="F10" s="35" t="str">
        <f t="array" ref="F10">IF(E10="","",IF(INDEX(A:A,MAX(IF(ISNUMBER($A$62:$A$81),ROW($A$62:$A$81),"")))&lt;&gt;E10,"Corrigez : révolution incorrecte","OK"))</f>
        <v>OK</v>
      </c>
      <c r="I10" s="226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45">
      <c r="A11" s="30" t="s">
        <v>167</v>
      </c>
      <c r="B11" s="31" t="s">
        <v>25</v>
      </c>
      <c r="C11" s="32">
        <v>0.23</v>
      </c>
      <c r="D11" s="33">
        <f t="shared" si="0"/>
        <v>0.42320000000000002</v>
      </c>
      <c r="E11" s="34">
        <v>143</v>
      </c>
      <c r="F11" s="35" t="str">
        <f t="array" ref="F11">IF(E11="","",IF(INDEX(A:A,MAX(IF(ISNUMBER($A$88:$A$107),ROW($A$88:$A$107),"")))&lt;&gt;E11,"Corrigez : révolution incorrecte","OK"))</f>
        <v>OK</v>
      </c>
      <c r="I11" s="226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45">
      <c r="A12" s="30" t="s">
        <v>168</v>
      </c>
      <c r="B12" s="31"/>
      <c r="C12" s="32"/>
      <c r="D12" s="33">
        <f t="shared" si="0"/>
        <v>0</v>
      </c>
      <c r="E12" s="34"/>
      <c r="F12" s="35" t="str">
        <f t="array" ref="F12">IF(E12="","",IF(INDEX(A:A,MAX(IF(ISNUMBER($A$114:$A$133),ROW($A$114:$A$133),"")))&lt;&gt;E12,"Corrigez : révolution incorrecte","OK"))</f>
        <v/>
      </c>
      <c r="I12" s="226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45">
      <c r="A13" s="30" t="s">
        <v>169</v>
      </c>
      <c r="B13" s="31"/>
      <c r="C13" s="32"/>
      <c r="D13" s="33">
        <f t="shared" si="0"/>
        <v>0</v>
      </c>
      <c r="E13" s="34"/>
      <c r="F13" s="35" t="str">
        <f t="array" ref="F13">IF(E13="","",IF(INDEX(A:A,MAX(IF(ISNUMBER($A$140:$A$159),ROW($A$140:$A$159),"")))&lt;&gt;E13,"Corrigez : révolution incorrecte","OK"))</f>
        <v/>
      </c>
      <c r="I13" s="226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45">
      <c r="A14" s="30" t="s">
        <v>170</v>
      </c>
      <c r="B14" s="31"/>
      <c r="C14" s="32"/>
      <c r="D14" s="33">
        <f t="shared" si="0"/>
        <v>0</v>
      </c>
      <c r="E14" s="34"/>
      <c r="F14" s="35" t="str">
        <f t="array" ref="F14">IF(E14="","",IF(INDEX(A:A,MAX(IF(ISNUMBER($A$166:$A$185),ROW($A$166:$A$185),"")))&lt;&gt;E14,"Corrigez : révolution incorrecte","OK"))</f>
        <v/>
      </c>
      <c r="I14" s="226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45">
      <c r="A15" s="30" t="s">
        <v>171</v>
      </c>
      <c r="B15" s="31"/>
      <c r="C15" s="32"/>
      <c r="D15" s="33">
        <f t="shared" si="0"/>
        <v>0</v>
      </c>
      <c r="E15" s="34"/>
      <c r="F15" s="35" t="str">
        <f t="array" ref="F15">IF(E15="","",IF(INDEX(A:A,MAX(IF(ISNUMBER($A$192:$A$211),ROW($A$192:$A$211),"")))&lt;&gt;E15,"Corrigez : révolution incorrecte","OK"))</f>
        <v/>
      </c>
      <c r="I15" s="226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45">
      <c r="A16" s="30" t="s">
        <v>172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6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45">
      <c r="A17" s="30" t="s">
        <v>173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6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45">
      <c r="A18" s="30" t="s">
        <v>174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6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45">
      <c r="A19" s="78"/>
      <c r="B19" s="36" t="s">
        <v>175</v>
      </c>
      <c r="C19" s="37">
        <f>SUM(C9:C18)</f>
        <v>1</v>
      </c>
      <c r="D19" s="38">
        <f>SUM(D9:D18)</f>
        <v>1.8400000000000003</v>
      </c>
      <c r="E19" s="4"/>
      <c r="F19" s="92"/>
      <c r="G19" s="219"/>
      <c r="H19" s="219"/>
      <c r="I19" s="219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45">
      <c r="A20" s="78"/>
      <c r="B20" s="39" t="s">
        <v>230</v>
      </c>
      <c r="C20" s="40" t="str">
        <f>IF(C19&gt;100%,"Erreur : corrigez","OK")</f>
        <v>OK</v>
      </c>
      <c r="D20" s="222"/>
      <c r="F20" s="205"/>
      <c r="G20" s="205"/>
      <c r="H20" s="219"/>
      <c r="I20" s="219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45">
      <c r="A21" s="4"/>
      <c r="B21" s="4"/>
      <c r="C21" s="4"/>
      <c r="H21" s="220"/>
      <c r="I21" s="220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65">
      <c r="A22" s="266" t="s">
        <v>232</v>
      </c>
      <c r="B22" s="266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45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45">
      <c r="A24" s="41" t="s">
        <v>218</v>
      </c>
      <c r="B24" s="42" t="s">
        <v>224</v>
      </c>
      <c r="C24" s="43">
        <v>0</v>
      </c>
      <c r="D24" s="44" t="s">
        <v>233</v>
      </c>
      <c r="E24" s="93"/>
      <c r="F24" s="93"/>
      <c r="G24" s="202"/>
      <c r="I24" s="202"/>
      <c r="J24" s="221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45">
      <c r="A25" s="41" t="s">
        <v>220</v>
      </c>
      <c r="B25" s="42" t="s">
        <v>219</v>
      </c>
      <c r="C25" s="45">
        <v>0.1</v>
      </c>
      <c r="D25" s="94"/>
      <c r="E25" s="4"/>
      <c r="F25" s="94"/>
      <c r="G25" s="221"/>
      <c r="I25" s="221"/>
      <c r="J25" s="221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45">
      <c r="A26" s="41" t="s">
        <v>222</v>
      </c>
      <c r="B26" s="42" t="s">
        <v>221</v>
      </c>
      <c r="C26" s="43">
        <v>0.1</v>
      </c>
      <c r="D26" s="44" t="s">
        <v>234</v>
      </c>
      <c r="E26" s="93"/>
      <c r="F26" s="93"/>
      <c r="G26" s="202"/>
      <c r="I26" s="202"/>
      <c r="J26" s="202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45">
      <c r="A27" s="41" t="s">
        <v>223</v>
      </c>
      <c r="B27" s="42" t="s">
        <v>225</v>
      </c>
      <c r="C27" s="43">
        <v>0</v>
      </c>
      <c r="D27" s="44" t="s">
        <v>235</v>
      </c>
      <c r="E27" s="93"/>
      <c r="F27" s="93"/>
      <c r="G27" s="202"/>
      <c r="I27" s="202"/>
      <c r="J27" s="202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45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45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45">
      <c r="A30" s="267" t="s">
        <v>227</v>
      </c>
      <c r="B30" s="267"/>
      <c r="D30" s="223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45">
      <c r="A31" s="4"/>
      <c r="B31" s="4"/>
      <c r="C31" s="23" t="s">
        <v>324</v>
      </c>
      <c r="K31" s="223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45">
      <c r="A32" s="46" t="s">
        <v>165</v>
      </c>
      <c r="B32" s="47" t="str">
        <f>IF(B9="","",B9)</f>
        <v>Douglas</v>
      </c>
      <c r="D32" s="229" t="s">
        <v>307</v>
      </c>
      <c r="K32" s="223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45">
      <c r="A33" s="46"/>
      <c r="B33" s="4"/>
      <c r="K33" s="223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45">
      <c r="A34" s="4"/>
      <c r="B34" s="85" t="s">
        <v>185</v>
      </c>
      <c r="C34" s="258" t="s">
        <v>186</v>
      </c>
      <c r="D34" s="258"/>
      <c r="E34" s="259" t="s">
        <v>187</v>
      </c>
      <c r="F34" s="260"/>
      <c r="G34" s="260"/>
      <c r="H34" s="261"/>
      <c r="I34" s="95"/>
      <c r="J34" s="223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28.5" x14ac:dyDescent="0.45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45">
      <c r="A36" s="50">
        <v>34</v>
      </c>
      <c r="B36" s="60">
        <v>275.44</v>
      </c>
      <c r="C36" s="60">
        <v>1</v>
      </c>
      <c r="D36" s="60">
        <v>94.509999999999991</v>
      </c>
      <c r="E36" s="51">
        <v>0.25</v>
      </c>
      <c r="F36" s="51">
        <v>0.37</v>
      </c>
      <c r="G36" s="51">
        <v>0.38</v>
      </c>
      <c r="H36" s="51">
        <v>0</v>
      </c>
      <c r="I36" s="49">
        <f>IFERROR(B36/A36,"")</f>
        <v>8.1011764705882356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45">
      <c r="A37" s="50">
        <v>43</v>
      </c>
      <c r="B37" s="60">
        <v>309.51</v>
      </c>
      <c r="C37" s="60">
        <v>2</v>
      </c>
      <c r="D37" s="60">
        <v>72.429999999999978</v>
      </c>
      <c r="E37" s="51">
        <v>0.25</v>
      </c>
      <c r="F37" s="51">
        <v>0.37</v>
      </c>
      <c r="G37" s="51">
        <v>0.38</v>
      </c>
      <c r="H37" s="51">
        <v>0</v>
      </c>
      <c r="I37" s="53">
        <f t="shared" ref="I37:I55" si="1">IF(A37&lt;&gt;0,(B37-(B36-D36))/(A37-A36),"")</f>
        <v>14.286666666666665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45">
      <c r="A38" s="50">
        <v>52</v>
      </c>
      <c r="B38" s="60">
        <v>354.81</v>
      </c>
      <c r="C38" s="60">
        <v>3</v>
      </c>
      <c r="D38" s="60">
        <v>61.259999999999991</v>
      </c>
      <c r="E38" s="51">
        <v>0.6</v>
      </c>
      <c r="F38" s="51">
        <v>0.2</v>
      </c>
      <c r="G38" s="51">
        <v>0.2</v>
      </c>
      <c r="H38" s="51">
        <v>0</v>
      </c>
      <c r="I38" s="53">
        <f t="shared" si="1"/>
        <v>13.08111111111111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45">
      <c r="A39" s="50">
        <v>62</v>
      </c>
      <c r="B39" s="60">
        <v>413.24</v>
      </c>
      <c r="C39" s="60">
        <v>4</v>
      </c>
      <c r="D39" s="60">
        <v>66.019999999999982</v>
      </c>
      <c r="E39" s="51">
        <v>0.6</v>
      </c>
      <c r="F39" s="51">
        <v>0.2</v>
      </c>
      <c r="G39" s="51">
        <v>0.2</v>
      </c>
      <c r="H39" s="51">
        <v>0</v>
      </c>
      <c r="I39" s="49">
        <f t="shared" si="1"/>
        <v>11.968999999999999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45">
      <c r="A40" s="50">
        <v>72</v>
      </c>
      <c r="B40" s="60">
        <v>452.35</v>
      </c>
      <c r="C40" s="60">
        <v>5</v>
      </c>
      <c r="D40" s="60">
        <v>64.210000000000036</v>
      </c>
      <c r="E40" s="51">
        <v>0.6</v>
      </c>
      <c r="F40" s="51">
        <v>0.2</v>
      </c>
      <c r="G40" s="51">
        <v>0.2</v>
      </c>
      <c r="H40" s="51">
        <v>0</v>
      </c>
      <c r="I40" s="49">
        <f t="shared" si="1"/>
        <v>10.513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45">
      <c r="A41" s="50">
        <v>84</v>
      </c>
      <c r="B41" s="60">
        <v>494.47</v>
      </c>
      <c r="C41" s="60">
        <v>6</v>
      </c>
      <c r="D41" s="60">
        <v>70.220000000000027</v>
      </c>
      <c r="E41" s="51">
        <v>0.6</v>
      </c>
      <c r="F41" s="51">
        <v>0.2</v>
      </c>
      <c r="G41" s="51">
        <v>0.2</v>
      </c>
      <c r="H41" s="51">
        <v>0</v>
      </c>
      <c r="I41" s="53">
        <f t="shared" si="1"/>
        <v>8.8608333333333373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45">
      <c r="A42" s="50">
        <v>96</v>
      </c>
      <c r="B42" s="60">
        <v>509.95</v>
      </c>
      <c r="C42" s="60">
        <v>7</v>
      </c>
      <c r="D42" s="60">
        <v>74.37</v>
      </c>
      <c r="E42" s="51">
        <v>0.6</v>
      </c>
      <c r="F42" s="51">
        <v>0.2</v>
      </c>
      <c r="G42" s="51">
        <v>0.2</v>
      </c>
      <c r="H42" s="51">
        <v>0</v>
      </c>
      <c r="I42" s="53">
        <f t="shared" si="1"/>
        <v>7.1416666666666657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45">
      <c r="A43" s="50">
        <v>108</v>
      </c>
      <c r="B43" s="60">
        <v>502.84</v>
      </c>
      <c r="C43" s="60">
        <v>8</v>
      </c>
      <c r="D43" s="60">
        <v>65.25</v>
      </c>
      <c r="E43" s="51">
        <v>0.6</v>
      </c>
      <c r="F43" s="51">
        <v>0.2</v>
      </c>
      <c r="G43" s="51">
        <v>0.2</v>
      </c>
      <c r="H43" s="51">
        <v>0</v>
      </c>
      <c r="I43" s="49">
        <f t="shared" si="1"/>
        <v>5.6049999999999995</v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45">
      <c r="A44" s="50">
        <v>120</v>
      </c>
      <c r="B44" s="60">
        <v>489.81</v>
      </c>
      <c r="C44" s="60">
        <v>9</v>
      </c>
      <c r="D44" s="60">
        <v>489.81</v>
      </c>
      <c r="E44" s="51">
        <v>0.6</v>
      </c>
      <c r="F44" s="51">
        <v>0.2</v>
      </c>
      <c r="G44" s="51">
        <v>0.2</v>
      </c>
      <c r="H44" s="51">
        <v>0</v>
      </c>
      <c r="I44" s="49">
        <f t="shared" si="1"/>
        <v>4.3516666666666692</v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45">
      <c r="A45" s="50"/>
      <c r="B45" s="60"/>
      <c r="C45" s="60"/>
      <c r="D45" s="60"/>
      <c r="E45" s="51"/>
      <c r="F45" s="51"/>
      <c r="G45" s="51"/>
      <c r="H45" s="51"/>
      <c r="I45" s="49" t="str">
        <f t="shared" si="1"/>
        <v/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45">
      <c r="A46" s="50"/>
      <c r="B46" s="60"/>
      <c r="C46" s="60"/>
      <c r="D46" s="60"/>
      <c r="E46" s="51"/>
      <c r="F46" s="51"/>
      <c r="G46" s="51"/>
      <c r="H46" s="51"/>
      <c r="I46" s="49" t="str">
        <f t="shared" si="1"/>
        <v/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45">
      <c r="A47" s="50"/>
      <c r="B47" s="60"/>
      <c r="C47" s="60"/>
      <c r="D47" s="60"/>
      <c r="E47" s="51"/>
      <c r="F47" s="51"/>
      <c r="G47" s="51"/>
      <c r="H47" s="51"/>
      <c r="I47" s="49" t="str">
        <f t="shared" si="1"/>
        <v/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45">
      <c r="A48" s="50"/>
      <c r="B48" s="60"/>
      <c r="C48" s="60"/>
      <c r="D48" s="60"/>
      <c r="E48" s="51"/>
      <c r="F48" s="51"/>
      <c r="G48" s="51"/>
      <c r="H48" s="51"/>
      <c r="I48" s="49" t="str">
        <f t="shared" si="1"/>
        <v/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45">
      <c r="A49" s="50"/>
      <c r="B49" s="60"/>
      <c r="C49" s="60"/>
      <c r="D49" s="60"/>
      <c r="E49" s="51"/>
      <c r="F49" s="51"/>
      <c r="G49" s="51"/>
      <c r="H49" s="51"/>
      <c r="I49" s="49" t="str">
        <f t="shared" si="1"/>
        <v/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45">
      <c r="A50" s="50"/>
      <c r="B50" s="50"/>
      <c r="C50" s="50"/>
      <c r="D50" s="50"/>
      <c r="E50" s="51"/>
      <c r="F50" s="51"/>
      <c r="G50" s="51"/>
      <c r="H50" s="51"/>
      <c r="I50" s="49" t="str">
        <f t="shared" si="1"/>
        <v/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45">
      <c r="A51" s="50"/>
      <c r="B51" s="50"/>
      <c r="C51" s="50"/>
      <c r="D51" s="50"/>
      <c r="E51" s="51"/>
      <c r="F51" s="51"/>
      <c r="G51" s="51"/>
      <c r="H51" s="51"/>
      <c r="I51" s="49" t="str">
        <f t="shared" si="1"/>
        <v/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45">
      <c r="A52" s="50"/>
      <c r="B52" s="50"/>
      <c r="C52" s="50"/>
      <c r="D52" s="50"/>
      <c r="E52" s="51"/>
      <c r="F52" s="51"/>
      <c r="G52" s="51"/>
      <c r="H52" s="51"/>
      <c r="I52" s="49" t="str">
        <f t="shared" si="1"/>
        <v/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45">
      <c r="A53" s="50"/>
      <c r="B53" s="50"/>
      <c r="C53" s="50"/>
      <c r="D53" s="50"/>
      <c r="E53" s="51"/>
      <c r="F53" s="51"/>
      <c r="G53" s="51"/>
      <c r="H53" s="51"/>
      <c r="I53" s="49" t="str">
        <f t="shared" si="1"/>
        <v/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45">
      <c r="A54" s="50"/>
      <c r="B54" s="50"/>
      <c r="C54" s="50"/>
      <c r="D54" s="50"/>
      <c r="E54" s="51"/>
      <c r="F54" s="51"/>
      <c r="G54" s="51"/>
      <c r="H54" s="51"/>
      <c r="I54" s="49" t="str">
        <f t="shared" si="1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45">
      <c r="A55" s="50"/>
      <c r="B55" s="50"/>
      <c r="C55" s="50"/>
      <c r="D55" s="50"/>
      <c r="E55" s="51"/>
      <c r="F55" s="51"/>
      <c r="G55" s="51"/>
      <c r="H55" s="51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45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45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45">
      <c r="A58" s="46" t="s">
        <v>166</v>
      </c>
      <c r="B58" s="52" t="str">
        <f>IF(B10="","",B10)</f>
        <v>Mélèze d'Europe</v>
      </c>
      <c r="D58" s="229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45">
      <c r="A59" s="46"/>
      <c r="B59" s="96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45">
      <c r="A60" s="4"/>
      <c r="B60" s="85" t="s">
        <v>185</v>
      </c>
      <c r="C60" s="258" t="s">
        <v>186</v>
      </c>
      <c r="D60" s="258"/>
      <c r="E60" s="259" t="s">
        <v>187</v>
      </c>
      <c r="F60" s="260"/>
      <c r="G60" s="260"/>
      <c r="H60" s="261"/>
      <c r="I60" s="95"/>
      <c r="J60" s="223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28.5" x14ac:dyDescent="0.45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45">
      <c r="A62" s="50">
        <v>18</v>
      </c>
      <c r="B62" s="60">
        <v>112</v>
      </c>
      <c r="C62" s="60">
        <v>1</v>
      </c>
      <c r="D62" s="60">
        <v>20</v>
      </c>
      <c r="E62" s="51">
        <v>0.25</v>
      </c>
      <c r="F62" s="51">
        <v>0.37</v>
      </c>
      <c r="G62" s="51">
        <v>0.38</v>
      </c>
      <c r="H62" s="51">
        <v>0</v>
      </c>
      <c r="I62" s="53">
        <f>IFERROR(B62/A62,"")</f>
        <v>6.2222222222222223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45">
      <c r="A63" s="50">
        <v>21</v>
      </c>
      <c r="B63" s="60">
        <v>146</v>
      </c>
      <c r="C63" s="60">
        <v>2</v>
      </c>
      <c r="D63" s="60">
        <v>26</v>
      </c>
      <c r="E63" s="51">
        <v>0.25</v>
      </c>
      <c r="F63" s="51">
        <v>0.37</v>
      </c>
      <c r="G63" s="51">
        <v>0.38</v>
      </c>
      <c r="H63" s="51">
        <v>0</v>
      </c>
      <c r="I63" s="49">
        <f>IF(A63&lt;&gt;0,(B63-(B62-D62))/(A63-A62),"")</f>
        <v>18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45">
      <c r="A64" s="50">
        <v>24</v>
      </c>
      <c r="B64" s="60">
        <v>168</v>
      </c>
      <c r="C64" s="60">
        <v>3</v>
      </c>
      <c r="D64" s="60">
        <v>29</v>
      </c>
      <c r="E64" s="51">
        <v>0.25</v>
      </c>
      <c r="F64" s="51">
        <v>0.37</v>
      </c>
      <c r="G64" s="51">
        <v>0.38</v>
      </c>
      <c r="H64" s="51">
        <v>0</v>
      </c>
      <c r="I64" s="49">
        <f>IF(A64&lt;&gt;0,(B64-(B63-D63))/(A64-A63),"")</f>
        <v>16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45">
      <c r="A65" s="50">
        <v>30</v>
      </c>
      <c r="B65" s="60">
        <v>224</v>
      </c>
      <c r="C65" s="60">
        <v>4</v>
      </c>
      <c r="D65" s="60">
        <v>53</v>
      </c>
      <c r="E65" s="51">
        <v>0.6</v>
      </c>
      <c r="F65" s="51">
        <v>0.2</v>
      </c>
      <c r="G65" s="51">
        <v>0.2</v>
      </c>
      <c r="H65" s="51">
        <v>0</v>
      </c>
      <c r="I65" s="49">
        <f>IF(A65&lt;&gt;0,(B65-(B64-D64))/(A65-A64),"")</f>
        <v>14.166666666666666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45">
      <c r="A66" s="50">
        <v>36</v>
      </c>
      <c r="B66" s="60">
        <v>248</v>
      </c>
      <c r="C66" s="60">
        <v>5</v>
      </c>
      <c r="D66" s="60">
        <v>62</v>
      </c>
      <c r="E66" s="51">
        <v>0.6</v>
      </c>
      <c r="F66" s="51">
        <v>0.2</v>
      </c>
      <c r="G66" s="51">
        <v>0.2</v>
      </c>
      <c r="H66" s="51">
        <v>0</v>
      </c>
      <c r="I66" s="49">
        <f t="shared" ref="I66:I81" si="2">IF(A66&lt;&gt;0,(B66-(B65-D65))/(A66-A65),"")</f>
        <v>12.833333333333334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45">
      <c r="A67" s="50">
        <v>42</v>
      </c>
      <c r="B67" s="60">
        <v>255</v>
      </c>
      <c r="C67" s="60">
        <v>6</v>
      </c>
      <c r="D67" s="60">
        <v>67</v>
      </c>
      <c r="E67" s="51">
        <v>0.6</v>
      </c>
      <c r="F67" s="51">
        <v>0.2</v>
      </c>
      <c r="G67" s="51">
        <v>0.2</v>
      </c>
      <c r="H67" s="51">
        <v>0</v>
      </c>
      <c r="I67" s="49">
        <f t="shared" si="2"/>
        <v>11.5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45">
      <c r="A68" s="50">
        <v>48</v>
      </c>
      <c r="B68" s="60">
        <v>252</v>
      </c>
      <c r="C68" s="60">
        <v>7</v>
      </c>
      <c r="D68" s="60">
        <v>65</v>
      </c>
      <c r="E68" s="51">
        <v>0.6</v>
      </c>
      <c r="F68" s="51">
        <v>0.2</v>
      </c>
      <c r="G68" s="51">
        <v>0.2</v>
      </c>
      <c r="H68" s="51">
        <v>0</v>
      </c>
      <c r="I68" s="49">
        <f t="shared" si="2"/>
        <v>10.666666666666666</v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45">
      <c r="A69" s="50">
        <v>60</v>
      </c>
      <c r="B69" s="50">
        <v>304</v>
      </c>
      <c r="C69" s="50">
        <v>8</v>
      </c>
      <c r="D69" s="50">
        <v>304</v>
      </c>
      <c r="E69" s="51">
        <v>0.6</v>
      </c>
      <c r="F69" s="51">
        <v>0.2</v>
      </c>
      <c r="G69" s="51">
        <v>0.2</v>
      </c>
      <c r="H69" s="51">
        <v>0</v>
      </c>
      <c r="I69" s="49">
        <f t="shared" si="2"/>
        <v>9.75</v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45">
      <c r="A70" s="50"/>
      <c r="B70" s="50"/>
      <c r="C70" s="50"/>
      <c r="D70" s="50"/>
      <c r="E70" s="51"/>
      <c r="F70" s="51"/>
      <c r="G70" s="51"/>
      <c r="H70" s="51"/>
      <c r="I70" s="49" t="str">
        <f t="shared" si="2"/>
        <v/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45">
      <c r="A71" s="50"/>
      <c r="B71" s="50"/>
      <c r="C71" s="50"/>
      <c r="D71" s="50"/>
      <c r="E71" s="51"/>
      <c r="F71" s="51"/>
      <c r="G71" s="51"/>
      <c r="H71" s="51"/>
      <c r="I71" s="49" t="str">
        <f t="shared" si="2"/>
        <v/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45">
      <c r="A72" s="50"/>
      <c r="B72" s="50"/>
      <c r="C72" s="50"/>
      <c r="D72" s="50"/>
      <c r="E72" s="51"/>
      <c r="F72" s="51"/>
      <c r="G72" s="51"/>
      <c r="H72" s="51"/>
      <c r="I72" s="49" t="str">
        <f t="shared" si="2"/>
        <v/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45">
      <c r="A73" s="50"/>
      <c r="B73" s="50"/>
      <c r="C73" s="50"/>
      <c r="D73" s="50"/>
      <c r="E73" s="51"/>
      <c r="F73" s="51"/>
      <c r="G73" s="51"/>
      <c r="H73" s="51"/>
      <c r="I73" s="49" t="str">
        <f t="shared" si="2"/>
        <v/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45">
      <c r="A74" s="50"/>
      <c r="B74" s="50"/>
      <c r="C74" s="50"/>
      <c r="D74" s="50"/>
      <c r="E74" s="51"/>
      <c r="F74" s="51"/>
      <c r="G74" s="51"/>
      <c r="H74" s="51"/>
      <c r="I74" s="49" t="str">
        <f t="shared" si="2"/>
        <v/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45">
      <c r="A75" s="50"/>
      <c r="B75" s="50"/>
      <c r="C75" s="50"/>
      <c r="D75" s="50"/>
      <c r="E75" s="51"/>
      <c r="F75" s="51"/>
      <c r="G75" s="51"/>
      <c r="H75" s="51"/>
      <c r="I75" s="49" t="str">
        <f t="shared" si="2"/>
        <v/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45">
      <c r="A76" s="50"/>
      <c r="B76" s="50"/>
      <c r="C76" s="50"/>
      <c r="D76" s="50"/>
      <c r="E76" s="51"/>
      <c r="F76" s="51"/>
      <c r="G76" s="51"/>
      <c r="H76" s="51"/>
      <c r="I76" s="49" t="str">
        <f t="shared" si="2"/>
        <v/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45">
      <c r="A77" s="50"/>
      <c r="B77" s="50"/>
      <c r="C77" s="50"/>
      <c r="D77" s="50"/>
      <c r="E77" s="51"/>
      <c r="F77" s="51"/>
      <c r="G77" s="51"/>
      <c r="H77" s="51"/>
      <c r="I77" s="49" t="str">
        <f t="shared" si="2"/>
        <v/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45">
      <c r="A78" s="50"/>
      <c r="B78" s="50"/>
      <c r="C78" s="50"/>
      <c r="D78" s="50"/>
      <c r="E78" s="51"/>
      <c r="F78" s="51"/>
      <c r="G78" s="51"/>
      <c r="H78" s="51"/>
      <c r="I78" s="49" t="str">
        <f t="shared" si="2"/>
        <v/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45">
      <c r="A79" s="50"/>
      <c r="B79" s="50"/>
      <c r="C79" s="50"/>
      <c r="D79" s="50"/>
      <c r="E79" s="51"/>
      <c r="F79" s="51"/>
      <c r="G79" s="51"/>
      <c r="H79" s="51"/>
      <c r="I79" s="49" t="str">
        <f t="shared" si="2"/>
        <v/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45">
      <c r="A80" s="50"/>
      <c r="B80" s="50"/>
      <c r="C80" s="50"/>
      <c r="D80" s="50"/>
      <c r="E80" s="51"/>
      <c r="F80" s="51"/>
      <c r="G80" s="51"/>
      <c r="H80" s="51"/>
      <c r="I80" s="49" t="str">
        <f t="shared" si="2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45">
      <c r="A81" s="50"/>
      <c r="B81" s="50"/>
      <c r="C81" s="50"/>
      <c r="D81" s="50"/>
      <c r="E81" s="51"/>
      <c r="F81" s="51"/>
      <c r="G81" s="51"/>
      <c r="H81" s="51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45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45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45">
      <c r="A84" s="46" t="s">
        <v>167</v>
      </c>
      <c r="B84" s="52" t="str">
        <f>IF(B11="","",B11)</f>
        <v>Hêtre</v>
      </c>
      <c r="C84" s="23" t="s">
        <v>325</v>
      </c>
      <c r="D84" s="229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45">
      <c r="A85" s="46"/>
      <c r="B85" s="96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45">
      <c r="A86" s="4"/>
      <c r="B86" s="85" t="s">
        <v>185</v>
      </c>
      <c r="C86" s="258" t="s">
        <v>186</v>
      </c>
      <c r="D86" s="258"/>
      <c r="E86" s="259" t="s">
        <v>187</v>
      </c>
      <c r="F86" s="260"/>
      <c r="G86" s="260"/>
      <c r="H86" s="261"/>
      <c r="I86" s="95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28.5" x14ac:dyDescent="0.45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45">
      <c r="A88" s="50">
        <v>57</v>
      </c>
      <c r="B88" s="60">
        <v>303.32</v>
      </c>
      <c r="C88" s="60">
        <v>1</v>
      </c>
      <c r="D88" s="60">
        <v>147.84</v>
      </c>
      <c r="E88" s="51">
        <v>0</v>
      </c>
      <c r="F88" s="51">
        <v>0.5</v>
      </c>
      <c r="G88" s="51">
        <v>0.5</v>
      </c>
      <c r="H88" s="87">
        <v>0</v>
      </c>
      <c r="I88" s="53">
        <f>IFERROR(B88/A88,"")</f>
        <v>5.3214035087719296</v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45">
      <c r="A89" s="50">
        <v>66</v>
      </c>
      <c r="B89" s="60">
        <v>254.63</v>
      </c>
      <c r="C89" s="60">
        <v>2</v>
      </c>
      <c r="D89" s="60">
        <v>77.13</v>
      </c>
      <c r="E89" s="51">
        <v>0</v>
      </c>
      <c r="F89" s="51">
        <v>0.5</v>
      </c>
      <c r="G89" s="51">
        <v>0.5</v>
      </c>
      <c r="H89" s="87">
        <v>0</v>
      </c>
      <c r="I89" s="53">
        <f t="shared" ref="I89:I107" si="3">IF(A89&lt;&gt;0,(B89-(B88-D88))/(A89-A88),"")</f>
        <v>11.016666666666667</v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45">
      <c r="A90" s="50">
        <v>75</v>
      </c>
      <c r="B90" s="60">
        <v>274.81</v>
      </c>
      <c r="C90" s="60">
        <v>3</v>
      </c>
      <c r="D90" s="60">
        <v>72.47999999999999</v>
      </c>
      <c r="E90" s="87">
        <v>0</v>
      </c>
      <c r="F90" s="87">
        <v>0.5</v>
      </c>
      <c r="G90" s="87">
        <v>0.5</v>
      </c>
      <c r="H90" s="87">
        <v>0</v>
      </c>
      <c r="I90" s="53">
        <f t="shared" si="3"/>
        <v>10.812222222222223</v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45">
      <c r="A91" s="50">
        <v>84</v>
      </c>
      <c r="B91" s="60">
        <v>295.8</v>
      </c>
      <c r="C91" s="60">
        <v>4</v>
      </c>
      <c r="D91" s="60">
        <v>64.950000000000017</v>
      </c>
      <c r="E91" s="87">
        <v>0.3</v>
      </c>
      <c r="F91" s="87">
        <v>0.2</v>
      </c>
      <c r="G91" s="87">
        <v>0.2</v>
      </c>
      <c r="H91" s="87">
        <v>0.3</v>
      </c>
      <c r="I91" s="53">
        <f t="shared" si="3"/>
        <v>10.385555555555555</v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45">
      <c r="A92" s="50">
        <v>93</v>
      </c>
      <c r="B92" s="60">
        <v>320.13</v>
      </c>
      <c r="C92" s="60">
        <v>5</v>
      </c>
      <c r="D92" s="60">
        <v>67.269999999999982</v>
      </c>
      <c r="E92" s="87">
        <v>0.3</v>
      </c>
      <c r="F92" s="87">
        <v>0.2</v>
      </c>
      <c r="G92" s="87">
        <v>0.2</v>
      </c>
      <c r="H92" s="87">
        <v>0.3</v>
      </c>
      <c r="I92" s="53">
        <f t="shared" si="3"/>
        <v>9.92</v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45">
      <c r="A93" s="50">
        <v>105</v>
      </c>
      <c r="B93" s="60">
        <v>363.96</v>
      </c>
      <c r="C93" s="60">
        <v>6</v>
      </c>
      <c r="D93" s="60">
        <v>83.739999999999952</v>
      </c>
      <c r="E93" s="87">
        <v>0.3</v>
      </c>
      <c r="F93" s="87">
        <v>0.2</v>
      </c>
      <c r="G93" s="87">
        <v>0.2</v>
      </c>
      <c r="H93" s="87">
        <v>0.3</v>
      </c>
      <c r="I93" s="53">
        <f t="shared" si="3"/>
        <v>9.2583333333333311</v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45">
      <c r="A94" s="50">
        <v>117</v>
      </c>
      <c r="B94" s="60">
        <v>381.56</v>
      </c>
      <c r="C94" s="60">
        <v>7</v>
      </c>
      <c r="D94" s="60">
        <v>73.949999999999989</v>
      </c>
      <c r="E94" s="87">
        <v>0.3</v>
      </c>
      <c r="F94" s="87">
        <v>0.2</v>
      </c>
      <c r="G94" s="87">
        <v>0.2</v>
      </c>
      <c r="H94" s="87">
        <v>0.3</v>
      </c>
      <c r="I94" s="53">
        <f t="shared" si="3"/>
        <v>8.4449999999999985</v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45">
      <c r="A95" s="60">
        <v>129</v>
      </c>
      <c r="B95" s="60">
        <v>399.77</v>
      </c>
      <c r="C95" s="60">
        <v>8</v>
      </c>
      <c r="D95" s="60">
        <v>143.06</v>
      </c>
      <c r="E95" s="87">
        <v>0.45</v>
      </c>
      <c r="F95" s="87">
        <v>0.05</v>
      </c>
      <c r="G95" s="87">
        <v>0.05</v>
      </c>
      <c r="H95" s="87">
        <v>0.45</v>
      </c>
      <c r="I95" s="53">
        <f t="shared" si="3"/>
        <v>7.6799999999999971</v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45">
      <c r="A96" s="60">
        <v>134</v>
      </c>
      <c r="B96" s="60">
        <v>290.17</v>
      </c>
      <c r="C96" s="60">
        <v>9</v>
      </c>
      <c r="D96" s="60">
        <v>102.91000000000003</v>
      </c>
      <c r="E96" s="87">
        <v>0.45</v>
      </c>
      <c r="F96" s="87">
        <v>0.05</v>
      </c>
      <c r="G96" s="87">
        <v>0.05</v>
      </c>
      <c r="H96" s="87">
        <v>0.45</v>
      </c>
      <c r="I96" s="53">
        <f t="shared" si="3"/>
        <v>6.6920000000000073</v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45">
      <c r="A97" s="60">
        <v>139</v>
      </c>
      <c r="B97" s="60">
        <v>214.14</v>
      </c>
      <c r="C97" s="60">
        <v>10</v>
      </c>
      <c r="D97" s="60">
        <v>88.109999999999985</v>
      </c>
      <c r="E97" s="87">
        <v>0.45</v>
      </c>
      <c r="F97" s="87">
        <v>0.05</v>
      </c>
      <c r="G97" s="87">
        <v>0.05</v>
      </c>
      <c r="H97" s="87">
        <v>0.45</v>
      </c>
      <c r="I97" s="53">
        <f t="shared" si="3"/>
        <v>5.3759999999999994</v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45">
      <c r="A98" s="60">
        <v>143</v>
      </c>
      <c r="B98" s="60">
        <v>142.16999999999999</v>
      </c>
      <c r="C98" s="60">
        <v>11</v>
      </c>
      <c r="D98" s="60">
        <v>142.16999999999999</v>
      </c>
      <c r="E98" s="87">
        <v>0.45</v>
      </c>
      <c r="F98" s="87">
        <v>0.05</v>
      </c>
      <c r="G98" s="87">
        <v>0.05</v>
      </c>
      <c r="H98" s="87">
        <v>0.45</v>
      </c>
      <c r="I98" s="53">
        <f t="shared" si="3"/>
        <v>4.0349999999999966</v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45">
      <c r="A99" s="60"/>
      <c r="B99" s="60"/>
      <c r="C99" s="60"/>
      <c r="D99" s="60"/>
      <c r="E99" s="87"/>
      <c r="F99" s="87"/>
      <c r="G99" s="87"/>
      <c r="H99" s="87"/>
      <c r="I99" s="53" t="str">
        <f t="shared" si="3"/>
        <v/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45">
      <c r="A100" s="60"/>
      <c r="B100" s="60"/>
      <c r="C100" s="60"/>
      <c r="D100" s="60"/>
      <c r="E100" s="65"/>
      <c r="F100" s="65"/>
      <c r="G100" s="65"/>
      <c r="H100" s="65"/>
      <c r="I100" s="53" t="str">
        <f t="shared" si="3"/>
        <v/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45">
      <c r="A101" s="60"/>
      <c r="B101" s="60"/>
      <c r="C101" s="60"/>
      <c r="D101" s="60"/>
      <c r="E101" s="65"/>
      <c r="F101" s="65"/>
      <c r="G101" s="65"/>
      <c r="H101" s="65"/>
      <c r="I101" s="53" t="str">
        <f t="shared" si="3"/>
        <v/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45">
      <c r="A102" s="60"/>
      <c r="B102" s="50"/>
      <c r="C102" s="60"/>
      <c r="D102" s="50"/>
      <c r="E102" s="54"/>
      <c r="F102" s="54"/>
      <c r="G102" s="54"/>
      <c r="H102" s="54"/>
      <c r="I102" s="53" t="str">
        <f t="shared" si="3"/>
        <v/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45">
      <c r="A103" s="60"/>
      <c r="B103" s="50"/>
      <c r="C103" s="60"/>
      <c r="D103" s="50"/>
      <c r="E103" s="54"/>
      <c r="F103" s="54"/>
      <c r="G103" s="54"/>
      <c r="H103" s="54"/>
      <c r="I103" s="53" t="str">
        <f t="shared" si="3"/>
        <v/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45">
      <c r="A104" s="60"/>
      <c r="B104" s="50"/>
      <c r="C104" s="60"/>
      <c r="D104" s="50"/>
      <c r="E104" s="54"/>
      <c r="F104" s="54"/>
      <c r="G104" s="54"/>
      <c r="H104" s="54"/>
      <c r="I104" s="53" t="str">
        <f t="shared" si="3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45">
      <c r="A105" s="50"/>
      <c r="B105" s="50"/>
      <c r="C105" s="50"/>
      <c r="D105" s="50"/>
      <c r="E105" s="54"/>
      <c r="F105" s="54"/>
      <c r="G105" s="54"/>
      <c r="H105" s="54"/>
      <c r="I105" s="53" t="str">
        <f t="shared" si="3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45">
      <c r="A106" s="50"/>
      <c r="B106" s="50"/>
      <c r="C106" s="50"/>
      <c r="D106" s="50"/>
      <c r="E106" s="54"/>
      <c r="F106" s="54"/>
      <c r="G106" s="54"/>
      <c r="H106" s="54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45">
      <c r="A107" s="50"/>
      <c r="B107" s="50"/>
      <c r="C107" s="50"/>
      <c r="D107" s="50"/>
      <c r="E107" s="54"/>
      <c r="F107" s="54"/>
      <c r="G107" s="54"/>
      <c r="H107" s="54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45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45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45">
      <c r="A110" s="46" t="s">
        <v>168</v>
      </c>
      <c r="B110" s="52" t="str">
        <f>IF(B12="","",B12)</f>
        <v/>
      </c>
      <c r="D110" s="229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45">
      <c r="A111" s="46"/>
      <c r="B111" s="96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45">
      <c r="A112" s="4"/>
      <c r="B112" s="85" t="s">
        <v>185</v>
      </c>
      <c r="C112" s="258" t="s">
        <v>186</v>
      </c>
      <c r="D112" s="258"/>
      <c r="E112" s="259" t="s">
        <v>187</v>
      </c>
      <c r="F112" s="260"/>
      <c r="G112" s="260"/>
      <c r="H112" s="261"/>
      <c r="I112" s="95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28.5" x14ac:dyDescent="0.45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45">
      <c r="A114" s="50"/>
      <c r="B114" s="60"/>
      <c r="C114" s="50"/>
      <c r="D114" s="60"/>
      <c r="E114" s="51"/>
      <c r="F114" s="51"/>
      <c r="G114" s="51"/>
      <c r="H114" s="51"/>
      <c r="I114" s="53" t="str">
        <f>IFERROR(B114/A114,"")</f>
        <v/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45">
      <c r="A115" s="50"/>
      <c r="B115" s="60"/>
      <c r="C115" s="50"/>
      <c r="D115" s="60"/>
      <c r="E115" s="51"/>
      <c r="F115" s="51"/>
      <c r="G115" s="51"/>
      <c r="H115" s="51"/>
      <c r="I115" s="53" t="str">
        <f t="shared" ref="I115:I133" si="4">IF(A115&lt;&gt;0,(B115-(B114-D114))/(A115-A114),"")</f>
        <v/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45">
      <c r="A116" s="50"/>
      <c r="B116" s="60"/>
      <c r="C116" s="50"/>
      <c r="D116" s="60"/>
      <c r="E116" s="51"/>
      <c r="F116" s="51"/>
      <c r="G116" s="51"/>
      <c r="H116" s="51"/>
      <c r="I116" s="53" t="str">
        <f t="shared" si="4"/>
        <v/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45">
      <c r="A117" s="50"/>
      <c r="B117" s="60"/>
      <c r="C117" s="50"/>
      <c r="D117" s="60"/>
      <c r="E117" s="51"/>
      <c r="F117" s="51"/>
      <c r="G117" s="51"/>
      <c r="H117" s="51"/>
      <c r="I117" s="53" t="str">
        <f t="shared" si="4"/>
        <v/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45">
      <c r="A118" s="50"/>
      <c r="B118" s="60"/>
      <c r="C118" s="50"/>
      <c r="D118" s="60"/>
      <c r="E118" s="51"/>
      <c r="F118" s="51"/>
      <c r="G118" s="51"/>
      <c r="H118" s="51"/>
      <c r="I118" s="53" t="str">
        <f t="shared" si="4"/>
        <v/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45">
      <c r="A119" s="50"/>
      <c r="B119" s="60"/>
      <c r="C119" s="50"/>
      <c r="D119" s="60"/>
      <c r="E119" s="51"/>
      <c r="F119" s="51"/>
      <c r="G119" s="51"/>
      <c r="H119" s="51"/>
      <c r="I119" s="53" t="str">
        <f t="shared" si="4"/>
        <v/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45">
      <c r="A120" s="60"/>
      <c r="B120" s="60"/>
      <c r="C120" s="60"/>
      <c r="D120" s="60"/>
      <c r="E120" s="87"/>
      <c r="F120" s="87"/>
      <c r="G120" s="87"/>
      <c r="H120" s="87"/>
      <c r="I120" s="53" t="str">
        <f t="shared" si="4"/>
        <v/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45">
      <c r="A121" s="60"/>
      <c r="B121" s="60"/>
      <c r="C121" s="60"/>
      <c r="D121" s="60"/>
      <c r="E121" s="87"/>
      <c r="F121" s="87"/>
      <c r="G121" s="87"/>
      <c r="H121" s="87"/>
      <c r="I121" s="53" t="str">
        <f t="shared" si="4"/>
        <v/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45">
      <c r="A122" s="60"/>
      <c r="B122" s="60"/>
      <c r="C122" s="60"/>
      <c r="D122" s="60"/>
      <c r="E122" s="87"/>
      <c r="F122" s="87"/>
      <c r="G122" s="87"/>
      <c r="H122" s="87"/>
      <c r="I122" s="53" t="str">
        <f t="shared" si="4"/>
        <v/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45">
      <c r="A123" s="60"/>
      <c r="B123" s="60"/>
      <c r="C123" s="60"/>
      <c r="D123" s="60"/>
      <c r="E123" s="87"/>
      <c r="F123" s="87"/>
      <c r="G123" s="87"/>
      <c r="H123" s="87"/>
      <c r="I123" s="53" t="str">
        <f t="shared" si="4"/>
        <v/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45">
      <c r="A124" s="60"/>
      <c r="B124" s="60"/>
      <c r="C124" s="60"/>
      <c r="D124" s="60"/>
      <c r="E124" s="87"/>
      <c r="F124" s="87"/>
      <c r="G124" s="87"/>
      <c r="H124" s="87"/>
      <c r="I124" s="53" t="str">
        <f t="shared" si="4"/>
        <v/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45">
      <c r="A125" s="60"/>
      <c r="B125" s="60"/>
      <c r="C125" s="60"/>
      <c r="D125" s="60"/>
      <c r="E125" s="87"/>
      <c r="F125" s="87"/>
      <c r="G125" s="87"/>
      <c r="H125" s="87"/>
      <c r="I125" s="53" t="str">
        <f t="shared" si="4"/>
        <v/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45">
      <c r="A126" s="60"/>
      <c r="B126" s="60"/>
      <c r="C126" s="60"/>
      <c r="D126" s="60"/>
      <c r="E126" s="65"/>
      <c r="F126" s="65"/>
      <c r="G126" s="65"/>
      <c r="H126" s="65"/>
      <c r="I126" s="53" t="str">
        <f t="shared" si="4"/>
        <v/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45">
      <c r="A127" s="60"/>
      <c r="B127" s="60"/>
      <c r="C127" s="60"/>
      <c r="D127" s="60"/>
      <c r="E127" s="65"/>
      <c r="F127" s="65"/>
      <c r="G127" s="65"/>
      <c r="H127" s="65"/>
      <c r="I127" s="53" t="str">
        <f t="shared" si="4"/>
        <v/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45">
      <c r="A128" s="50"/>
      <c r="B128" s="50"/>
      <c r="C128" s="50"/>
      <c r="D128" s="50"/>
      <c r="E128" s="54"/>
      <c r="F128" s="54"/>
      <c r="G128" s="54"/>
      <c r="H128" s="54"/>
      <c r="I128" s="53" t="str">
        <f t="shared" si="4"/>
        <v/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45">
      <c r="A129" s="50"/>
      <c r="B129" s="50"/>
      <c r="C129" s="50"/>
      <c r="D129" s="50"/>
      <c r="E129" s="54"/>
      <c r="F129" s="54"/>
      <c r="G129" s="54"/>
      <c r="H129" s="54"/>
      <c r="I129" s="53" t="str">
        <f t="shared" si="4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45">
      <c r="A130" s="50"/>
      <c r="B130" s="50"/>
      <c r="C130" s="50"/>
      <c r="D130" s="50"/>
      <c r="E130" s="54"/>
      <c r="F130" s="54"/>
      <c r="G130" s="54"/>
      <c r="H130" s="54"/>
      <c r="I130" s="53" t="str">
        <f t="shared" si="4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45">
      <c r="A131" s="50"/>
      <c r="B131" s="50"/>
      <c r="C131" s="50"/>
      <c r="D131" s="50"/>
      <c r="E131" s="54"/>
      <c r="F131" s="54"/>
      <c r="G131" s="54"/>
      <c r="H131" s="54"/>
      <c r="I131" s="53" t="str">
        <f t="shared" si="4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45">
      <c r="A132" s="50"/>
      <c r="B132" s="50"/>
      <c r="C132" s="50"/>
      <c r="D132" s="50"/>
      <c r="E132" s="54"/>
      <c r="F132" s="54"/>
      <c r="G132" s="54"/>
      <c r="H132" s="54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45">
      <c r="A133" s="50"/>
      <c r="B133" s="50"/>
      <c r="C133" s="50"/>
      <c r="D133" s="50"/>
      <c r="E133" s="54"/>
      <c r="F133" s="54"/>
      <c r="G133" s="54"/>
      <c r="H133" s="54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45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45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45">
      <c r="A136" s="46" t="s">
        <v>169</v>
      </c>
      <c r="B136" s="52" t="str">
        <f>IF(B13="","",B13)</f>
        <v/>
      </c>
      <c r="D136" s="229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45">
      <c r="A137" s="46"/>
      <c r="B137" s="96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45">
      <c r="A138" s="4"/>
      <c r="B138" s="85" t="s">
        <v>185</v>
      </c>
      <c r="C138" s="258" t="s">
        <v>186</v>
      </c>
      <c r="D138" s="258"/>
      <c r="E138" s="259" t="s">
        <v>187</v>
      </c>
      <c r="F138" s="260"/>
      <c r="G138" s="260"/>
      <c r="H138" s="261"/>
      <c r="I138" s="95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28.5" x14ac:dyDescent="0.45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45">
      <c r="A140" s="50"/>
      <c r="B140" s="60"/>
      <c r="C140" s="50"/>
      <c r="D140" s="60"/>
      <c r="E140" s="51"/>
      <c r="F140" s="51"/>
      <c r="G140" s="51"/>
      <c r="H140" s="51"/>
      <c r="I140" s="57" t="str">
        <f>IFERROR(B140/A140,"")</f>
        <v/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45">
      <c r="A141" s="50"/>
      <c r="B141" s="60"/>
      <c r="C141" s="50"/>
      <c r="D141" s="60"/>
      <c r="E141" s="51"/>
      <c r="F141" s="51"/>
      <c r="G141" s="51"/>
      <c r="H141" s="51"/>
      <c r="I141" s="57" t="str">
        <f t="shared" ref="I141:I159" si="5">IF(A141&lt;&gt;0,(B141-(B140-D140))/(A141-A140),"")</f>
        <v/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45">
      <c r="A142" s="50"/>
      <c r="B142" s="60"/>
      <c r="C142" s="50"/>
      <c r="D142" s="60"/>
      <c r="E142" s="51"/>
      <c r="F142" s="51"/>
      <c r="G142" s="51"/>
      <c r="H142" s="51"/>
      <c r="I142" s="57" t="str">
        <f t="shared" si="5"/>
        <v/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45">
      <c r="A143" s="50"/>
      <c r="B143" s="60"/>
      <c r="C143" s="50"/>
      <c r="D143" s="60"/>
      <c r="E143" s="51"/>
      <c r="F143" s="51"/>
      <c r="G143" s="51"/>
      <c r="H143" s="51"/>
      <c r="I143" s="57" t="str">
        <f t="shared" si="5"/>
        <v/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45">
      <c r="A144" s="50"/>
      <c r="B144" s="60"/>
      <c r="C144" s="50"/>
      <c r="D144" s="60"/>
      <c r="E144" s="51"/>
      <c r="F144" s="51"/>
      <c r="G144" s="51"/>
      <c r="H144" s="51"/>
      <c r="I144" s="57" t="str">
        <f t="shared" si="5"/>
        <v/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45">
      <c r="A145" s="50"/>
      <c r="B145" s="60"/>
      <c r="C145" s="50"/>
      <c r="D145" s="60"/>
      <c r="E145" s="51"/>
      <c r="F145" s="51"/>
      <c r="G145" s="51"/>
      <c r="H145" s="51"/>
      <c r="I145" s="57" t="str">
        <f t="shared" si="5"/>
        <v/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45">
      <c r="A146" s="50"/>
      <c r="B146" s="60"/>
      <c r="C146" s="50"/>
      <c r="D146" s="60"/>
      <c r="E146" s="51"/>
      <c r="F146" s="51"/>
      <c r="G146" s="51"/>
      <c r="H146" s="51"/>
      <c r="I146" s="57" t="str">
        <f t="shared" si="5"/>
        <v/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45">
      <c r="A147" s="50"/>
      <c r="B147" s="60"/>
      <c r="C147" s="50"/>
      <c r="D147" s="60"/>
      <c r="E147" s="51"/>
      <c r="F147" s="51"/>
      <c r="G147" s="51"/>
      <c r="H147" s="51"/>
      <c r="I147" s="57" t="str">
        <f>IF(A147&lt;&gt;0,(B147-(B146-D146))/(A147-A146),"")</f>
        <v/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45">
      <c r="A148" s="50"/>
      <c r="B148" s="60"/>
      <c r="C148" s="50"/>
      <c r="D148" s="60"/>
      <c r="E148" s="51"/>
      <c r="F148" s="51"/>
      <c r="G148" s="51"/>
      <c r="H148" s="51"/>
      <c r="I148" s="57" t="str">
        <f t="shared" si="5"/>
        <v/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45">
      <c r="A149" s="50"/>
      <c r="B149" s="60"/>
      <c r="C149" s="50"/>
      <c r="D149" s="60"/>
      <c r="E149" s="51"/>
      <c r="F149" s="51"/>
      <c r="G149" s="51"/>
      <c r="H149" s="51"/>
      <c r="I149" s="57" t="str">
        <f t="shared" si="5"/>
        <v/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45">
      <c r="A150" s="50"/>
      <c r="B150" s="60"/>
      <c r="C150" s="50"/>
      <c r="D150" s="60"/>
      <c r="E150" s="51"/>
      <c r="F150" s="51"/>
      <c r="G150" s="51"/>
      <c r="H150" s="51"/>
      <c r="I150" s="57" t="str">
        <f t="shared" si="5"/>
        <v/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45">
      <c r="A151" s="50"/>
      <c r="B151" s="60"/>
      <c r="C151" s="50"/>
      <c r="D151" s="60"/>
      <c r="E151" s="51"/>
      <c r="F151" s="51"/>
      <c r="G151" s="51"/>
      <c r="H151" s="51"/>
      <c r="I151" s="57" t="str">
        <f t="shared" si="5"/>
        <v/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45">
      <c r="A152" s="50"/>
      <c r="B152" s="60"/>
      <c r="C152" s="50"/>
      <c r="D152" s="60"/>
      <c r="E152" s="54"/>
      <c r="F152" s="54"/>
      <c r="G152" s="54"/>
      <c r="H152" s="54"/>
      <c r="I152" s="57" t="str">
        <f t="shared" si="5"/>
        <v/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45">
      <c r="A153" s="50"/>
      <c r="B153" s="60"/>
      <c r="C153" s="50"/>
      <c r="D153" s="60"/>
      <c r="E153" s="54"/>
      <c r="F153" s="54"/>
      <c r="G153" s="54"/>
      <c r="H153" s="54"/>
      <c r="I153" s="57" t="str">
        <f t="shared" si="5"/>
        <v/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45">
      <c r="A154" s="55"/>
      <c r="B154" s="56"/>
      <c r="C154" s="50"/>
      <c r="D154" s="50"/>
      <c r="E154" s="54"/>
      <c r="F154" s="54"/>
      <c r="G154" s="54"/>
      <c r="H154" s="54"/>
      <c r="I154" s="57" t="str">
        <f t="shared" si="5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45">
      <c r="A155" s="55"/>
      <c r="B155" s="56"/>
      <c r="C155" s="50"/>
      <c r="D155" s="50"/>
      <c r="E155" s="54"/>
      <c r="F155" s="54"/>
      <c r="G155" s="54"/>
      <c r="H155" s="54"/>
      <c r="I155" s="57" t="str">
        <f t="shared" si="5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45">
      <c r="A156" s="55"/>
      <c r="B156" s="56"/>
      <c r="C156" s="50"/>
      <c r="D156" s="50"/>
      <c r="E156" s="54"/>
      <c r="F156" s="54"/>
      <c r="G156" s="54"/>
      <c r="H156" s="54"/>
      <c r="I156" s="57" t="str">
        <f t="shared" si="5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45">
      <c r="A157" s="55"/>
      <c r="B157" s="56"/>
      <c r="C157" s="50"/>
      <c r="D157" s="50"/>
      <c r="E157" s="54"/>
      <c r="F157" s="54"/>
      <c r="G157" s="54"/>
      <c r="H157" s="54"/>
      <c r="I157" s="57" t="str">
        <f t="shared" si="5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45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45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45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45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45">
      <c r="A162" s="46" t="s">
        <v>170</v>
      </c>
      <c r="B162" s="52" t="str">
        <f>IF(B14="","",B14)</f>
        <v/>
      </c>
      <c r="D162" s="229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45">
      <c r="A163" s="46"/>
      <c r="B163" s="96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45">
      <c r="A164" s="4"/>
      <c r="B164" s="85" t="s">
        <v>185</v>
      </c>
      <c r="C164" s="258" t="s">
        <v>186</v>
      </c>
      <c r="D164" s="258"/>
      <c r="E164" s="259" t="s">
        <v>187</v>
      </c>
      <c r="F164" s="260"/>
      <c r="G164" s="260"/>
      <c r="H164" s="261"/>
      <c r="I164" s="95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28.5" x14ac:dyDescent="0.45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45">
      <c r="A166" s="50"/>
      <c r="B166" s="60"/>
      <c r="C166" s="60"/>
      <c r="D166" s="60"/>
      <c r="E166" s="51"/>
      <c r="F166" s="51"/>
      <c r="G166" s="51"/>
      <c r="H166" s="51"/>
      <c r="I166" s="49" t="str">
        <f>IFERROR(B166/A166,"")</f>
        <v/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45">
      <c r="A167" s="50"/>
      <c r="B167" s="60"/>
      <c r="C167" s="60"/>
      <c r="D167" s="60"/>
      <c r="E167" s="51"/>
      <c r="F167" s="51"/>
      <c r="G167" s="51"/>
      <c r="H167" s="51"/>
      <c r="I167" s="49" t="str">
        <f t="shared" ref="I167:I185" si="6">IF(A167&lt;&gt;0,(B167-(B166-D166))/(A167-A166),"")</f>
        <v/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45">
      <c r="A168" s="50"/>
      <c r="B168" s="60"/>
      <c r="C168" s="60"/>
      <c r="D168" s="60"/>
      <c r="E168" s="51"/>
      <c r="F168" s="51"/>
      <c r="G168" s="51"/>
      <c r="H168" s="51"/>
      <c r="I168" s="49" t="str">
        <f t="shared" si="6"/>
        <v/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45">
      <c r="A169" s="50"/>
      <c r="B169" s="60"/>
      <c r="C169" s="60"/>
      <c r="D169" s="60"/>
      <c r="E169" s="51"/>
      <c r="F169" s="51"/>
      <c r="G169" s="51"/>
      <c r="H169" s="51"/>
      <c r="I169" s="49" t="str">
        <f t="shared" si="6"/>
        <v/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45">
      <c r="A170" s="50"/>
      <c r="B170" s="60"/>
      <c r="C170" s="60"/>
      <c r="D170" s="60"/>
      <c r="E170" s="51"/>
      <c r="F170" s="51"/>
      <c r="G170" s="51"/>
      <c r="H170" s="51"/>
      <c r="I170" s="49" t="str">
        <f t="shared" si="6"/>
        <v/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45">
      <c r="A171" s="50"/>
      <c r="B171" s="60"/>
      <c r="C171" s="60"/>
      <c r="D171" s="60"/>
      <c r="E171" s="51"/>
      <c r="F171" s="51"/>
      <c r="G171" s="51"/>
      <c r="H171" s="51"/>
      <c r="I171" s="49" t="str">
        <f t="shared" si="6"/>
        <v/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45">
      <c r="A172" s="50"/>
      <c r="B172" s="60"/>
      <c r="C172" s="60"/>
      <c r="D172" s="60"/>
      <c r="E172" s="51"/>
      <c r="F172" s="51"/>
      <c r="G172" s="51"/>
      <c r="H172" s="51"/>
      <c r="I172" s="49" t="str">
        <f t="shared" si="6"/>
        <v/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45">
      <c r="A173" s="50"/>
      <c r="B173" s="50"/>
      <c r="C173" s="50"/>
      <c r="D173" s="50"/>
      <c r="E173" s="51"/>
      <c r="F173" s="51"/>
      <c r="G173" s="51"/>
      <c r="H173" s="51"/>
      <c r="I173" s="49" t="str">
        <f t="shared" si="6"/>
        <v/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45">
      <c r="A174" s="50"/>
      <c r="B174" s="50"/>
      <c r="C174" s="50"/>
      <c r="D174" s="50"/>
      <c r="E174" s="51"/>
      <c r="F174" s="51"/>
      <c r="G174" s="51"/>
      <c r="H174" s="51"/>
      <c r="I174" s="49" t="str">
        <f t="shared" si="6"/>
        <v/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45">
      <c r="A175" s="50"/>
      <c r="B175" s="50"/>
      <c r="C175" s="50"/>
      <c r="D175" s="50"/>
      <c r="E175" s="51"/>
      <c r="F175" s="51"/>
      <c r="G175" s="51"/>
      <c r="H175" s="51"/>
      <c r="I175" s="49" t="str">
        <f t="shared" si="6"/>
        <v/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45">
      <c r="A176" s="50"/>
      <c r="B176" s="50"/>
      <c r="C176" s="50"/>
      <c r="D176" s="50"/>
      <c r="E176" s="51"/>
      <c r="F176" s="51"/>
      <c r="G176" s="51"/>
      <c r="H176" s="51"/>
      <c r="I176" s="49" t="str">
        <f t="shared" si="6"/>
        <v/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45">
      <c r="A177" s="50"/>
      <c r="B177" s="50"/>
      <c r="C177" s="50"/>
      <c r="D177" s="50"/>
      <c r="E177" s="51"/>
      <c r="F177" s="51"/>
      <c r="G177" s="51"/>
      <c r="H177" s="51"/>
      <c r="I177" s="49" t="str">
        <f t="shared" si="6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45">
      <c r="A178" s="50"/>
      <c r="B178" s="50"/>
      <c r="C178" s="50"/>
      <c r="D178" s="50"/>
      <c r="E178" s="51"/>
      <c r="F178" s="51"/>
      <c r="G178" s="51"/>
      <c r="H178" s="51"/>
      <c r="I178" s="49" t="str">
        <f t="shared" si="6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45">
      <c r="A179" s="50"/>
      <c r="B179" s="50"/>
      <c r="C179" s="50"/>
      <c r="D179" s="50"/>
      <c r="E179" s="51"/>
      <c r="F179" s="51"/>
      <c r="G179" s="51"/>
      <c r="H179" s="51"/>
      <c r="I179" s="49" t="str">
        <f t="shared" si="6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45">
      <c r="A180" s="50"/>
      <c r="B180" s="50"/>
      <c r="C180" s="50"/>
      <c r="D180" s="50"/>
      <c r="E180" s="51"/>
      <c r="F180" s="51"/>
      <c r="G180" s="51"/>
      <c r="H180" s="51"/>
      <c r="I180" s="49" t="str">
        <f t="shared" si="6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45">
      <c r="A181" s="50"/>
      <c r="B181" s="50"/>
      <c r="C181" s="50"/>
      <c r="D181" s="50"/>
      <c r="E181" s="51"/>
      <c r="F181" s="51"/>
      <c r="G181" s="51"/>
      <c r="H181" s="51"/>
      <c r="I181" s="49" t="str">
        <f t="shared" si="6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45">
      <c r="A182" s="50"/>
      <c r="B182" s="50"/>
      <c r="C182" s="50"/>
      <c r="D182" s="50"/>
      <c r="E182" s="51"/>
      <c r="F182" s="51"/>
      <c r="G182" s="51"/>
      <c r="H182" s="51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45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45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45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45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45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45">
      <c r="A188" s="46" t="s">
        <v>171</v>
      </c>
      <c r="B188" s="52" t="str">
        <f>IF(B15="","",B15)</f>
        <v/>
      </c>
      <c r="D188" s="229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45">
      <c r="A189" s="46"/>
      <c r="B189" s="96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45">
      <c r="A190" s="4"/>
      <c r="B190" s="85" t="s">
        <v>185</v>
      </c>
      <c r="C190" s="258" t="s">
        <v>186</v>
      </c>
      <c r="D190" s="258"/>
      <c r="E190" s="259" t="s">
        <v>187</v>
      </c>
      <c r="F190" s="260"/>
      <c r="G190" s="260"/>
      <c r="H190" s="261"/>
      <c r="I190" s="95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28.5" x14ac:dyDescent="0.45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45">
      <c r="A192" s="50"/>
      <c r="B192" s="60"/>
      <c r="C192" s="60"/>
      <c r="D192" s="60"/>
      <c r="E192" s="51"/>
      <c r="F192" s="51"/>
      <c r="G192" s="51"/>
      <c r="H192" s="51"/>
      <c r="I192" s="49" t="str">
        <f>IFERROR(B192/A192,"")</f>
        <v/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45">
      <c r="A193" s="50"/>
      <c r="B193" s="60"/>
      <c r="C193" s="60"/>
      <c r="D193" s="60"/>
      <c r="E193" s="51"/>
      <c r="F193" s="51"/>
      <c r="G193" s="51"/>
      <c r="H193" s="51"/>
      <c r="I193" s="49" t="str">
        <f t="shared" ref="I193:I211" si="7">IF(A193&lt;&gt;0,(B193-(B192-D192))/(A193-A192),"")</f>
        <v/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45">
      <c r="A194" s="50"/>
      <c r="B194" s="60"/>
      <c r="C194" s="60"/>
      <c r="D194" s="60"/>
      <c r="E194" s="51"/>
      <c r="F194" s="51"/>
      <c r="G194" s="51"/>
      <c r="H194" s="51"/>
      <c r="I194" s="49" t="str">
        <f t="shared" si="7"/>
        <v/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45">
      <c r="A195" s="50"/>
      <c r="B195" s="60"/>
      <c r="C195" s="60"/>
      <c r="D195" s="60"/>
      <c r="E195" s="51"/>
      <c r="F195" s="51"/>
      <c r="G195" s="51"/>
      <c r="H195" s="51"/>
      <c r="I195" s="49" t="str">
        <f t="shared" si="7"/>
        <v/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45">
      <c r="A196" s="50"/>
      <c r="B196" s="60"/>
      <c r="C196" s="60"/>
      <c r="D196" s="60"/>
      <c r="E196" s="51"/>
      <c r="F196" s="51"/>
      <c r="G196" s="51"/>
      <c r="H196" s="51"/>
      <c r="I196" s="49" t="str">
        <f t="shared" si="7"/>
        <v/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45">
      <c r="A197" s="50"/>
      <c r="B197" s="60"/>
      <c r="C197" s="60"/>
      <c r="D197" s="60"/>
      <c r="E197" s="51"/>
      <c r="F197" s="51"/>
      <c r="G197" s="51"/>
      <c r="H197" s="51"/>
      <c r="I197" s="49" t="str">
        <f t="shared" si="7"/>
        <v/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45">
      <c r="A198" s="50"/>
      <c r="B198" s="60"/>
      <c r="C198" s="60"/>
      <c r="D198" s="60"/>
      <c r="E198" s="51"/>
      <c r="F198" s="51"/>
      <c r="G198" s="51"/>
      <c r="H198" s="51"/>
      <c r="I198" s="49" t="str">
        <f t="shared" si="7"/>
        <v/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45">
      <c r="A199" s="50"/>
      <c r="B199" s="50"/>
      <c r="C199" s="50"/>
      <c r="D199" s="50"/>
      <c r="E199" s="51"/>
      <c r="F199" s="51"/>
      <c r="G199" s="51"/>
      <c r="H199" s="51"/>
      <c r="I199" s="49" t="str">
        <f t="shared" si="7"/>
        <v/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45">
      <c r="A200" s="50"/>
      <c r="B200" s="50"/>
      <c r="C200" s="50"/>
      <c r="D200" s="50"/>
      <c r="E200" s="51"/>
      <c r="F200" s="51"/>
      <c r="G200" s="51"/>
      <c r="H200" s="51"/>
      <c r="I200" s="49" t="str">
        <f t="shared" si="7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45">
      <c r="A201" s="50"/>
      <c r="B201" s="50"/>
      <c r="C201" s="50"/>
      <c r="D201" s="50"/>
      <c r="E201" s="51"/>
      <c r="F201" s="51"/>
      <c r="G201" s="51"/>
      <c r="H201" s="51"/>
      <c r="I201" s="49" t="str">
        <f t="shared" si="7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45">
      <c r="A202" s="50"/>
      <c r="B202" s="50"/>
      <c r="C202" s="50"/>
      <c r="D202" s="50"/>
      <c r="E202" s="51"/>
      <c r="F202" s="51"/>
      <c r="G202" s="51"/>
      <c r="H202" s="51"/>
      <c r="I202" s="49" t="str">
        <f t="shared" si="7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45">
      <c r="A203" s="50"/>
      <c r="B203" s="50"/>
      <c r="C203" s="50"/>
      <c r="D203" s="50"/>
      <c r="E203" s="51"/>
      <c r="F203" s="51"/>
      <c r="G203" s="51"/>
      <c r="H203" s="51"/>
      <c r="I203" s="49" t="str">
        <f t="shared" si="7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45">
      <c r="A204" s="50"/>
      <c r="B204" s="50"/>
      <c r="C204" s="50"/>
      <c r="D204" s="50"/>
      <c r="E204" s="51"/>
      <c r="F204" s="51"/>
      <c r="G204" s="51"/>
      <c r="H204" s="51"/>
      <c r="I204" s="49" t="str">
        <f t="shared" si="7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45">
      <c r="A205" s="50"/>
      <c r="B205" s="50"/>
      <c r="C205" s="50"/>
      <c r="D205" s="50"/>
      <c r="E205" s="51"/>
      <c r="F205" s="51"/>
      <c r="G205" s="51"/>
      <c r="H205" s="51"/>
      <c r="I205" s="49" t="str">
        <f t="shared" si="7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45">
      <c r="A206" s="50"/>
      <c r="B206" s="50"/>
      <c r="C206" s="50"/>
      <c r="D206" s="50"/>
      <c r="E206" s="51"/>
      <c r="F206" s="51"/>
      <c r="G206" s="51"/>
      <c r="H206" s="51"/>
      <c r="I206" s="49" t="str">
        <f t="shared" si="7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45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45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45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45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45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45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45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45">
      <c r="A214" s="46" t="s">
        <v>172</v>
      </c>
      <c r="B214" s="52" t="str">
        <f>IF(B16="","",B16)</f>
        <v/>
      </c>
      <c r="D214" s="229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45">
      <c r="A215" s="46"/>
      <c r="B215" s="96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45">
      <c r="A216" s="4"/>
      <c r="B216" s="85" t="s">
        <v>185</v>
      </c>
      <c r="C216" s="258" t="s">
        <v>186</v>
      </c>
      <c r="D216" s="258"/>
      <c r="E216" s="259" t="s">
        <v>187</v>
      </c>
      <c r="F216" s="260"/>
      <c r="G216" s="260"/>
      <c r="H216" s="261"/>
      <c r="I216" s="95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28.5" x14ac:dyDescent="0.45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45">
      <c r="A218" s="50"/>
      <c r="B218" s="60"/>
      <c r="C218" s="50"/>
      <c r="D218" s="60"/>
      <c r="E218" s="63"/>
      <c r="F218" s="63"/>
      <c r="G218" s="63"/>
      <c r="H218" s="63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45">
      <c r="A219" s="50"/>
      <c r="B219" s="60"/>
      <c r="C219" s="50"/>
      <c r="D219" s="60"/>
      <c r="E219" s="63"/>
      <c r="F219" s="63"/>
      <c r="G219" s="63"/>
      <c r="H219" s="63"/>
      <c r="I219" s="53" t="str">
        <f t="shared" ref="I219:I237" si="8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45">
      <c r="A220" s="50"/>
      <c r="B220" s="60"/>
      <c r="C220" s="50"/>
      <c r="D220" s="60"/>
      <c r="E220" s="63"/>
      <c r="F220" s="63"/>
      <c r="G220" s="63"/>
      <c r="H220" s="63"/>
      <c r="I220" s="53" t="str">
        <f t="shared" si="8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45">
      <c r="A221" s="55"/>
      <c r="B221" s="55"/>
      <c r="C221" s="55"/>
      <c r="D221" s="55"/>
      <c r="E221" s="63"/>
      <c r="F221" s="63"/>
      <c r="G221" s="63"/>
      <c r="H221" s="63"/>
      <c r="I221" s="53" t="str">
        <f t="shared" si="8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45">
      <c r="A222" s="55"/>
      <c r="B222" s="55"/>
      <c r="C222" s="55"/>
      <c r="D222" s="55"/>
      <c r="E222" s="63"/>
      <c r="F222" s="63"/>
      <c r="G222" s="63"/>
      <c r="H222" s="63"/>
      <c r="I222" s="53" t="str">
        <f t="shared" si="8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45">
      <c r="A223" s="55"/>
      <c r="B223" s="55"/>
      <c r="C223" s="55"/>
      <c r="D223" s="55"/>
      <c r="E223" s="63"/>
      <c r="F223" s="63"/>
      <c r="G223" s="63"/>
      <c r="H223" s="63"/>
      <c r="I223" s="53" t="str">
        <f t="shared" si="8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45">
      <c r="A224" s="55"/>
      <c r="B224" s="55"/>
      <c r="C224" s="55"/>
      <c r="D224" s="55"/>
      <c r="E224" s="63"/>
      <c r="F224" s="63"/>
      <c r="G224" s="63"/>
      <c r="H224" s="63"/>
      <c r="I224" s="53" t="str">
        <f t="shared" si="8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45">
      <c r="A225" s="55"/>
      <c r="B225" s="55"/>
      <c r="C225" s="55"/>
      <c r="D225" s="55"/>
      <c r="E225" s="63"/>
      <c r="F225" s="63"/>
      <c r="G225" s="63"/>
      <c r="H225" s="63"/>
      <c r="I225" s="53" t="str">
        <f t="shared" si="8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45">
      <c r="A226" s="55"/>
      <c r="B226" s="55"/>
      <c r="C226" s="55"/>
      <c r="D226" s="55"/>
      <c r="E226" s="63"/>
      <c r="F226" s="63"/>
      <c r="G226" s="63"/>
      <c r="H226" s="63"/>
      <c r="I226" s="53" t="str">
        <f t="shared" si="8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45">
      <c r="A227" s="55"/>
      <c r="B227" s="55"/>
      <c r="C227" s="55"/>
      <c r="D227" s="55"/>
      <c r="E227" s="63"/>
      <c r="F227" s="63"/>
      <c r="G227" s="63"/>
      <c r="H227" s="63"/>
      <c r="I227" s="53" t="str">
        <f t="shared" si="8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45">
      <c r="A228" s="55"/>
      <c r="B228" s="55"/>
      <c r="C228" s="55"/>
      <c r="D228" s="55"/>
      <c r="E228" s="63"/>
      <c r="F228" s="63"/>
      <c r="G228" s="63"/>
      <c r="H228" s="63"/>
      <c r="I228" s="53" t="str">
        <f t="shared" si="8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45">
      <c r="A229" s="55"/>
      <c r="B229" s="55"/>
      <c r="C229" s="55"/>
      <c r="D229" s="55"/>
      <c r="E229" s="63"/>
      <c r="F229" s="63"/>
      <c r="G229" s="63"/>
      <c r="H229" s="63"/>
      <c r="I229" s="53" t="str">
        <f t="shared" si="8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45">
      <c r="A230" s="55"/>
      <c r="B230" s="55"/>
      <c r="C230" s="55"/>
      <c r="D230" s="55"/>
      <c r="E230" s="64"/>
      <c r="F230" s="64"/>
      <c r="G230" s="64"/>
      <c r="H230" s="64"/>
      <c r="I230" s="53" t="str">
        <f t="shared" si="8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45">
      <c r="A231" s="88"/>
      <c r="B231" s="60"/>
      <c r="C231" s="88"/>
      <c r="D231" s="60"/>
      <c r="E231" s="54"/>
      <c r="F231" s="54"/>
      <c r="G231" s="54"/>
      <c r="H231" s="54"/>
      <c r="I231" s="53" t="str">
        <f t="shared" si="8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45">
      <c r="A232" s="50"/>
      <c r="B232" s="50"/>
      <c r="C232" s="50"/>
      <c r="D232" s="50"/>
      <c r="E232" s="54"/>
      <c r="F232" s="54"/>
      <c r="G232" s="54"/>
      <c r="H232" s="54"/>
      <c r="I232" s="53" t="str">
        <f t="shared" si="8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45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45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45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45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45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45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45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45">
      <c r="A240" s="46" t="s">
        <v>173</v>
      </c>
      <c r="B240" s="52" t="str">
        <f>IF(B17="","",B17)</f>
        <v/>
      </c>
      <c r="D240" s="229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45">
      <c r="A241" s="46"/>
      <c r="B241" s="96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45">
      <c r="A242" s="4"/>
      <c r="B242" s="85" t="s">
        <v>185</v>
      </c>
      <c r="C242" s="258" t="s">
        <v>186</v>
      </c>
      <c r="D242" s="258"/>
      <c r="E242" s="259" t="s">
        <v>187</v>
      </c>
      <c r="F242" s="260"/>
      <c r="G242" s="260"/>
      <c r="H242" s="261"/>
      <c r="I242" s="95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28.5" x14ac:dyDescent="0.45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45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45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45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45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9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45">
      <c r="A248" s="50"/>
      <c r="B248" s="60"/>
      <c r="C248" s="60"/>
      <c r="D248" s="60"/>
      <c r="E248" s="63"/>
      <c r="F248" s="63"/>
      <c r="G248" s="63"/>
      <c r="H248" s="63"/>
      <c r="I248" s="53" t="str">
        <f t="shared" si="9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45">
      <c r="A249" s="50"/>
      <c r="B249" s="60"/>
      <c r="C249" s="60"/>
      <c r="D249" s="60"/>
      <c r="E249" s="63"/>
      <c r="F249" s="63"/>
      <c r="G249" s="63"/>
      <c r="H249" s="63"/>
      <c r="I249" s="53" t="str">
        <f t="shared" si="9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45">
      <c r="A250" s="50"/>
      <c r="B250" s="60"/>
      <c r="C250" s="60"/>
      <c r="D250" s="60"/>
      <c r="E250" s="63"/>
      <c r="F250" s="63"/>
      <c r="G250" s="63"/>
      <c r="H250" s="63"/>
      <c r="I250" s="53" t="str">
        <f t="shared" si="9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45">
      <c r="A251" s="55"/>
      <c r="B251" s="55"/>
      <c r="C251" s="55"/>
      <c r="D251" s="55"/>
      <c r="E251" s="63"/>
      <c r="F251" s="63"/>
      <c r="G251" s="63"/>
      <c r="H251" s="63"/>
      <c r="I251" s="53" t="str">
        <f t="shared" si="9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45">
      <c r="A252" s="55"/>
      <c r="B252" s="55"/>
      <c r="C252" s="55"/>
      <c r="D252" s="55"/>
      <c r="E252" s="63"/>
      <c r="F252" s="63"/>
      <c r="G252" s="63"/>
      <c r="H252" s="63"/>
      <c r="I252" s="53" t="str">
        <f t="shared" si="9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45">
      <c r="A253" s="55"/>
      <c r="B253" s="55"/>
      <c r="C253" s="55"/>
      <c r="D253" s="55"/>
      <c r="E253" s="63"/>
      <c r="F253" s="63"/>
      <c r="G253" s="63"/>
      <c r="H253" s="63"/>
      <c r="I253" s="53" t="str">
        <f t="shared" si="9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45">
      <c r="A254" s="55"/>
      <c r="B254" s="55"/>
      <c r="C254" s="55"/>
      <c r="D254" s="55"/>
      <c r="E254" s="63"/>
      <c r="F254" s="63"/>
      <c r="G254" s="63"/>
      <c r="H254" s="63"/>
      <c r="I254" s="53" t="str">
        <f t="shared" si="9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45">
      <c r="A255" s="55"/>
      <c r="B255" s="55"/>
      <c r="C255" s="55"/>
      <c r="D255" s="55"/>
      <c r="E255" s="63"/>
      <c r="F255" s="63"/>
      <c r="G255" s="63"/>
      <c r="H255" s="63"/>
      <c r="I255" s="53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45">
      <c r="A256" s="55"/>
      <c r="B256" s="55"/>
      <c r="C256" s="55"/>
      <c r="D256" s="55"/>
      <c r="E256" s="64"/>
      <c r="F256" s="64"/>
      <c r="G256" s="64"/>
      <c r="H256" s="64"/>
      <c r="I256" s="53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45">
      <c r="A257" s="88"/>
      <c r="B257" s="60"/>
      <c r="C257" s="88"/>
      <c r="D257" s="60"/>
      <c r="E257" s="54"/>
      <c r="F257" s="54"/>
      <c r="G257" s="54"/>
      <c r="H257" s="54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45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45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45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45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45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45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45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45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45">
      <c r="A266" s="46" t="s">
        <v>174</v>
      </c>
      <c r="B266" s="52" t="str">
        <f>IF(B18="","",B18)</f>
        <v/>
      </c>
      <c r="D266" s="229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45">
      <c r="A267" s="46"/>
      <c r="B267" s="96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45">
      <c r="A268" s="4"/>
      <c r="B268" s="85" t="s">
        <v>185</v>
      </c>
      <c r="C268" s="258" t="s">
        <v>186</v>
      </c>
      <c r="D268" s="258"/>
      <c r="E268" s="259" t="s">
        <v>187</v>
      </c>
      <c r="F268" s="260"/>
      <c r="G268" s="260"/>
      <c r="H268" s="261"/>
      <c r="I268" s="95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28.5" x14ac:dyDescent="0.45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45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45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45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0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45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0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45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45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45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45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45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45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45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45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45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45">
      <c r="A283" s="88"/>
      <c r="B283" s="60"/>
      <c r="C283" s="88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45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45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45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45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45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45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45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45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45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45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45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45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45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45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45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45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45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45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45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45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45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45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45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45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45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45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45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45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45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45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45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45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45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45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45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45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45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45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45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45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45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45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45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45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45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45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45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45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45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45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45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45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45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45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45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45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45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45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45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45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45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45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45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45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45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45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45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45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45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45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45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45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45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45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45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45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45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45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45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45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45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45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45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45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45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45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45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45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45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45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45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45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45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45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45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45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45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45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45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45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45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45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45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45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45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45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45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45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45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45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45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45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45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45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45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45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45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45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45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45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45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45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45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45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45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45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45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45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45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45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45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45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45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45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45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45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45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45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45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45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45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45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45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45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Normal="100" workbookViewId="0">
      <selection activeCell="C30" sqref="C30"/>
    </sheetView>
  </sheetViews>
  <sheetFormatPr baseColWidth="10" defaultColWidth="11.46484375" defaultRowHeight="14.25" x14ac:dyDescent="0.45"/>
  <cols>
    <col min="1" max="1" width="5.86328125" style="1" customWidth="1"/>
    <col min="2" max="2" width="14.1328125" style="1" customWidth="1"/>
    <col min="3" max="3" width="62.1328125" style="1" customWidth="1"/>
    <col min="4" max="5" width="4.33203125" style="1" customWidth="1"/>
    <col min="6" max="6" width="14.33203125" style="1" customWidth="1"/>
    <col min="7" max="7" width="73.33203125" style="1" bestFit="1" customWidth="1"/>
    <col min="8" max="10" width="11.46484375" style="1"/>
    <col min="11" max="11" width="12.53125" style="1" customWidth="1"/>
    <col min="12" max="16384" width="11.46484375" style="1"/>
  </cols>
  <sheetData>
    <row r="1" spans="1:38" ht="14.65" thickBot="1" x14ac:dyDescent="0.5">
      <c r="A1" s="4"/>
      <c r="B1" s="4"/>
      <c r="C1" s="4"/>
      <c r="D1" s="4"/>
      <c r="E1" s="4"/>
      <c r="F1" s="4"/>
      <c r="G1" s="4"/>
      <c r="H1" s="4"/>
      <c r="I1" s="4"/>
      <c r="J1" s="97"/>
      <c r="K1" s="97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5.9" thickBot="1" x14ac:dyDescent="0.8">
      <c r="A2" s="4"/>
      <c r="B2" s="272" t="s">
        <v>191</v>
      </c>
      <c r="C2" s="273"/>
      <c r="D2" s="273"/>
      <c r="E2" s="273"/>
      <c r="F2" s="273"/>
      <c r="G2" s="274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45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45">
      <c r="A4" s="4"/>
      <c r="B4" s="271"/>
      <c r="C4" s="271"/>
      <c r="D4" s="271"/>
      <c r="E4" s="271"/>
      <c r="F4" s="271"/>
      <c r="G4" s="271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45">
      <c r="A5" s="4"/>
      <c r="B5" s="98" t="s">
        <v>296</v>
      </c>
      <c r="C5" s="98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45">
      <c r="A6" s="23"/>
      <c r="B6" s="217"/>
      <c r="C6" s="217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45">
      <c r="A7" s="99"/>
      <c r="B7" s="26" t="s">
        <v>295</v>
      </c>
      <c r="C7" s="100" t="s">
        <v>214</v>
      </c>
      <c r="D7" s="215"/>
      <c r="E7" s="101"/>
      <c r="F7" s="26" t="s">
        <v>295</v>
      </c>
      <c r="G7" s="100" t="s">
        <v>215</v>
      </c>
      <c r="H7" s="216"/>
      <c r="I7" s="216"/>
      <c r="J7" s="216"/>
      <c r="K7" s="216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</row>
    <row r="8" spans="1:38" ht="17.25" customHeight="1" x14ac:dyDescent="0.45">
      <c r="A8" s="105">
        <v>1</v>
      </c>
      <c r="B8" s="61">
        <v>0</v>
      </c>
      <c r="C8" s="49" t="s">
        <v>177</v>
      </c>
      <c r="D8" s="23"/>
      <c r="E8" s="105">
        <v>4</v>
      </c>
      <c r="F8" s="61">
        <v>0</v>
      </c>
      <c r="G8" s="102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45">
      <c r="A9" s="105">
        <v>2</v>
      </c>
      <c r="B9" s="61">
        <v>1</v>
      </c>
      <c r="C9" s="108" t="s">
        <v>216</v>
      </c>
      <c r="D9" s="23"/>
      <c r="E9" s="105">
        <v>5</v>
      </c>
      <c r="F9" s="61">
        <v>0</v>
      </c>
      <c r="G9" s="103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45">
      <c r="A10" s="105">
        <v>3</v>
      </c>
      <c r="B10" s="61">
        <v>0</v>
      </c>
      <c r="C10" s="109" t="s">
        <v>217</v>
      </c>
      <c r="D10" s="23"/>
      <c r="E10" s="4"/>
      <c r="F10" s="106">
        <f>SUM(F7:F9)</f>
        <v>0</v>
      </c>
      <c r="G10" s="104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45">
      <c r="A11" s="23"/>
      <c r="B11" s="106">
        <v>0</v>
      </c>
      <c r="C11" s="104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45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45">
      <c r="A13" s="216"/>
      <c r="B13" s="107"/>
      <c r="C13" s="98" t="s">
        <v>273</v>
      </c>
      <c r="D13" s="216"/>
      <c r="E13" s="99"/>
      <c r="F13" s="107"/>
      <c r="G13" s="98" t="s">
        <v>301</v>
      </c>
      <c r="H13" s="216"/>
      <c r="I13" s="216"/>
      <c r="J13" s="216"/>
      <c r="K13" s="216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</row>
    <row r="14" spans="1:38" s="3" customFormat="1" ht="21" customHeight="1" x14ac:dyDescent="0.45">
      <c r="A14" s="216"/>
      <c r="B14" s="107"/>
      <c r="C14" s="98" t="s">
        <v>309</v>
      </c>
      <c r="D14" s="216"/>
      <c r="E14" s="99"/>
      <c r="F14" s="107"/>
      <c r="G14" s="98" t="s">
        <v>294</v>
      </c>
      <c r="H14" s="216"/>
      <c r="I14" s="216"/>
      <c r="J14" s="216"/>
      <c r="K14" s="216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</row>
    <row r="15" spans="1:38" x14ac:dyDescent="0.45">
      <c r="A15" s="23"/>
      <c r="B15" s="26" t="s">
        <v>295</v>
      </c>
      <c r="C15" s="4"/>
      <c r="D15" s="23"/>
      <c r="E15" s="4"/>
      <c r="F15" s="4"/>
      <c r="G15" s="2" t="s">
        <v>149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45">
      <c r="A16" s="23"/>
      <c r="B16" s="61">
        <v>0</v>
      </c>
      <c r="C16" s="110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45">
      <c r="A17" s="23"/>
      <c r="B17" s="61">
        <v>0</v>
      </c>
      <c r="C17" s="110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45">
      <c r="A18" s="23"/>
      <c r="B18" s="61">
        <v>0</v>
      </c>
      <c r="C18" s="110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45">
      <c r="A19" s="23"/>
      <c r="B19" s="106">
        <f>SUM(B16:B18)</f>
        <v>0</v>
      </c>
      <c r="C19" s="104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45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45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45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45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45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45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45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45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45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4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4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4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4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4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4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4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4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4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4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4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4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4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4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4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4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4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4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4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4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4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4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4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4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4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4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4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4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4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4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4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4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4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4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4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4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4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4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4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4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4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4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4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45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45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45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45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45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45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45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45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45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45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45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45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45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45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45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45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45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45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45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45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45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45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45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45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45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45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45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45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45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45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45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45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45">
      <c r="C104" s="4"/>
      <c r="F104" s="4"/>
    </row>
    <row r="105" spans="3:35" x14ac:dyDescent="0.45">
      <c r="C105" s="4"/>
      <c r="F105" s="4"/>
    </row>
    <row r="106" spans="3:35" x14ac:dyDescent="0.45">
      <c r="C106" s="4"/>
      <c r="F106" s="4"/>
    </row>
    <row r="107" spans="3:35" x14ac:dyDescent="0.45">
      <c r="C107" s="4"/>
      <c r="F107" s="4"/>
    </row>
    <row r="108" spans="3:35" x14ac:dyDescent="0.45">
      <c r="C108" s="4"/>
      <c r="F108" s="4"/>
    </row>
    <row r="109" spans="3:35" x14ac:dyDescent="0.45">
      <c r="C109" s="4"/>
      <c r="F109" s="4"/>
    </row>
    <row r="110" spans="3:35" x14ac:dyDescent="0.45">
      <c r="C110" s="4"/>
      <c r="F110" s="4"/>
    </row>
    <row r="111" spans="3:35" x14ac:dyDescent="0.45">
      <c r="C111" s="4"/>
      <c r="F111" s="4"/>
    </row>
    <row r="112" spans="3:35" x14ac:dyDescent="0.45">
      <c r="C112" s="4"/>
      <c r="F112" s="4"/>
    </row>
    <row r="113" spans="3:6" x14ac:dyDescent="0.45">
      <c r="C113" s="4"/>
      <c r="F113" s="4"/>
    </row>
    <row r="114" spans="3:6" x14ac:dyDescent="0.45">
      <c r="C114" s="4"/>
      <c r="F114" s="4"/>
    </row>
    <row r="115" spans="3:6" x14ac:dyDescent="0.45">
      <c r="C115" s="4"/>
      <c r="F115" s="4"/>
    </row>
    <row r="116" spans="3:6" x14ac:dyDescent="0.45">
      <c r="C116" s="4"/>
      <c r="F116" s="4"/>
    </row>
    <row r="117" spans="3:6" x14ac:dyDescent="0.45">
      <c r="C117" s="4"/>
      <c r="F117" s="4"/>
    </row>
    <row r="118" spans="3:6" x14ac:dyDescent="0.45">
      <c r="C118" s="4"/>
      <c r="F118" s="4"/>
    </row>
    <row r="119" spans="3:6" x14ac:dyDescent="0.45">
      <c r="C119" s="4"/>
      <c r="F119" s="4"/>
    </row>
    <row r="120" spans="3:6" x14ac:dyDescent="0.45">
      <c r="C120" s="4"/>
      <c r="F120" s="4"/>
    </row>
    <row r="121" spans="3:6" x14ac:dyDescent="0.45">
      <c r="C121" s="4"/>
      <c r="F121" s="4"/>
    </row>
    <row r="122" spans="3:6" x14ac:dyDescent="0.45">
      <c r="C122" s="4"/>
      <c r="F122" s="4"/>
    </row>
    <row r="123" spans="3:6" x14ac:dyDescent="0.45">
      <c r="C123" s="4"/>
      <c r="F123" s="4"/>
    </row>
    <row r="124" spans="3:6" x14ac:dyDescent="0.45">
      <c r="C124" s="4"/>
      <c r="F124" s="4"/>
    </row>
    <row r="125" spans="3:6" x14ac:dyDescent="0.45">
      <c r="C125" s="4"/>
      <c r="F125" s="4"/>
    </row>
    <row r="126" spans="3:6" x14ac:dyDescent="0.45">
      <c r="C126" s="4"/>
      <c r="F126" s="4"/>
    </row>
    <row r="127" spans="3:6" x14ac:dyDescent="0.45">
      <c r="C127" s="4"/>
      <c r="F127" s="4"/>
    </row>
    <row r="128" spans="3:6" x14ac:dyDescent="0.45">
      <c r="C128" s="4"/>
      <c r="F128" s="4"/>
    </row>
    <row r="129" spans="3:6" x14ac:dyDescent="0.45">
      <c r="C129" s="4"/>
      <c r="F129" s="4"/>
    </row>
    <row r="130" spans="3:6" x14ac:dyDescent="0.45">
      <c r="C130" s="4"/>
      <c r="F130" s="4"/>
    </row>
    <row r="131" spans="3:6" x14ac:dyDescent="0.45">
      <c r="C131" s="4"/>
      <c r="F131" s="4"/>
    </row>
    <row r="132" spans="3:6" x14ac:dyDescent="0.45">
      <c r="F132" s="4"/>
    </row>
    <row r="133" spans="3:6" x14ac:dyDescent="0.45">
      <c r="F133" s="4"/>
    </row>
    <row r="134" spans="3:6" x14ac:dyDescent="0.45">
      <c r="F134" s="4"/>
    </row>
    <row r="135" spans="3:6" x14ac:dyDescent="0.45">
      <c r="F135" s="4"/>
    </row>
    <row r="136" spans="3:6" x14ac:dyDescent="0.45">
      <c r="F136" s="4"/>
    </row>
    <row r="137" spans="3:6" x14ac:dyDescent="0.45">
      <c r="F137" s="4"/>
    </row>
    <row r="138" spans="3:6" x14ac:dyDescent="0.45">
      <c r="F138" s="4"/>
    </row>
    <row r="139" spans="3:6" x14ac:dyDescent="0.45">
      <c r="F139" s="4"/>
    </row>
    <row r="140" spans="3:6" x14ac:dyDescent="0.45">
      <c r="F140" s="4"/>
    </row>
    <row r="141" spans="3:6" x14ac:dyDescent="0.45">
      <c r="F141" s="4"/>
    </row>
    <row r="142" spans="3:6" x14ac:dyDescent="0.45">
      <c r="F142" s="4"/>
    </row>
    <row r="143" spans="3:6" x14ac:dyDescent="0.45">
      <c r="F143" s="4"/>
    </row>
    <row r="144" spans="3:6" x14ac:dyDescent="0.45">
      <c r="F144" s="4"/>
    </row>
    <row r="145" spans="6:6" x14ac:dyDescent="0.45">
      <c r="F145" s="4"/>
    </row>
    <row r="146" spans="6:6" x14ac:dyDescent="0.45">
      <c r="F146" s="4"/>
    </row>
    <row r="147" spans="6:6" x14ac:dyDescent="0.45">
      <c r="F147" s="4"/>
    </row>
    <row r="148" spans="6:6" x14ac:dyDescent="0.45">
      <c r="F148" s="4"/>
    </row>
    <row r="149" spans="6:6" x14ac:dyDescent="0.45">
      <c r="F149" s="4"/>
    </row>
    <row r="150" spans="6:6" x14ac:dyDescent="0.45">
      <c r="F150" s="4"/>
    </row>
    <row r="151" spans="6:6" x14ac:dyDescent="0.45">
      <c r="F151" s="4"/>
    </row>
    <row r="152" spans="6:6" x14ac:dyDescent="0.45">
      <c r="F152" s="4"/>
    </row>
    <row r="153" spans="6:6" x14ac:dyDescent="0.45">
      <c r="F153" s="4"/>
    </row>
    <row r="154" spans="6:6" x14ac:dyDescent="0.45">
      <c r="F154" s="4"/>
    </row>
    <row r="155" spans="6:6" x14ac:dyDescent="0.45">
      <c r="F155" s="4"/>
    </row>
    <row r="156" spans="6:6" x14ac:dyDescent="0.45">
      <c r="F156" s="4"/>
    </row>
    <row r="157" spans="6:6" x14ac:dyDescent="0.45">
      <c r="F157" s="4"/>
    </row>
    <row r="158" spans="6:6" x14ac:dyDescent="0.45">
      <c r="F158" s="4"/>
    </row>
    <row r="159" spans="6:6" x14ac:dyDescent="0.45">
      <c r="F159" s="4"/>
    </row>
    <row r="160" spans="6:6" x14ac:dyDescent="0.45">
      <c r="F160" s="4"/>
    </row>
    <row r="161" spans="6:6" x14ac:dyDescent="0.45">
      <c r="F161" s="4"/>
    </row>
    <row r="162" spans="6:6" x14ac:dyDescent="0.45">
      <c r="F162" s="4"/>
    </row>
    <row r="163" spans="6:6" x14ac:dyDescent="0.45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6484375" defaultRowHeight="14.25" x14ac:dyDescent="0.45"/>
  <cols>
    <col min="1" max="1" width="6.86328125" style="4" bestFit="1" customWidth="1"/>
    <col min="2" max="4" width="11.46484375" style="4"/>
    <col min="5" max="5" width="9.53125" style="4" customWidth="1"/>
    <col min="6" max="7" width="11.46484375" style="4"/>
    <col min="8" max="8" width="10.6640625" style="4" customWidth="1"/>
    <col min="9" max="9" width="9.46484375" style="4" customWidth="1"/>
    <col min="10" max="11" width="10.53125" style="4" bestFit="1" customWidth="1"/>
    <col min="12" max="12" width="14" style="4" bestFit="1" customWidth="1"/>
    <col min="13" max="13" width="14" style="4" customWidth="1"/>
    <col min="14" max="23" width="11.46484375" style="4"/>
    <col min="24" max="24" width="11.6640625" style="4" bestFit="1" customWidth="1"/>
    <col min="25" max="25" width="14.53125" style="4" bestFit="1" customWidth="1"/>
    <col min="26" max="26" width="12.46484375" style="4" bestFit="1" customWidth="1"/>
    <col min="27" max="27" width="9.6640625" style="4" bestFit="1" customWidth="1"/>
    <col min="28" max="28" width="11" style="4" bestFit="1" customWidth="1"/>
    <col min="29" max="29" width="9.46484375" style="4" bestFit="1" customWidth="1"/>
    <col min="30" max="31" width="9.46484375" style="4" customWidth="1"/>
    <col min="32" max="32" width="11.46484375" style="4"/>
    <col min="33" max="34" width="14" style="4" bestFit="1" customWidth="1"/>
    <col min="35" max="35" width="10.53125" style="4" bestFit="1" customWidth="1"/>
    <col min="36" max="36" width="9.46484375" style="4" bestFit="1" customWidth="1"/>
    <col min="37" max="38" width="10.53125" style="4" bestFit="1" customWidth="1"/>
    <col min="39" max="41" width="10.53125" style="4" customWidth="1"/>
    <col min="42" max="42" width="9" style="4" bestFit="1" customWidth="1"/>
    <col min="43" max="43" width="10.53125" style="4" bestFit="1" customWidth="1"/>
    <col min="44" max="44" width="9.33203125" style="4" bestFit="1" customWidth="1"/>
    <col min="45" max="45" width="11.6640625" style="4" bestFit="1" customWidth="1"/>
    <col min="46" max="46" width="8.46484375" style="4" bestFit="1" customWidth="1"/>
    <col min="47" max="47" width="9.46484375" style="4" bestFit="1" customWidth="1"/>
    <col min="48" max="48" width="9.6640625" style="4" bestFit="1" customWidth="1"/>
    <col min="49" max="49" width="11" style="4" bestFit="1" customWidth="1"/>
    <col min="50" max="50" width="9.46484375" style="4" bestFit="1" customWidth="1"/>
    <col min="51" max="52" width="9.46484375" style="4" customWidth="1"/>
    <col min="53" max="53" width="10.53125" style="4" bestFit="1" customWidth="1"/>
    <col min="54" max="54" width="14.33203125" style="4" customWidth="1"/>
    <col min="55" max="55" width="14" style="4" customWidth="1"/>
    <col min="56" max="56" width="10.53125" style="4" bestFit="1" customWidth="1"/>
    <col min="57" max="57" width="9.46484375" style="4" bestFit="1" customWidth="1"/>
    <col min="58" max="59" width="10.53125" style="4" bestFit="1" customWidth="1"/>
    <col min="60" max="62" width="10.53125" style="4" customWidth="1"/>
    <col min="63" max="63" width="9" style="4" bestFit="1" customWidth="1"/>
    <col min="64" max="64" width="10.53125" style="4" bestFit="1" customWidth="1"/>
    <col min="65" max="65" width="9.33203125" style="4" bestFit="1" customWidth="1"/>
    <col min="66" max="66" width="11.6640625" style="4" bestFit="1" customWidth="1"/>
    <col min="67" max="67" width="8.46484375" style="4" bestFit="1" customWidth="1"/>
    <col min="68" max="68" width="9.46484375" style="4" bestFit="1" customWidth="1"/>
    <col min="69" max="69" width="9.6640625" style="4" bestFit="1" customWidth="1"/>
    <col min="70" max="70" width="11" style="4" bestFit="1" customWidth="1"/>
    <col min="71" max="71" width="9.46484375" style="4" bestFit="1" customWidth="1"/>
    <col min="72" max="73" width="9.46484375" style="4" customWidth="1"/>
    <col min="74" max="74" width="10.53125" style="4" bestFit="1" customWidth="1"/>
    <col min="75" max="75" width="14" style="4" bestFit="1" customWidth="1"/>
    <col min="76" max="76" width="13.86328125" style="4" customWidth="1"/>
    <col min="77" max="77" width="10.53125" style="4" bestFit="1" customWidth="1"/>
    <col min="78" max="78" width="9.46484375" style="4" bestFit="1" customWidth="1"/>
    <col min="79" max="80" width="10.53125" style="4" bestFit="1" customWidth="1"/>
    <col min="81" max="83" width="10.53125" style="4" customWidth="1"/>
    <col min="84" max="84" width="11.46484375" style="4"/>
    <col min="85" max="85" width="10.53125" style="4" bestFit="1" customWidth="1"/>
    <col min="86" max="86" width="9.33203125" style="4" bestFit="1" customWidth="1"/>
    <col min="87" max="87" width="11.6640625" style="4" bestFit="1" customWidth="1"/>
    <col min="88" max="88" width="8.46484375" style="4" bestFit="1" customWidth="1"/>
    <col min="89" max="89" width="9.46484375" style="4" bestFit="1" customWidth="1"/>
    <col min="90" max="90" width="9.6640625" style="4" bestFit="1" customWidth="1"/>
    <col min="91" max="91" width="11" style="4" bestFit="1" customWidth="1"/>
    <col min="92" max="92" width="9.46484375" style="4" bestFit="1" customWidth="1"/>
    <col min="93" max="94" width="9.46484375" style="4" customWidth="1"/>
    <col min="95" max="95" width="11.46484375" style="4"/>
    <col min="96" max="97" width="14" style="4" customWidth="1"/>
    <col min="98" max="98" width="10.53125" style="4" bestFit="1" customWidth="1"/>
    <col min="99" max="99" width="9.46484375" style="4" bestFit="1" customWidth="1"/>
    <col min="100" max="101" width="10.53125" style="4" bestFit="1" customWidth="1"/>
    <col min="102" max="104" width="10.53125" style="4" customWidth="1"/>
    <col min="105" max="105" width="9" style="4" bestFit="1" customWidth="1"/>
    <col min="106" max="106" width="10.53125" style="4" bestFit="1" customWidth="1"/>
    <col min="107" max="107" width="9.33203125" style="4" bestFit="1" customWidth="1"/>
    <col min="108" max="108" width="11.6640625" style="4" bestFit="1" customWidth="1"/>
    <col min="109" max="109" width="8.46484375" style="4" bestFit="1" customWidth="1"/>
    <col min="110" max="110" width="9.46484375" style="4" bestFit="1" customWidth="1"/>
    <col min="111" max="111" width="9.6640625" style="4" bestFit="1" customWidth="1"/>
    <col min="112" max="112" width="11" style="4" bestFit="1" customWidth="1"/>
    <col min="113" max="113" width="9.46484375" style="4" bestFit="1" customWidth="1"/>
    <col min="114" max="115" width="9.46484375" style="4" customWidth="1"/>
    <col min="116" max="116" width="10.53125" style="4" bestFit="1" customWidth="1"/>
    <col min="117" max="117" width="14.33203125" style="4" customWidth="1"/>
    <col min="118" max="118" width="14" style="4" bestFit="1" customWidth="1"/>
    <col min="119" max="119" width="10.53125" style="4" bestFit="1" customWidth="1"/>
    <col min="120" max="120" width="9.46484375" style="4" bestFit="1" customWidth="1"/>
    <col min="121" max="122" width="10.53125" style="4" bestFit="1" customWidth="1"/>
    <col min="123" max="125" width="10.53125" style="4" customWidth="1"/>
    <col min="126" max="126" width="9" style="4" bestFit="1" customWidth="1"/>
    <col min="127" max="127" width="10.53125" style="4" bestFit="1" customWidth="1"/>
    <col min="128" max="128" width="9.33203125" style="4" bestFit="1" customWidth="1"/>
    <col min="129" max="129" width="11.6640625" style="4" bestFit="1" customWidth="1"/>
    <col min="130" max="130" width="8.46484375" style="4" bestFit="1" customWidth="1"/>
    <col min="131" max="131" width="9.46484375" style="4" bestFit="1" customWidth="1"/>
    <col min="132" max="132" width="9.6640625" style="4" bestFit="1" customWidth="1"/>
    <col min="133" max="133" width="11" style="4" bestFit="1" customWidth="1"/>
    <col min="134" max="134" width="9.46484375" style="4" bestFit="1" customWidth="1"/>
    <col min="135" max="136" width="9.46484375" style="4" customWidth="1"/>
    <col min="137" max="137" width="10.53125" style="4" bestFit="1" customWidth="1"/>
    <col min="138" max="139" width="14" style="4" customWidth="1"/>
    <col min="140" max="140" width="10.53125" style="4" bestFit="1" customWidth="1"/>
    <col min="141" max="141" width="9.46484375" style="4" bestFit="1" customWidth="1"/>
    <col min="142" max="143" width="10.53125" style="4" bestFit="1" customWidth="1"/>
    <col min="144" max="146" width="10.53125" style="4" customWidth="1"/>
    <col min="147" max="147" width="9" style="4" bestFit="1" customWidth="1"/>
    <col min="148" max="148" width="10.53125" style="4" bestFit="1" customWidth="1"/>
    <col min="149" max="149" width="9.33203125" style="4" bestFit="1" customWidth="1"/>
    <col min="150" max="150" width="11.6640625" style="4" bestFit="1" customWidth="1"/>
    <col min="151" max="151" width="8.46484375" style="4" bestFit="1" customWidth="1"/>
    <col min="152" max="152" width="9.46484375" style="4" bestFit="1" customWidth="1"/>
    <col min="153" max="153" width="9.6640625" style="4" bestFit="1" customWidth="1"/>
    <col min="154" max="154" width="11" style="4" bestFit="1" customWidth="1"/>
    <col min="155" max="155" width="9.46484375" style="4" bestFit="1" customWidth="1"/>
    <col min="156" max="157" width="9.46484375" style="4" customWidth="1"/>
    <col min="158" max="158" width="11.46484375" style="4"/>
    <col min="159" max="160" width="14" style="4" bestFit="1" customWidth="1"/>
    <col min="161" max="161" width="10.53125" style="4" bestFit="1" customWidth="1"/>
    <col min="162" max="162" width="9.46484375" style="4" bestFit="1" customWidth="1"/>
    <col min="163" max="164" width="10.53125" style="4" bestFit="1" customWidth="1"/>
    <col min="165" max="167" width="10.53125" style="4" customWidth="1"/>
    <col min="168" max="168" width="9" style="4" bestFit="1" customWidth="1"/>
    <col min="169" max="169" width="10.53125" style="4" bestFit="1" customWidth="1"/>
    <col min="170" max="170" width="9.33203125" style="4" bestFit="1" customWidth="1"/>
    <col min="171" max="171" width="11.6640625" style="4" bestFit="1" customWidth="1"/>
    <col min="172" max="172" width="8.1328125" style="4" bestFit="1" customWidth="1"/>
    <col min="173" max="173" width="9.46484375" style="4" bestFit="1" customWidth="1"/>
    <col min="174" max="174" width="9.6640625" style="4" bestFit="1" customWidth="1"/>
    <col min="175" max="175" width="11" style="4" bestFit="1" customWidth="1"/>
    <col min="176" max="176" width="9.46484375" style="4" bestFit="1" customWidth="1"/>
    <col min="177" max="178" width="9.46484375" style="4" customWidth="1"/>
    <col min="179" max="179" width="10.53125" style="4" bestFit="1" customWidth="1"/>
    <col min="180" max="181" width="14" style="4" bestFit="1" customWidth="1"/>
    <col min="182" max="182" width="10.53125" style="4" bestFit="1" customWidth="1"/>
    <col min="183" max="183" width="9.46484375" style="4" bestFit="1" customWidth="1"/>
    <col min="184" max="185" width="10.53125" style="4" bestFit="1" customWidth="1"/>
    <col min="186" max="188" width="10.53125" style="4" customWidth="1"/>
    <col min="189" max="189" width="9" style="4" bestFit="1" customWidth="1"/>
    <col min="190" max="190" width="10.53125" style="4" bestFit="1" customWidth="1"/>
    <col min="191" max="191" width="9.33203125" style="4" bestFit="1" customWidth="1"/>
    <col min="192" max="192" width="11.46484375" style="4"/>
    <col min="193" max="193" width="8.46484375" style="4" bestFit="1" customWidth="1"/>
    <col min="194" max="194" width="9.46484375" style="4" bestFit="1" customWidth="1"/>
    <col min="195" max="195" width="9.6640625" style="4" bestFit="1" customWidth="1"/>
    <col min="196" max="196" width="11" style="4" bestFit="1" customWidth="1"/>
    <col min="197" max="197" width="9.46484375" style="4" bestFit="1" customWidth="1"/>
    <col min="198" max="199" width="9.46484375" style="4" customWidth="1"/>
    <col min="200" max="200" width="10.53125" style="4" bestFit="1" customWidth="1"/>
    <col min="201" max="201" width="14" style="4" customWidth="1"/>
    <col min="202" max="202" width="14.33203125" style="4" customWidth="1"/>
    <col min="203" max="203" width="10.53125" style="4" bestFit="1" customWidth="1"/>
    <col min="204" max="204" width="9.46484375" style="4" bestFit="1" customWidth="1"/>
    <col min="205" max="206" width="10.53125" style="4" bestFit="1" customWidth="1"/>
    <col min="207" max="209" width="10.53125" style="4" customWidth="1"/>
    <col min="210" max="210" width="9" style="4" bestFit="1" customWidth="1"/>
    <col min="211" max="211" width="10.53125" style="4" bestFit="1" customWidth="1"/>
    <col min="212" max="212" width="9.33203125" style="4" bestFit="1" customWidth="1"/>
    <col min="213" max="213" width="11.6640625" style="4" bestFit="1" customWidth="1"/>
    <col min="214" max="214" width="8.46484375" style="4" bestFit="1" customWidth="1"/>
    <col min="215" max="215" width="9.46484375" style="4" bestFit="1" customWidth="1"/>
    <col min="216" max="216" width="9.6640625" style="4" bestFit="1" customWidth="1"/>
    <col min="217" max="217" width="11" style="4" bestFit="1" customWidth="1"/>
    <col min="218" max="218" width="9.46484375" style="4" bestFit="1" customWidth="1"/>
    <col min="219" max="16384" width="11.46484375" style="4"/>
  </cols>
  <sheetData>
    <row r="1" spans="1:218" ht="25.9" thickBot="1" x14ac:dyDescent="0.8">
      <c r="B1" s="278" t="s">
        <v>176</v>
      </c>
      <c r="C1" s="279"/>
      <c r="D1" s="279"/>
      <c r="E1" s="279"/>
      <c r="F1" s="279"/>
      <c r="G1" s="279"/>
      <c r="H1" s="280"/>
      <c r="I1" s="275" t="str">
        <f>IF('Données projet'!$B$9="","",'Données projet'!$B$9)</f>
        <v>Douglas</v>
      </c>
      <c r="J1" s="276"/>
      <c r="K1" s="276"/>
      <c r="L1" s="276"/>
      <c r="M1" s="276"/>
      <c r="N1" s="276"/>
      <c r="O1" s="276"/>
      <c r="P1" s="276"/>
      <c r="Q1" s="276"/>
      <c r="R1" s="276"/>
      <c r="S1" s="276"/>
      <c r="T1" s="276"/>
      <c r="U1" s="276"/>
      <c r="V1" s="276"/>
      <c r="W1" s="276"/>
      <c r="X1" s="276"/>
      <c r="Y1" s="276"/>
      <c r="Z1" s="276"/>
      <c r="AA1" s="276"/>
      <c r="AB1" s="276"/>
      <c r="AC1" s="277"/>
      <c r="AD1" s="276" t="str">
        <f>IF('Données projet'!$B$10="","",'Données projet'!$B$10)</f>
        <v>Mélèze d'Europe</v>
      </c>
      <c r="AE1" s="276"/>
      <c r="AF1" s="276"/>
      <c r="AG1" s="276"/>
      <c r="AH1" s="276"/>
      <c r="AI1" s="276"/>
      <c r="AJ1" s="276"/>
      <c r="AK1" s="276"/>
      <c r="AL1" s="276"/>
      <c r="AM1" s="276"/>
      <c r="AN1" s="276"/>
      <c r="AO1" s="276"/>
      <c r="AP1" s="276"/>
      <c r="AQ1" s="276"/>
      <c r="AR1" s="276"/>
      <c r="AS1" s="276"/>
      <c r="AT1" s="276"/>
      <c r="AU1" s="276"/>
      <c r="AV1" s="276"/>
      <c r="AW1" s="276"/>
      <c r="AX1" s="277"/>
      <c r="AY1" s="275" t="str">
        <f>IF('Données projet'!$B$11="","",'Données projet'!$B$11)</f>
        <v>Hêtre</v>
      </c>
      <c r="AZ1" s="276"/>
      <c r="BA1" s="276"/>
      <c r="BB1" s="276"/>
      <c r="BC1" s="276"/>
      <c r="BD1" s="276"/>
      <c r="BE1" s="276"/>
      <c r="BF1" s="276"/>
      <c r="BG1" s="276"/>
      <c r="BH1" s="276"/>
      <c r="BI1" s="276"/>
      <c r="BJ1" s="276"/>
      <c r="BK1" s="276"/>
      <c r="BL1" s="276"/>
      <c r="BM1" s="276"/>
      <c r="BN1" s="276"/>
      <c r="BO1" s="276"/>
      <c r="BP1" s="276"/>
      <c r="BQ1" s="276"/>
      <c r="BR1" s="276"/>
      <c r="BS1" s="277"/>
      <c r="BT1" s="275" t="str">
        <f>IF('Données projet'!$B$12="","",'Données projet'!$B$12)</f>
        <v/>
      </c>
      <c r="BU1" s="276"/>
      <c r="BV1" s="276"/>
      <c r="BW1" s="276"/>
      <c r="BX1" s="276"/>
      <c r="BY1" s="276"/>
      <c r="BZ1" s="276"/>
      <c r="CA1" s="276"/>
      <c r="CB1" s="276"/>
      <c r="CC1" s="276"/>
      <c r="CD1" s="276"/>
      <c r="CE1" s="276"/>
      <c r="CF1" s="276"/>
      <c r="CG1" s="276"/>
      <c r="CH1" s="276"/>
      <c r="CI1" s="276"/>
      <c r="CJ1" s="276"/>
      <c r="CK1" s="276"/>
      <c r="CL1" s="276"/>
      <c r="CM1" s="276"/>
      <c r="CN1" s="277"/>
      <c r="CO1" s="275" t="str">
        <f>IF('Données projet'!$B$13="","",'Données projet'!$B$13)</f>
        <v/>
      </c>
      <c r="CP1" s="276"/>
      <c r="CQ1" s="276"/>
      <c r="CR1" s="276"/>
      <c r="CS1" s="276"/>
      <c r="CT1" s="276"/>
      <c r="CU1" s="276"/>
      <c r="CV1" s="276"/>
      <c r="CW1" s="276"/>
      <c r="CX1" s="276"/>
      <c r="CY1" s="276"/>
      <c r="CZ1" s="276"/>
      <c r="DA1" s="276"/>
      <c r="DB1" s="276"/>
      <c r="DC1" s="276"/>
      <c r="DD1" s="276"/>
      <c r="DE1" s="276"/>
      <c r="DF1" s="276"/>
      <c r="DG1" s="276"/>
      <c r="DH1" s="276"/>
      <c r="DI1" s="277"/>
      <c r="DJ1" s="275" t="str">
        <f>IF('Données projet'!$B$14="","",'Données projet'!$B$14)</f>
        <v/>
      </c>
      <c r="DK1" s="276"/>
      <c r="DL1" s="276"/>
      <c r="DM1" s="276"/>
      <c r="DN1" s="276"/>
      <c r="DO1" s="276"/>
      <c r="DP1" s="276"/>
      <c r="DQ1" s="276"/>
      <c r="DR1" s="276"/>
      <c r="DS1" s="276"/>
      <c r="DT1" s="276"/>
      <c r="DU1" s="276"/>
      <c r="DV1" s="276"/>
      <c r="DW1" s="276"/>
      <c r="DX1" s="276"/>
      <c r="DY1" s="276"/>
      <c r="DZ1" s="276"/>
      <c r="EA1" s="276"/>
      <c r="EB1" s="276"/>
      <c r="EC1" s="276"/>
      <c r="ED1" s="277"/>
      <c r="EE1" s="275" t="str">
        <f>IF('Données projet'!$B$15="","",'Données projet'!$B$15)</f>
        <v/>
      </c>
      <c r="EF1" s="276"/>
      <c r="EG1" s="276"/>
      <c r="EH1" s="276"/>
      <c r="EI1" s="276"/>
      <c r="EJ1" s="276"/>
      <c r="EK1" s="276"/>
      <c r="EL1" s="276"/>
      <c r="EM1" s="276"/>
      <c r="EN1" s="276"/>
      <c r="EO1" s="276"/>
      <c r="EP1" s="276"/>
      <c r="EQ1" s="276"/>
      <c r="ER1" s="276"/>
      <c r="ES1" s="276"/>
      <c r="ET1" s="276"/>
      <c r="EU1" s="276"/>
      <c r="EV1" s="276"/>
      <c r="EW1" s="276"/>
      <c r="EX1" s="276"/>
      <c r="EY1" s="277"/>
      <c r="EZ1" s="275" t="str">
        <f>IF('Données projet'!$B$16="","",'Données projet'!$B$16)</f>
        <v/>
      </c>
      <c r="FA1" s="276"/>
      <c r="FB1" s="276"/>
      <c r="FC1" s="276"/>
      <c r="FD1" s="276"/>
      <c r="FE1" s="276"/>
      <c r="FF1" s="276"/>
      <c r="FG1" s="276"/>
      <c r="FH1" s="276"/>
      <c r="FI1" s="276"/>
      <c r="FJ1" s="276"/>
      <c r="FK1" s="276"/>
      <c r="FL1" s="276"/>
      <c r="FM1" s="276"/>
      <c r="FN1" s="276"/>
      <c r="FO1" s="276"/>
      <c r="FP1" s="276"/>
      <c r="FQ1" s="276"/>
      <c r="FR1" s="276"/>
      <c r="FS1" s="276"/>
      <c r="FT1" s="277"/>
      <c r="FU1" s="275" t="str">
        <f>IF('Données projet'!$B$17="","",'Données projet'!$B$17)</f>
        <v/>
      </c>
      <c r="FV1" s="276"/>
      <c r="FW1" s="276"/>
      <c r="FX1" s="276"/>
      <c r="FY1" s="276"/>
      <c r="FZ1" s="276"/>
      <c r="GA1" s="276"/>
      <c r="GB1" s="276"/>
      <c r="GC1" s="276"/>
      <c r="GD1" s="276"/>
      <c r="GE1" s="276"/>
      <c r="GF1" s="276"/>
      <c r="GG1" s="276"/>
      <c r="GH1" s="276"/>
      <c r="GI1" s="276"/>
      <c r="GJ1" s="276"/>
      <c r="GK1" s="276"/>
      <c r="GL1" s="276"/>
      <c r="GM1" s="276"/>
      <c r="GN1" s="276"/>
      <c r="GO1" s="277"/>
      <c r="GP1" s="275" t="str">
        <f>IF('Données projet'!$B$18="","",'Données projet'!$B$18)</f>
        <v/>
      </c>
      <c r="GQ1" s="276"/>
      <c r="GR1" s="276"/>
      <c r="GS1" s="276"/>
      <c r="GT1" s="276"/>
      <c r="GU1" s="276"/>
      <c r="GV1" s="276"/>
      <c r="GW1" s="276"/>
      <c r="GX1" s="276"/>
      <c r="GY1" s="276"/>
      <c r="GZ1" s="276"/>
      <c r="HA1" s="276"/>
      <c r="HB1" s="276"/>
      <c r="HC1" s="276"/>
      <c r="HD1" s="276"/>
      <c r="HE1" s="276"/>
      <c r="HF1" s="276"/>
      <c r="HG1" s="276"/>
      <c r="HH1" s="276"/>
      <c r="HI1" s="276"/>
      <c r="HJ1" s="277"/>
    </row>
    <row r="2" spans="1:218" ht="57.4" thickBot="1" x14ac:dyDescent="0.5">
      <c r="A2" s="71" t="s">
        <v>178</v>
      </c>
      <c r="B2" s="72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6" t="s">
        <v>299</v>
      </c>
      <c r="I2" s="68" t="s">
        <v>298</v>
      </c>
      <c r="J2" s="69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9" t="s">
        <v>298</v>
      </c>
      <c r="AE2" s="69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8" t="s">
        <v>298</v>
      </c>
      <c r="AZ2" s="69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8" t="s">
        <v>298</v>
      </c>
      <c r="BU2" s="69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8" t="s">
        <v>298</v>
      </c>
      <c r="CP2" s="69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8" t="s">
        <v>298</v>
      </c>
      <c r="DK2" s="69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8" t="s">
        <v>298</v>
      </c>
      <c r="EF2" s="69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8" t="s">
        <v>298</v>
      </c>
      <c r="FA2" s="69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8" t="s">
        <v>298</v>
      </c>
      <c r="FV2" s="69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8" t="s">
        <v>298</v>
      </c>
      <c r="GQ2" s="69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45">
      <c r="A3" s="10">
        <v>0</v>
      </c>
      <c r="B3" s="73">
        <f>'Scénario référence'!$B$16*5+'Scénario référence'!$B$17*0+'Scénario référence'!$B$18*5</f>
        <v>0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">
        <f>IF(OR('Scénario référence'!$F$8&gt;0,'Scénario référence'!$F$9&gt;0),('Scénario référence'!$F$8+'Scénario référence'!$F$9)*10,0)</f>
        <v>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7">
        <f>(B3+E3+F3)*44/12+(C3+D3)*0.475*44/12</f>
        <v>256.66666666666669</v>
      </c>
      <c r="I3" s="7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256.66666666666669</v>
      </c>
      <c r="S3" s="59">
        <f ca="1">AVERAGE(OFFSET($R$3,0,0,'Données projet'!$E$9+1,1))-AVERAGE(OFFSET($H$3,0,0,'Données projet'!$E$9+1,1))</f>
        <v>280.69347314340195</v>
      </c>
      <c r="T3" s="59">
        <f>IF('Données projet'!E9&gt;30,$R$33-$H$33,LOOKUP('Données projet'!$E$9,$A$3:$A$203,R3:R203)-LOOKUP('Données projet'!$E$9,$A$3:$A$203,$H$3:$H$203))</f>
        <v>152.40533828556482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256.66666666666669</v>
      </c>
      <c r="AN3" s="59">
        <f ca="1">AVERAGE(OFFSET($AM$3,0,0,'Données projet'!$E$10+1,1))-AVERAGE(OFFSET($H$3,0,0,'Données projet'!$E$10+1,1))</f>
        <v>179.4725256147085</v>
      </c>
      <c r="AO3" s="59">
        <f>IF('Données projet'!E10&gt;30,$AM$33-$H$33,LOOKUP('Données projet'!$E$10,$A$3:$A$203,AM3:AM203)-LOOKUP('Données projet'!$E$10,$A$3:$A$203,$H$3:$H$203))</f>
        <v>282.16750121151176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>
        <f>BD3*VLOOKUP('Données projet'!$B$11,Paramètres!$A$1:$I$89,3,0)*VLOOKUP('Données projet'!$B$11,Paramètres!$A$1:$I$89,5,0)</f>
        <v>0</v>
      </c>
      <c r="BF3" s="12">
        <v>0</v>
      </c>
      <c r="BG3" s="14">
        <f>(BE3+BF3)*0.475*44/12</f>
        <v>0</v>
      </c>
      <c r="BH3" s="59">
        <f>BG3+(AY3+AZ3)*44/12</f>
        <v>256.66666666666669</v>
      </c>
      <c r="BI3" s="59">
        <f ca="1">AVERAGE(OFFSET($BH$3,0,0,'Données projet'!$E$11+1,1))-AVERAGE(OFFSET($H$3,0,0,'Données projet'!$E$11+1,1))</f>
        <v>312.89478437044261</v>
      </c>
      <c r="BJ3" s="59">
        <f>IF('Données projet'!E11&gt;30,$BH$33-$H$33,LOOKUP('Données projet'!$E$11,$A$3:$A$203,BH3:BH203)-LOOKUP('Données projet'!$E$11,$A$3:$A$203,$H$3:$H$203))</f>
        <v>276.16555507854571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 t="e">
        <f>BY3*VLOOKUP('Données projet'!$B$12,Paramètres!$A$1:$I$89,3,0)*VLOOKUP('Données projet'!$B$12,Paramètres!$A$1:$I$89,5,0)</f>
        <v>#N/A</v>
      </c>
      <c r="CA3" s="12">
        <v>0</v>
      </c>
      <c r="CB3" s="14" t="e">
        <f>(BZ3+CA3)*0.475*44/12</f>
        <v>#N/A</v>
      </c>
      <c r="CC3" s="59" t="e">
        <f>CB3+(BT3+BU3)*44/12</f>
        <v>#N/A</v>
      </c>
      <c r="CD3" s="59" t="e">
        <f ca="1">AVERAGE(OFFSET($CC$3,0,0,'Données projet'!$E$12+1,1))-AVERAGE(OFFSET($H$3,0,0,'Données projet'!$E$12+1,1))</f>
        <v>#N/A</v>
      </c>
      <c r="CE3" s="59" t="e">
        <f>IF('Données projet'!E12&gt;30,$CC$33-$H$33,LOOKUP('Données projet'!$E$12,$A$3:$A$203,CC3:CC203)-LOOKUP('Données projet'!$E$12,$A$3:$A$203,$H$3:$H$203))</f>
        <v>#N/A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 t="e">
        <f>CT3*VLOOKUP('Données projet'!$B$13,Paramètres!$A$1:$I$89,3,0)*VLOOKUP('Données projet'!$B$13,Paramètres!$A$1:$I$89,5,0)</f>
        <v>#N/A</v>
      </c>
      <c r="CV3" s="12">
        <v>0</v>
      </c>
      <c r="CW3" s="14" t="e">
        <f>(CU3+CV3)*0.475*44/12</f>
        <v>#N/A</v>
      </c>
      <c r="CX3" s="59" t="e">
        <f>CW3+(CO3+CP3)*44/12</f>
        <v>#N/A</v>
      </c>
      <c r="CY3" s="59" t="e">
        <f ca="1">AVERAGE(OFFSET($CX$3,0,0,'Données projet'!$E$13+1,1))-AVERAGE(OFFSET($H$3,0,0,'Données projet'!$E$13+1,1))</f>
        <v>#N/A</v>
      </c>
      <c r="CZ3" s="59" t="e">
        <f>IF('Données projet'!E13&gt;30,$CX$33-$H$33,LOOKUP('Données projet'!$E$13,$A$3:$A$203,CX3:CX203)-LOOKUP('Données projet'!$E$13,$A$3:$A$203,$H$3:$H$203))</f>
        <v>#N/A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 t="e">
        <f>DO3*VLOOKUP('Données projet'!$B$14,Paramètres!$A$1:$I$89,3,0)*VLOOKUP('Données projet'!$B$14,Paramètres!$A$1:$I$89,5,0)</f>
        <v>#N/A</v>
      </c>
      <c r="DQ3" s="12">
        <v>0</v>
      </c>
      <c r="DR3" s="14" t="e">
        <f>(DP3+DQ3)*0.475*44/12</f>
        <v>#N/A</v>
      </c>
      <c r="DS3" s="59" t="e">
        <f>DR3+(DJ3+DK3)*44/12</f>
        <v>#N/A</v>
      </c>
      <c r="DT3" s="59" t="e">
        <f ca="1">AVERAGE(OFFSET($DS$3,0,0,'Données projet'!$E$14+1,1))-AVERAGE(OFFSET($H$3,0,0,'Données projet'!$E$14+1,1))</f>
        <v>#N/A</v>
      </c>
      <c r="DU3" s="59" t="e">
        <f>IF('Données projet'!E14&gt;30,$DS$33-$H$33,LOOKUP('Données projet'!$E$14,$A$3:$A$203,DS3:DS203)-LOOKUP('Données projet'!$E$14,$A$3:$A$203,$H$3:$H$203))</f>
        <v>#N/A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 t="e">
        <f>EJ3*VLOOKUP('Données projet'!$B$15,Paramètres!$A$1:$I$89,3,0)*VLOOKUP('Données projet'!$B$15,Paramètres!$A$1:$I$89,5,0)</f>
        <v>#N/A</v>
      </c>
      <c r="EL3" s="12">
        <v>0</v>
      </c>
      <c r="EM3" s="14" t="e">
        <f>(EK3+EL3)*0.475*44/12</f>
        <v>#N/A</v>
      </c>
      <c r="EN3" s="59" t="e">
        <f>EM3+(EE3+EF3)*44/12</f>
        <v>#N/A</v>
      </c>
      <c r="EO3" s="59" t="e">
        <f ca="1">AVERAGE(OFFSET($EN$3,0,0,'Données projet'!$E$15+1,1))-AVERAGE(OFFSET($H$3,0,0,'Données projet'!$E$15+1,1))</f>
        <v>#N/A</v>
      </c>
      <c r="EP3" s="59" t="e">
        <f>IF('Données projet'!E15&gt;30,$EN$33-$H$33,LOOKUP('Données projet'!$E$15,$A$3:$A$203,EN3:EN203)-LOOKUP('Données projet'!$E$15,$A$3:$A$203,$H$3:$H$203))</f>
        <v>#N/A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9" t="e">
        <f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45">
      <c r="A4" s="10">
        <f>A3+1</f>
        <v>1</v>
      </c>
      <c r="B4" s="73">
        <f>'Scénario référence'!$B$16*5+'Scénario référence'!$B$17*0+'Scénario référence'!$B$18*5</f>
        <v>0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0.88919999999999999</v>
      </c>
      <c r="D4" s="11">
        <f>IFERROR(EXP(-1.0587+0.8836*LN(C4)+0.284),0)</f>
        <v>0.41542055579923082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">
        <f>IF(OR('Scénario référence'!$F$8&gt;0,'Scénario référence'!$F$9&gt;0),('Scénario référence'!$F$8+'Scénario référence'!$F$9)*10,0)</f>
        <v>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10.07075516757301</v>
      </c>
      <c r="H4" s="67">
        <f t="shared" ref="H4:H67" si="1">(B4+E4+F4)*44/12+(C4+D4)*0.475*44/12</f>
        <v>258.93888080135036</v>
      </c>
      <c r="I4" s="7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8.1011764705882356</v>
      </c>
      <c r="N4" s="13">
        <f>IF('Données projet'!$A$36&gt;35,N3+M4-V3,IF(A4&lt;'Données projet'!$A$36,$K$205^A4,IF(A4='Données projet'!$A$36,'Données projet'!$B$36,N3+M4-V3)))</f>
        <v>1.1796834870079891</v>
      </c>
      <c r="O4" s="13">
        <f>N4*VLOOKUP('Données projet'!$B$9,Paramètres!$A$1:$I$89,3,0)*VLOOKUP('Données projet'!$B$9,Paramètres!$A$1:$I$89,5,0)</f>
        <v>0.65944306923746587</v>
      </c>
      <c r="P4" s="13">
        <f>EXP(-1.0587+0.8836*LN(O4)+0.284)</f>
        <v>0.31899004831058925</v>
      </c>
      <c r="Q4" s="20">
        <f t="shared" ref="Q4:Q34" si="2">(O4+P4)*0.475*44/12</f>
        <v>1.704104346396196</v>
      </c>
      <c r="R4" s="59">
        <f t="shared" si="0"/>
        <v>259.59299323528506</v>
      </c>
      <c r="S4" s="59">
        <f ca="1">AVERAGE(OFFSET($R$3,0,0,'Données projet'!$E$9+1,1))-AVERAGE(OFFSET($H$3,0,0,'Données projet'!$E$9+1,1))</f>
        <v>280.69347314340195</v>
      </c>
      <c r="T4" s="59">
        <f>$T$3</f>
        <v>152.40533828556482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6.2222222222222223</v>
      </c>
      <c r="AI4" s="13">
        <f>IF('Données projet'!$A$62&gt;35,AI3+AH4-AQ3,IF(A4&lt;'Données projet'!$A$62,$AF$205^A4,IF(A4='Données projet'!$A$62,'Données projet'!$B$62,AI3+AH4-AQ3)))</f>
        <v>1.2997069632623315</v>
      </c>
      <c r="AJ4" s="13">
        <f>AI4*VLOOKUP('Données projet'!$B$10,Paramètres!$A$1:$I$89,3,0)*VLOOKUP('Données projet'!$B$10,Paramètres!$A$1:$I$89,5,0)</f>
        <v>0.81101714507569489</v>
      </c>
      <c r="AK4" s="13">
        <f>EXP(-1.0587+0.8836*LN(AJ4)+0.284)</f>
        <v>0.38297551084354686</v>
      </c>
      <c r="AL4" s="20">
        <f t="shared" ref="AL4:AL67" si="4">(AJ4+AK4)*0.475*44/12</f>
        <v>2.0795372090593456</v>
      </c>
      <c r="AM4" s="59">
        <f t="shared" ref="AM4:AM67" si="5">AL4+(AD4+AE4)*44/12</f>
        <v>259.96842609794822</v>
      </c>
      <c r="AN4" s="59">
        <f ca="1">AVERAGE(OFFSET($AM$3,0,0,'Données projet'!$E$10+1,1))-AVERAGE(OFFSET($H$3,0,0,'Données projet'!$E$10+1,1))</f>
        <v>179.4725256147085</v>
      </c>
      <c r="AO4" s="59">
        <f>$AO$3</f>
        <v>282.16750121151176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5.3214035087719296</v>
      </c>
      <c r="BD4" s="12">
        <f>IF('Données projet'!$A$88&gt;35,BD3+BC4-BL3,IF(A4&lt;'Données projet'!$A$88,$BA$205^A4,IF(A4='Données projet'!$A$88,'Données projet'!$B$88,BD3+BC4-BL3)))</f>
        <v>5.3214035087719296</v>
      </c>
      <c r="BE4" s="13">
        <f>BD4*VLOOKUP('Données projet'!$B$11,Paramètres!$A$1:$I$89,3,0)*VLOOKUP('Données projet'!$B$11,Paramètres!$A$1:$I$89,5,0)</f>
        <v>4.5657642105263161</v>
      </c>
      <c r="BF4" s="13">
        <f>EXP(-1.0587+0.8836*LN(BE4)+0.284)</f>
        <v>1.763186188926978</v>
      </c>
      <c r="BG4" s="20">
        <f t="shared" ref="BG4:BG67" si="7">(BE4+BF4)*0.475*44/12</f>
        <v>11.022921945714486</v>
      </c>
      <c r="BH4" s="59">
        <f t="shared" ref="BH4:BH67" si="8">BG4+(AY4+AZ4)*44/12</f>
        <v>268.91181083460333</v>
      </c>
      <c r="BI4" s="59">
        <f ca="1">AVERAGE(OFFSET($BH$3,0,0,'Données projet'!$E$11+1,1))-AVERAGE(OFFSET($H$3,0,0,'Données projet'!$E$11+1,1))</f>
        <v>312.89478437044261</v>
      </c>
      <c r="BJ4" s="59">
        <f>$BJ$3</f>
        <v>276.16555507854571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>
        <f>EXP(-LN(2)/35)*BP3+(1-EXP(-LN(2)/35))/(LN(2)/35)*BL4*BM4*VLOOKUP('Données projet'!$B$11,Paramètres!$A$1:$I$89,3,0)*0.475*44/12</f>
        <v>0</v>
      </c>
      <c r="BQ4" s="21">
        <f>EXP(-LN(2)/25)*BQ3+(1-EXP(-LN(2)/25))/(LN(2)/25)*Calculateur!BL4*Calculateur!BN4*VLOOKUP('Données projet'!$B$11,Paramètres!$A$1:$I$89,3,0)*0.475*44/12</f>
        <v>0</v>
      </c>
      <c r="BR4" s="21">
        <f>EXP(-LN(2)/2)*BR3+(1-EXP(-LN(2)/2))/(LN(2)/2)*BL4*BO4*VLOOKUP('Données projet'!$B$11,Paramètres!$A$1:$I$89,3,0)*0.475*44/12</f>
        <v>0</v>
      </c>
      <c r="BS4" s="22">
        <f t="shared" ref="BS4:BS67" si="9">SUM(BP4:BR4)</f>
        <v>0</v>
      </c>
      <c r="BT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0</v>
      </c>
      <c r="BY4" s="12">
        <f>IF('Données projet'!$A$114&gt;35,BY3+BX4-CG3,IF(A4&lt;'Données projet'!$A$114,$BV$205^A4,IF(A4='Données projet'!$A$114,'Données projet'!$B$114,BY3+BX4-CG3)))</f>
        <v>0</v>
      </c>
      <c r="BZ4" s="13" t="e">
        <f>BY4*VLOOKUP('Données projet'!$B$12,Paramètres!$A$1:$I$89,3,0)*VLOOKUP('Données projet'!$B$12,Paramètres!$A$1:$I$89,5,0)</f>
        <v>#N/A</v>
      </c>
      <c r="CA4" s="13" t="e">
        <f>EXP(-1.0587+0.8836*LN(BZ4)+0.284)</f>
        <v>#N/A</v>
      </c>
      <c r="CB4" s="20" t="e">
        <f t="shared" ref="CB4:CB67" si="10">(BZ4+CA4)*0.475*44/12</f>
        <v>#N/A</v>
      </c>
      <c r="CC4" s="59" t="e">
        <f t="shared" ref="CC4:CC67" si="11">CB4+(BT4+BU4)*44/12</f>
        <v>#N/A</v>
      </c>
      <c r="CD4" s="59" t="e">
        <f ca="1">AVERAGE(OFFSET($CC$3,0,0,'Données projet'!$E$12+1,1))-AVERAGE(OFFSET($H$3,0,0,'Données projet'!$E$12+1,1))</f>
        <v>#N/A</v>
      </c>
      <c r="CE4" s="59" t="e">
        <f>$CE$3</f>
        <v>#N/A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 t="e">
        <f>EXP(-LN(2)/35)*CK3+(1-EXP(-LN(2)/35))/(LN(2)/35)*CG4*CH4*VLOOKUP('Données projet'!$B$12,Paramètres!$A$1:$I$89,3,0)*0.475*44/12</f>
        <v>#N/A</v>
      </c>
      <c r="CL4" s="21" t="e">
        <f>EXP(-LN(2)/25)*CL3+(1-EXP(-LN(2)/25))/(LN(2)/25)*Calculateur!CG4*Calculateur!CI4*VLOOKUP('Données projet'!$B$12,Paramètres!$A$1:$I$89,3,0)*0.475*44/12</f>
        <v>#N/A</v>
      </c>
      <c r="CM4" s="21" t="e">
        <f>EXP(-LN(2)/2)*CM3+(1-EXP(-LN(2)/2))/(LN(2)/2)*CG4*CJ4*VLOOKUP('Données projet'!$B$12,Paramètres!$A$1:$I$89,3,0)*0.475*44/12</f>
        <v>#N/A</v>
      </c>
      <c r="CN4" s="22" t="e">
        <f t="shared" ref="CN4:CN67" si="12">SUM(CK4:CM4)</f>
        <v>#N/A</v>
      </c>
      <c r="CO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0</v>
      </c>
      <c r="CT4" s="12">
        <f>IF('Données projet'!$A$140&gt;35,CT3+CS4-DB3,IF(A4&lt;'Données projet'!$A$140,$CQ$205^A4,IF(A4='Données projet'!$A$140,'Données projet'!$B$140,CT3+CS4-DB3)))</f>
        <v>0</v>
      </c>
      <c r="CU4" s="17" t="e">
        <f>CT4*VLOOKUP('Données projet'!$B$13,Paramètres!$A$1:$I$89,3,0)*VLOOKUP('Données projet'!$B$13,Paramètres!$A$1:$I$89,5,0)</f>
        <v>#N/A</v>
      </c>
      <c r="CV4" s="13" t="e">
        <f>EXP(-1.0587+0.8836*LN(CU4)+0.284)</f>
        <v>#N/A</v>
      </c>
      <c r="CW4" s="20" t="e">
        <f t="shared" ref="CW4:CW67" si="13">(CU4+CV4)*0.475*44/12</f>
        <v>#N/A</v>
      </c>
      <c r="CX4" s="59" t="e">
        <f t="shared" ref="CX4:CX67" si="14">CW4+(CO4+CP4)*44/12</f>
        <v>#N/A</v>
      </c>
      <c r="CY4" s="59" t="e">
        <f ca="1">AVERAGE(OFFSET($CX$3,0,0,'Données projet'!$E$13+1,1))-AVERAGE(OFFSET($H$3,0,0,'Données projet'!$E$13+1,1))</f>
        <v>#N/A</v>
      </c>
      <c r="CZ4" s="59" t="e">
        <f>$CZ$3</f>
        <v>#N/A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 t="e">
        <f>EXP(-LN(2)/35)*DF3+(1-EXP(-LN(2)/35))/(LN(2)/35)*DB4*DC4*VLOOKUP('Données projet'!$B$13,Paramètres!$A$1:$I$89,3,0)*0.475*44/12</f>
        <v>#N/A</v>
      </c>
      <c r="DG4" s="21" t="e">
        <f>EXP(-LN(2)/25)*DG3+(1-EXP(-LN(2)/25))/(LN(2)/25)*Calculateur!DB4*Calculateur!DD4*VLOOKUP('Données projet'!$B$13,Paramètres!$A$1:$I$89,3,0)*0.475*44/12</f>
        <v>#N/A</v>
      </c>
      <c r="DH4" s="21" t="e">
        <f>EXP(-LN(2)/2)*DH3+(1-EXP(-LN(2)/2))/(LN(2)/2)*DB4*DE4*VLOOKUP('Données projet'!$B$13,Paramètres!$A$1:$I$89,3,0)*0.475*44/12</f>
        <v>#N/A</v>
      </c>
      <c r="DI4" s="22" t="e">
        <f t="shared" ref="DI4:DI67" si="15">SUM(DF4:DH4)</f>
        <v>#N/A</v>
      </c>
      <c r="DJ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0</v>
      </c>
      <c r="DO4" s="12">
        <f>IF('Données projet'!$A$166&gt;35,DO3+DN4-DW3,IF(A4&lt;'Données projet'!$A$166,$DL$205^A4,IF(A4='Données projet'!$A$166,'Données projet'!$B$166,DO3+DN4-DW3)))</f>
        <v>0</v>
      </c>
      <c r="DP4" s="17" t="e">
        <f>DO4*VLOOKUP('Données projet'!$B$14,Paramètres!$A$1:$I$89,3,0)*VLOOKUP('Données projet'!$B$14,Paramètres!$A$1:$I$89,5,0)</f>
        <v>#N/A</v>
      </c>
      <c r="DQ4" s="13" t="e">
        <f>EXP(-1.0587+0.8836*LN(DP4)+0.284)</f>
        <v>#N/A</v>
      </c>
      <c r="DR4" s="20" t="e">
        <f t="shared" ref="DR4:DR67" si="16">(DP4+DQ4)*0.475*44/12</f>
        <v>#N/A</v>
      </c>
      <c r="DS4" s="59" t="e">
        <f t="shared" ref="DS4:DS67" si="17">DR4+(DJ4+DK4)*44/12</f>
        <v>#N/A</v>
      </c>
      <c r="DT4" s="59" t="e">
        <f ca="1">AVERAGE(OFFSET($DS$3,0,0,'Données projet'!$E$14+1,1))-AVERAGE(OFFSET($H$3,0,0,'Données projet'!$E$14+1,1))</f>
        <v>#N/A</v>
      </c>
      <c r="DU4" s="59" t="e">
        <f>$DU$3</f>
        <v>#N/A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 t="e">
        <f>EXP(-LN(2)/35)*EA3+(1-EXP(-LN(2)/35))/(LN(2)/35)*DW4*DX4*VLOOKUP('Données projet'!$B$14,Paramètres!$A$1:$I$89,3,0)*0.475*44/12</f>
        <v>#N/A</v>
      </c>
      <c r="EB4" s="21" t="e">
        <f>EXP(-LN(2)/25)*EB3+(1-EXP(-LN(2)/25))/(LN(2)/25)*Calculateur!DW4*Calculateur!DY4*VLOOKUP('Données projet'!$B$14,Paramètres!$A$1:$I$89,3,0)*0.475*44/12</f>
        <v>#N/A</v>
      </c>
      <c r="EC4" s="21" t="e">
        <f>EXP(-LN(2)/2)*EC3+(1-EXP(-LN(2)/2))/(LN(2)/2)*DW4*DZ4*VLOOKUP('Données projet'!$B$14,Paramètres!$A$1:$I$89,3,0)*0.475*44/12</f>
        <v>#N/A</v>
      </c>
      <c r="ED4" s="22" t="e">
        <f t="shared" ref="ED4:ED67" si="18">SUM(EA4:EC4)</f>
        <v>#N/A</v>
      </c>
      <c r="EE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0</v>
      </c>
      <c r="EJ4" s="12">
        <f>IF('Données projet'!$A$192&gt;35,EJ3+EI4-ER3,IF(A4&lt;'Données projet'!$A$192,$EG$205^A4,IF(A4='Données projet'!$A$192,'Données projet'!$B$192,EJ3+EI4-ER3)))</f>
        <v>0</v>
      </c>
      <c r="EK4" s="17" t="e">
        <f>EJ4*VLOOKUP('Données projet'!$B$15,Paramètres!$A$1:$I$89,3,0)*VLOOKUP('Données projet'!$B$15,Paramètres!$A$1:$I$89,5,0)</f>
        <v>#N/A</v>
      </c>
      <c r="EL4" s="13" t="e">
        <f>EXP(-1.0587+0.8836*LN(EK4)+0.284)</f>
        <v>#N/A</v>
      </c>
      <c r="EM4" s="20" t="e">
        <f t="shared" ref="EM4:EM67" si="19">(EK4+EL4)*0.475*44/12</f>
        <v>#N/A</v>
      </c>
      <c r="EN4" s="59" t="e">
        <f t="shared" ref="EN4:EN67" si="20">EM4+(EE4+EF4)*44/12</f>
        <v>#N/A</v>
      </c>
      <c r="EO4" s="59" t="e">
        <f ca="1">AVERAGE(OFFSET($EN$3,0,0,'Données projet'!$E$15+1,1))-AVERAGE(OFFSET($H$3,0,0,'Données projet'!$E$15+1,1))</f>
        <v>#N/A</v>
      </c>
      <c r="EP4" s="59" t="e">
        <f>$EP$3</f>
        <v>#N/A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 t="e">
        <f>EXP(-LN(2)/35)*EV3+(1-EXP(-LN(2)/35))/(LN(2)/35)*ER4*ES4*VLOOKUP('Données projet'!$B$15,Paramètres!$A$1:$I$89,3,0)*0.475*44/12</f>
        <v>#N/A</v>
      </c>
      <c r="EW4" s="21" t="e">
        <f>EXP(-LN(2)/25)*EW3+(1-EXP(-LN(2)/25))/(LN(2)/25)*Calculateur!ER4*Calculateur!ET4*VLOOKUP('Données projet'!$B$15,Paramètres!$A$1:$I$89,3,0)*0.475*44/12</f>
        <v>#N/A</v>
      </c>
      <c r="EX4" s="21" t="e">
        <f>EXP(-LN(2)/2)*EX3+(1-EXP(-LN(2)/2))/(LN(2)/2)*ER4*EU4*VLOOKUP('Données projet'!$B$15,Paramètres!$A$1:$I$89,3,0)*0.475*44/12</f>
        <v>#N/A</v>
      </c>
      <c r="EY4" s="22" t="e">
        <f t="shared" ref="EY4:EY67" si="21">SUM(EV4:EX4)</f>
        <v>#N/A</v>
      </c>
      <c r="EZ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9" t="e">
        <f t="shared" ref="FI4:FI67" si="23">FH4+(EZ4+FA4)*44/12</f>
        <v>#N/A</v>
      </c>
      <c r="FJ4" s="59" t="e">
        <f ca="1">AVERAGE(OFFSET($FI$3,0,0,'Données projet'!$E$16+1,1))-AVERAGE(OFFSET($H$3,0,0,'Données projet'!$E$16+1,1))</f>
        <v>#N/A</v>
      </c>
      <c r="FK4" s="59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45">
      <c r="A5" s="10">
        <f t="shared" ref="A5:A68" si="31">A4+1</f>
        <v>2</v>
      </c>
      <c r="B5" s="73">
        <f>'Scénario référence'!$B$16*5+'Scénario référence'!$B$17*0+'Scénario référence'!$B$18*5</f>
        <v>0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1.7784</v>
      </c>
      <c r="D5" s="11">
        <f t="shared" ref="D5:D68" si="32">IFERROR(EXP(-1.0587+0.8836*LN(C5)+0.284),0)</f>
        <v>0.76643986660078545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">
        <f>IF(OR('Scénario référence'!$F$8&gt;0,'Scénario référence'!$F$9&gt;0),('Scénario référence'!$F$8+'Scénario référence'!$F$9)*10,0)</f>
        <v>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19.644377917620098</v>
      </c>
      <c r="H5" s="67">
        <f t="shared" si="1"/>
        <v>261.0989294343297</v>
      </c>
      <c r="I5" s="7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8.1011764705882356</v>
      </c>
      <c r="N5" s="13">
        <f>IF('Données projet'!$A$36&gt;35,N4+M5-V4,IF(A5&lt;'Données projet'!$A$36,$K$205^A5,IF(A5='Données projet'!$A$36,'Données projet'!$B$36,N4+M5-V4)))</f>
        <v>1.3916531295193284</v>
      </c>
      <c r="O5" s="13">
        <f>N5*VLOOKUP('Données projet'!$B$9,Paramètres!$A$1:$I$89,3,0)*VLOOKUP('Données projet'!$B$9,Paramètres!$A$1:$I$89,5,0)</f>
        <v>0.77793409940130454</v>
      </c>
      <c r="P5" s="13">
        <f t="shared" ref="P5:P68" si="33">EXP(-1.0587+0.8836*LN(O5)+0.284)</f>
        <v>0.36913831920858581</v>
      </c>
      <c r="Q5" s="20">
        <f t="shared" si="2"/>
        <v>1.997817795745559</v>
      </c>
      <c r="R5" s="59">
        <f t="shared" si="0"/>
        <v>261.1089289068567</v>
      </c>
      <c r="S5" s="59">
        <f ca="1">AVERAGE(OFFSET($R$3,0,0,'Données projet'!$E$9+1,1))-AVERAGE(OFFSET($H$3,0,0,'Données projet'!$E$9+1,1))</f>
        <v>280.69347314340195</v>
      </c>
      <c r="T5" s="59">
        <f t="shared" ref="T5:T68" si="34">$T$3</f>
        <v>152.40533828556482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6.2222222222222223</v>
      </c>
      <c r="AI5" s="13">
        <f>IF('Données projet'!$A$62&gt;35,AI4+AH5-AQ4,IF(A5&lt;'Données projet'!$A$62,$AF$205^A5,IF(A5='Données projet'!$A$62,'Données projet'!$B$62,AI4+AH5-AQ4)))</f>
        <v>1.6892381903525915</v>
      </c>
      <c r="AJ5" s="13">
        <f>AI5*VLOOKUP('Données projet'!$B$10,Paramètres!$A$1:$I$89,3,0)*VLOOKUP('Données projet'!$B$10,Paramètres!$A$1:$I$89,5,0)</f>
        <v>1.0540846307800171</v>
      </c>
      <c r="AK5" s="13">
        <f t="shared" ref="AK5:AK68" si="35">EXP(-1.0587+0.8836*LN(AJ5)+0.284)</f>
        <v>0.48279730809434274</v>
      </c>
      <c r="AL5" s="20">
        <f t="shared" si="4"/>
        <v>2.6767360435395098</v>
      </c>
      <c r="AM5" s="59">
        <f t="shared" si="5"/>
        <v>261.78784715465065</v>
      </c>
      <c r="AN5" s="59">
        <f ca="1">AVERAGE(OFFSET($AM$3,0,0,'Données projet'!$E$10+1,1))-AVERAGE(OFFSET($H$3,0,0,'Données projet'!$E$10+1,1))</f>
        <v>179.4725256147085</v>
      </c>
      <c r="AO5" s="59">
        <f t="shared" ref="AO5:AO68" si="36">$AO$3</f>
        <v>282.16750121151176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5.3214035087719296</v>
      </c>
      <c r="BD5" s="12">
        <f>IF('Données projet'!$A$88&gt;35,BD4+BC5-BL4,IF(A5&lt;'Données projet'!$A$88,$BA$205^A5,IF(A5='Données projet'!$A$88,'Données projet'!$B$88,BD4+BC5-BL4)))</f>
        <v>10.642807017543859</v>
      </c>
      <c r="BE5" s="13">
        <f>BD5*VLOOKUP('Données projet'!$B$11,Paramètres!$A$1:$I$89,3,0)*VLOOKUP('Données projet'!$B$11,Paramètres!$A$1:$I$89,5,0)</f>
        <v>9.1315284210526322</v>
      </c>
      <c r="BF5" s="13">
        <f t="shared" ref="BF5:BF68" si="37">EXP(-1.0587+0.8836*LN(BE5)+0.284)</f>
        <v>3.2530315810531278</v>
      </c>
      <c r="BG5" s="20">
        <f t="shared" si="7"/>
        <v>21.569775337000863</v>
      </c>
      <c r="BH5" s="59">
        <f t="shared" si="8"/>
        <v>280.68088644811201</v>
      </c>
      <c r="BI5" s="59">
        <f ca="1">AVERAGE(OFFSET($BH$3,0,0,'Données projet'!$E$11+1,1))-AVERAGE(OFFSET($H$3,0,0,'Données projet'!$E$11+1,1))</f>
        <v>312.89478437044261</v>
      </c>
      <c r="BJ5" s="59">
        <f t="shared" ref="BJ5:BJ68" si="38">$BJ$3</f>
        <v>276.16555507854571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>
        <f>EXP(-LN(2)/35)*BP4+(1-EXP(-LN(2)/35))/(LN(2)/35)*BL5*BM5*VLOOKUP('Données projet'!$B$11,Paramètres!$A$1:$I$89,3,0)*0.475*44/12</f>
        <v>0</v>
      </c>
      <c r="BQ5" s="21">
        <f>EXP(-LN(2)/25)*BQ4+(1-EXP(-LN(2)/25))/(LN(2)/25)*Calculateur!BL5*Calculateur!BN5*VLOOKUP('Données projet'!$B$11,Paramètres!$A$1:$I$89,3,0)*0.475*44/12</f>
        <v>0</v>
      </c>
      <c r="BR5" s="21">
        <f>EXP(-LN(2)/2)*BR4+(1-EXP(-LN(2)/2))/(LN(2)/2)*BL5*BO5*VLOOKUP('Données projet'!$B$11,Paramètres!$A$1:$I$89,3,0)*0.475*44/12</f>
        <v>0</v>
      </c>
      <c r="BS5" s="22">
        <f t="shared" si="9"/>
        <v>0</v>
      </c>
      <c r="BT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0</v>
      </c>
      <c r="BY5" s="12">
        <f>IF('Données projet'!$A$114&gt;35,BY4+BX5-CG4,IF(A5&lt;'Données projet'!$A$114,$BV$205^A5,IF(A5='Données projet'!$A$114,'Données projet'!$B$114,BY4+BX5-CG4)))</f>
        <v>0</v>
      </c>
      <c r="BZ5" s="13" t="e">
        <f>BY5*VLOOKUP('Données projet'!$B$12,Paramètres!$A$1:$I$89,3,0)*VLOOKUP('Données projet'!$B$12,Paramètres!$A$1:$I$89,5,0)</f>
        <v>#N/A</v>
      </c>
      <c r="CA5" s="13" t="e">
        <f t="shared" ref="CA5:CA68" si="39">EXP(-1.0587+0.8836*LN(BZ5)+0.284)</f>
        <v>#N/A</v>
      </c>
      <c r="CB5" s="20" t="e">
        <f t="shared" si="10"/>
        <v>#N/A</v>
      </c>
      <c r="CC5" s="59" t="e">
        <f t="shared" si="11"/>
        <v>#N/A</v>
      </c>
      <c r="CD5" s="59" t="e">
        <f ca="1">AVERAGE(OFFSET($CC$3,0,0,'Données projet'!$E$12+1,1))-AVERAGE(OFFSET($H$3,0,0,'Données projet'!$E$12+1,1))</f>
        <v>#N/A</v>
      </c>
      <c r="CE5" s="59" t="e">
        <f t="shared" ref="CE5:CE68" si="40">$CE$3</f>
        <v>#N/A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 t="e">
        <f>EXP(-LN(2)/35)*CK4+(1-EXP(-LN(2)/35))/(LN(2)/35)*CG5*CH5*VLOOKUP('Données projet'!$B$12,Paramètres!$A$1:$I$89,3,0)*0.475*44/12</f>
        <v>#N/A</v>
      </c>
      <c r="CL5" s="21" t="e">
        <f>EXP(-LN(2)/25)*CL4+(1-EXP(-LN(2)/25))/(LN(2)/25)*Calculateur!CG5*Calculateur!CI5*VLOOKUP('Données projet'!$B$12,Paramètres!$A$1:$I$89,3,0)*0.475*44/12</f>
        <v>#N/A</v>
      </c>
      <c r="CM5" s="21" t="e">
        <f>EXP(-LN(2)/2)*CM4+(1-EXP(-LN(2)/2))/(LN(2)/2)*CG5*CJ5*VLOOKUP('Données projet'!$B$12,Paramètres!$A$1:$I$89,3,0)*0.475*44/12</f>
        <v>#N/A</v>
      </c>
      <c r="CN5" s="22" t="e">
        <f t="shared" si="12"/>
        <v>#N/A</v>
      </c>
      <c r="CO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0</v>
      </c>
      <c r="CT5" s="12">
        <f>IF('Données projet'!$A$140&gt;35,CT4+CS5-DB4,IF(A5&lt;'Données projet'!$A$140,$CQ$205^A5,IF(A5='Données projet'!$A$140,'Données projet'!$B$140,CT4+CS5-DB4)))</f>
        <v>0</v>
      </c>
      <c r="CU5" s="17" t="e">
        <f>CT5*VLOOKUP('Données projet'!$B$13,Paramètres!$A$1:$I$89,3,0)*VLOOKUP('Données projet'!$B$13,Paramètres!$A$1:$I$89,5,0)</f>
        <v>#N/A</v>
      </c>
      <c r="CV5" s="13" t="e">
        <f t="shared" ref="CV5:CV68" si="41">EXP(-1.0587+0.8836*LN(CU5)+0.284)</f>
        <v>#N/A</v>
      </c>
      <c r="CW5" s="20" t="e">
        <f t="shared" si="13"/>
        <v>#N/A</v>
      </c>
      <c r="CX5" s="59" t="e">
        <f t="shared" si="14"/>
        <v>#N/A</v>
      </c>
      <c r="CY5" s="59" t="e">
        <f ca="1">AVERAGE(OFFSET($CX$3,0,0,'Données projet'!$E$13+1,1))-AVERAGE(OFFSET($H$3,0,0,'Données projet'!$E$13+1,1))</f>
        <v>#N/A</v>
      </c>
      <c r="CZ5" s="59" t="e">
        <f t="shared" ref="CZ5:CZ68" si="42">$CZ$3</f>
        <v>#N/A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 t="e">
        <f>EXP(-LN(2)/35)*DF4+(1-EXP(-LN(2)/35))/(LN(2)/35)*DB5*DC5*VLOOKUP('Données projet'!$B$13,Paramètres!$A$1:$I$89,3,0)*0.475*44/12</f>
        <v>#N/A</v>
      </c>
      <c r="DG5" s="21" t="e">
        <f>EXP(-LN(2)/25)*DG4+(1-EXP(-LN(2)/25))/(LN(2)/25)*Calculateur!DB5*Calculateur!DD5*VLOOKUP('Données projet'!$B$13,Paramètres!$A$1:$I$89,3,0)*0.475*44/12</f>
        <v>#N/A</v>
      </c>
      <c r="DH5" s="21" t="e">
        <f>EXP(-LN(2)/2)*DH4+(1-EXP(-LN(2)/2))/(LN(2)/2)*DB5*DE5*VLOOKUP('Données projet'!$B$13,Paramètres!$A$1:$I$89,3,0)*0.475*44/12</f>
        <v>#N/A</v>
      </c>
      <c r="DI5" s="22" t="e">
        <f t="shared" si="15"/>
        <v>#N/A</v>
      </c>
      <c r="DJ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0</v>
      </c>
      <c r="DO5" s="12">
        <f>IF('Données projet'!$A$166&gt;35,DO4+DN5-DW4,IF(A5&lt;'Données projet'!$A$166,$DL$205^A5,IF(A5='Données projet'!$A$166,'Données projet'!$B$166,DO4+DN5-DW4)))</f>
        <v>0</v>
      </c>
      <c r="DP5" s="17" t="e">
        <f>DO5*VLOOKUP('Données projet'!$B$14,Paramètres!$A$1:$I$89,3,0)*VLOOKUP('Données projet'!$B$14,Paramètres!$A$1:$I$89,5,0)</f>
        <v>#N/A</v>
      </c>
      <c r="DQ5" s="13" t="e">
        <f t="shared" ref="DQ5:DQ68" si="43">EXP(-1.0587+0.8836*LN(DP5)+0.284)</f>
        <v>#N/A</v>
      </c>
      <c r="DR5" s="20" t="e">
        <f t="shared" si="16"/>
        <v>#N/A</v>
      </c>
      <c r="DS5" s="59" t="e">
        <f t="shared" si="17"/>
        <v>#N/A</v>
      </c>
      <c r="DT5" s="59" t="e">
        <f ca="1">AVERAGE(OFFSET($DS$3,0,0,'Données projet'!$E$14+1,1))-AVERAGE(OFFSET($H$3,0,0,'Données projet'!$E$14+1,1))</f>
        <v>#N/A</v>
      </c>
      <c r="DU5" s="59" t="e">
        <f t="shared" ref="DU5:DU68" si="44">$DU$3</f>
        <v>#N/A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 t="e">
        <f>EXP(-LN(2)/35)*EA4+(1-EXP(-LN(2)/35))/(LN(2)/35)*DW5*DX5*VLOOKUP('Données projet'!$B$14,Paramètres!$A$1:$I$89,3,0)*0.475*44/12</f>
        <v>#N/A</v>
      </c>
      <c r="EB5" s="21" t="e">
        <f>EXP(-LN(2)/25)*EB4+(1-EXP(-LN(2)/25))/(LN(2)/25)*Calculateur!DW5*Calculateur!DY5*VLOOKUP('Données projet'!$B$14,Paramètres!$A$1:$I$89,3,0)*0.475*44/12</f>
        <v>#N/A</v>
      </c>
      <c r="EC5" s="21" t="e">
        <f>EXP(-LN(2)/2)*EC4+(1-EXP(-LN(2)/2))/(LN(2)/2)*DW5*DZ5*VLOOKUP('Données projet'!$B$14,Paramètres!$A$1:$I$89,3,0)*0.475*44/12</f>
        <v>#N/A</v>
      </c>
      <c r="ED5" s="22" t="e">
        <f t="shared" si="18"/>
        <v>#N/A</v>
      </c>
      <c r="EE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0</v>
      </c>
      <c r="EJ5" s="12">
        <f>IF('Données projet'!$A$192&gt;35,EJ4+EI5-ER4,IF(A5&lt;'Données projet'!$A$192,$EG$205^A5,IF(A5='Données projet'!$A$192,'Données projet'!$B$192,EJ4+EI5-ER4)))</f>
        <v>0</v>
      </c>
      <c r="EK5" s="17" t="e">
        <f>EJ5*VLOOKUP('Données projet'!$B$15,Paramètres!$A$1:$I$89,3,0)*VLOOKUP('Données projet'!$B$15,Paramètres!$A$1:$I$89,5,0)</f>
        <v>#N/A</v>
      </c>
      <c r="EL5" s="13" t="e">
        <f t="shared" ref="EL5:EL68" si="45">EXP(-1.0587+0.8836*LN(EK5)+0.284)</f>
        <v>#N/A</v>
      </c>
      <c r="EM5" s="20" t="e">
        <f t="shared" si="19"/>
        <v>#N/A</v>
      </c>
      <c r="EN5" s="59" t="e">
        <f t="shared" si="20"/>
        <v>#N/A</v>
      </c>
      <c r="EO5" s="59" t="e">
        <f ca="1">AVERAGE(OFFSET($EN$3,0,0,'Données projet'!$E$15+1,1))-AVERAGE(OFFSET($H$3,0,0,'Données projet'!$E$15+1,1))</f>
        <v>#N/A</v>
      </c>
      <c r="EP5" s="59" t="e">
        <f t="shared" ref="EP5:EP68" si="46">$EP$3</f>
        <v>#N/A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 t="e">
        <f>EXP(-LN(2)/35)*EV4+(1-EXP(-LN(2)/35))/(LN(2)/35)*ER5*ES5*VLOOKUP('Données projet'!$B$15,Paramètres!$A$1:$I$89,3,0)*0.475*44/12</f>
        <v>#N/A</v>
      </c>
      <c r="EW5" s="21" t="e">
        <f>EXP(-LN(2)/25)*EW4+(1-EXP(-LN(2)/25))/(LN(2)/25)*Calculateur!ER5*Calculateur!ET5*VLOOKUP('Données projet'!$B$15,Paramètres!$A$1:$I$89,3,0)*0.475*44/12</f>
        <v>#N/A</v>
      </c>
      <c r="EX5" s="21" t="e">
        <f>EXP(-LN(2)/2)*EX4+(1-EXP(-LN(2)/2))/(LN(2)/2)*ER5*EU5*VLOOKUP('Données projet'!$B$15,Paramètres!$A$1:$I$89,3,0)*0.475*44/12</f>
        <v>#N/A</v>
      </c>
      <c r="EY5" s="22" t="e">
        <f t="shared" si="21"/>
        <v>#N/A</v>
      </c>
      <c r="EZ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45">
      <c r="A6" s="10">
        <f t="shared" si="31"/>
        <v>3</v>
      </c>
      <c r="B6" s="73">
        <f>'Scénario référence'!$B$16*5+'Scénario référence'!$B$17*0+'Scénario référence'!$B$18*5</f>
        <v>0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2.6676000000000002</v>
      </c>
      <c r="D6" s="11">
        <f t="shared" si="32"/>
        <v>1.0966608080083624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">
        <f>IF(OR('Scénario référence'!$F$8&gt;0,'Scénario référence'!$F$9&gt;0),('Scénario référence'!$F$8+'Scénario référence'!$F$9)*10,0)</f>
        <v>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29.057451851292623</v>
      </c>
      <c r="H6" s="67">
        <f t="shared" si="1"/>
        <v>263.22275424061456</v>
      </c>
      <c r="I6" s="7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8.1011764705882356</v>
      </c>
      <c r="N6" s="13">
        <f>IF('Données projet'!$A$36&gt;35,N5+M6-V5,IF(A6&lt;'Données projet'!$A$36,$K$205^A6,IF(A6='Données projet'!$A$36,'Données projet'!$B$36,N5+M6-V5)))</f>
        <v>1.6417102165369419</v>
      </c>
      <c r="O6" s="13">
        <f>N6*VLOOKUP('Données projet'!$B$9,Paramètres!$A$1:$I$89,3,0)*VLOOKUP('Données projet'!$B$9,Paramètres!$A$1:$I$89,5,0)</f>
        <v>0.91771601104415057</v>
      </c>
      <c r="P6" s="13">
        <f t="shared" si="33"/>
        <v>0.42717037547035097</v>
      </c>
      <c r="Q6" s="20">
        <f t="shared" si="2"/>
        <v>2.3423437898460904</v>
      </c>
      <c r="R6" s="59">
        <f t="shared" si="0"/>
        <v>262.67567712317941</v>
      </c>
      <c r="S6" s="59">
        <f ca="1">AVERAGE(OFFSET($R$3,0,0,'Données projet'!$E$9+1,1))-AVERAGE(OFFSET($H$3,0,0,'Données projet'!$E$9+1,1))</f>
        <v>280.69347314340195</v>
      </c>
      <c r="T6" s="59">
        <f t="shared" si="34"/>
        <v>152.40533828556482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6.2222222222222223</v>
      </c>
      <c r="AI6" s="13">
        <f>IF('Données projet'!$A$62&gt;35,AI5+AH6-AQ5,IF(A6&lt;'Données projet'!$A$62,$AF$205^A6,IF(A6='Données projet'!$A$62,'Données projet'!$B$62,AI5+AH6-AQ5)))</f>
        <v>2.1955146386099229</v>
      </c>
      <c r="AJ6" s="13">
        <f>AI6*VLOOKUP('Données projet'!$B$10,Paramètres!$A$1:$I$89,3,0)*VLOOKUP('Données projet'!$B$10,Paramètres!$A$1:$I$89,5,0)</f>
        <v>1.3700011344925918</v>
      </c>
      <c r="AK6" s="13">
        <f t="shared" si="35"/>
        <v>0.60863745619068288</v>
      </c>
      <c r="AL6" s="20">
        <f t="shared" si="4"/>
        <v>3.4461288787733699</v>
      </c>
      <c r="AM6" s="59">
        <f t="shared" si="5"/>
        <v>263.77946221210669</v>
      </c>
      <c r="AN6" s="59">
        <f ca="1">AVERAGE(OFFSET($AM$3,0,0,'Données projet'!$E$10+1,1))-AVERAGE(OFFSET($H$3,0,0,'Données projet'!$E$10+1,1))</f>
        <v>179.4725256147085</v>
      </c>
      <c r="AO6" s="59">
        <f t="shared" si="36"/>
        <v>282.16750121151176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5.3214035087719296</v>
      </c>
      <c r="BD6" s="12">
        <f>IF('Données projet'!$A$88&gt;35,BD5+BC6-BL5,IF(A6&lt;'Données projet'!$A$88,$BA$205^A6,IF(A6='Données projet'!$A$88,'Données projet'!$B$88,BD5+BC6-BL5)))</f>
        <v>15.964210526315789</v>
      </c>
      <c r="BE6" s="13">
        <f>BD6*VLOOKUP('Données projet'!$B$11,Paramètres!$A$1:$I$89,3,0)*VLOOKUP('Données projet'!$B$11,Paramètres!$A$1:$I$89,5,0)</f>
        <v>13.697292631578948</v>
      </c>
      <c r="BF6" s="13">
        <f t="shared" si="37"/>
        <v>4.6546016166622852</v>
      </c>
      <c r="BG6" s="20">
        <f t="shared" si="7"/>
        <v>31.962882482353482</v>
      </c>
      <c r="BH6" s="59">
        <f t="shared" si="8"/>
        <v>292.29621581568682</v>
      </c>
      <c r="BI6" s="59">
        <f ca="1">AVERAGE(OFFSET($BH$3,0,0,'Données projet'!$E$11+1,1))-AVERAGE(OFFSET($H$3,0,0,'Données projet'!$E$11+1,1))</f>
        <v>312.89478437044261</v>
      </c>
      <c r="BJ6" s="59">
        <f t="shared" si="38"/>
        <v>276.16555507854571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>
        <f>EXP(-LN(2)/35)*BP5+(1-EXP(-LN(2)/35))/(LN(2)/35)*BL6*BM6*VLOOKUP('Données projet'!$B$11,Paramètres!$A$1:$I$89,3,0)*0.475*44/12</f>
        <v>0</v>
      </c>
      <c r="BQ6" s="21">
        <f>EXP(-LN(2)/25)*BQ5+(1-EXP(-LN(2)/25))/(LN(2)/25)*Calculateur!BL6*Calculateur!BN6*VLOOKUP('Données projet'!$B$11,Paramètres!$A$1:$I$89,3,0)*0.475*44/12</f>
        <v>0</v>
      </c>
      <c r="BR6" s="21">
        <f>EXP(-LN(2)/2)*BR5+(1-EXP(-LN(2)/2))/(LN(2)/2)*BL6*BO6*VLOOKUP('Données projet'!$B$11,Paramètres!$A$1:$I$89,3,0)*0.475*44/12</f>
        <v>0</v>
      </c>
      <c r="BS6" s="22">
        <f t="shared" si="9"/>
        <v>0</v>
      </c>
      <c r="BT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0</v>
      </c>
      <c r="BY6" s="12">
        <f>IF('Données projet'!$A$114&gt;35,BY5+BX6-CG5,IF(A6&lt;'Données projet'!$A$114,$BV$205^A6,IF(A6='Données projet'!$A$114,'Données projet'!$B$114,BY5+BX6-CG5)))</f>
        <v>0</v>
      </c>
      <c r="BZ6" s="13" t="e">
        <f>BY6*VLOOKUP('Données projet'!$B$12,Paramètres!$A$1:$I$89,3,0)*VLOOKUP('Données projet'!$B$12,Paramètres!$A$1:$I$89,5,0)</f>
        <v>#N/A</v>
      </c>
      <c r="CA6" s="13" t="e">
        <f t="shared" si="39"/>
        <v>#N/A</v>
      </c>
      <c r="CB6" s="20" t="e">
        <f t="shared" si="10"/>
        <v>#N/A</v>
      </c>
      <c r="CC6" s="59" t="e">
        <f t="shared" si="11"/>
        <v>#N/A</v>
      </c>
      <c r="CD6" s="59" t="e">
        <f ca="1">AVERAGE(OFFSET($CC$3,0,0,'Données projet'!$E$12+1,1))-AVERAGE(OFFSET($H$3,0,0,'Données projet'!$E$12+1,1))</f>
        <v>#N/A</v>
      </c>
      <c r="CE6" s="59" t="e">
        <f t="shared" si="40"/>
        <v>#N/A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 t="e">
        <f>EXP(-LN(2)/35)*CK5+(1-EXP(-LN(2)/35))/(LN(2)/35)*CG6*CH6*VLOOKUP('Données projet'!$B$12,Paramètres!$A$1:$I$89,3,0)*0.475*44/12</f>
        <v>#N/A</v>
      </c>
      <c r="CL6" s="21" t="e">
        <f>EXP(-LN(2)/25)*CL5+(1-EXP(-LN(2)/25))/(LN(2)/25)*Calculateur!CG6*Calculateur!CI6*VLOOKUP('Données projet'!$B$12,Paramètres!$A$1:$I$89,3,0)*0.475*44/12</f>
        <v>#N/A</v>
      </c>
      <c r="CM6" s="21" t="e">
        <f>EXP(-LN(2)/2)*CM5+(1-EXP(-LN(2)/2))/(LN(2)/2)*CG6*CJ6*VLOOKUP('Données projet'!$B$12,Paramètres!$A$1:$I$89,3,0)*0.475*44/12</f>
        <v>#N/A</v>
      </c>
      <c r="CN6" s="22" t="e">
        <f t="shared" si="12"/>
        <v>#N/A</v>
      </c>
      <c r="CO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0</v>
      </c>
      <c r="CT6" s="12">
        <f>IF('Données projet'!$A$140&gt;35,CT5+CS6-DB5,IF(A6&lt;'Données projet'!$A$140,$CQ$205^A6,IF(A6='Données projet'!$A$140,'Données projet'!$B$140,CT5+CS6-DB5)))</f>
        <v>0</v>
      </c>
      <c r="CU6" s="17" t="e">
        <f>CT6*VLOOKUP('Données projet'!$B$13,Paramètres!$A$1:$I$89,3,0)*VLOOKUP('Données projet'!$B$13,Paramètres!$A$1:$I$89,5,0)</f>
        <v>#N/A</v>
      </c>
      <c r="CV6" s="13" t="e">
        <f t="shared" si="41"/>
        <v>#N/A</v>
      </c>
      <c r="CW6" s="20" t="e">
        <f t="shared" si="13"/>
        <v>#N/A</v>
      </c>
      <c r="CX6" s="59" t="e">
        <f t="shared" si="14"/>
        <v>#N/A</v>
      </c>
      <c r="CY6" s="59" t="e">
        <f ca="1">AVERAGE(OFFSET($CX$3,0,0,'Données projet'!$E$13+1,1))-AVERAGE(OFFSET($H$3,0,0,'Données projet'!$E$13+1,1))</f>
        <v>#N/A</v>
      </c>
      <c r="CZ6" s="59" t="e">
        <f t="shared" si="42"/>
        <v>#N/A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 t="e">
        <f>EXP(-LN(2)/35)*DF5+(1-EXP(-LN(2)/35))/(LN(2)/35)*DB6*DC6*VLOOKUP('Données projet'!$B$13,Paramètres!$A$1:$I$89,3,0)*0.475*44/12</f>
        <v>#N/A</v>
      </c>
      <c r="DG6" s="21" t="e">
        <f>EXP(-LN(2)/25)*DG5+(1-EXP(-LN(2)/25))/(LN(2)/25)*Calculateur!DB6*Calculateur!DD6*VLOOKUP('Données projet'!$B$13,Paramètres!$A$1:$I$89,3,0)*0.475*44/12</f>
        <v>#N/A</v>
      </c>
      <c r="DH6" s="21" t="e">
        <f>EXP(-LN(2)/2)*DH5+(1-EXP(-LN(2)/2))/(LN(2)/2)*DB6*DE6*VLOOKUP('Données projet'!$B$13,Paramètres!$A$1:$I$89,3,0)*0.475*44/12</f>
        <v>#N/A</v>
      </c>
      <c r="DI6" s="22" t="e">
        <f t="shared" si="15"/>
        <v>#N/A</v>
      </c>
      <c r="DJ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0</v>
      </c>
      <c r="DO6" s="12">
        <f>IF('Données projet'!$A$166&gt;35,DO5+DN6-DW5,IF(A6&lt;'Données projet'!$A$166,$DL$205^A6,IF(A6='Données projet'!$A$166,'Données projet'!$B$166,DO5+DN6-DW5)))</f>
        <v>0</v>
      </c>
      <c r="DP6" s="17" t="e">
        <f>DO6*VLOOKUP('Données projet'!$B$14,Paramètres!$A$1:$I$89,3,0)*VLOOKUP('Données projet'!$B$14,Paramètres!$A$1:$I$89,5,0)</f>
        <v>#N/A</v>
      </c>
      <c r="DQ6" s="13" t="e">
        <f t="shared" si="43"/>
        <v>#N/A</v>
      </c>
      <c r="DR6" s="20" t="e">
        <f t="shared" si="16"/>
        <v>#N/A</v>
      </c>
      <c r="DS6" s="59" t="e">
        <f t="shared" si="17"/>
        <v>#N/A</v>
      </c>
      <c r="DT6" s="59" t="e">
        <f ca="1">AVERAGE(OFFSET($DS$3,0,0,'Données projet'!$E$14+1,1))-AVERAGE(OFFSET($H$3,0,0,'Données projet'!$E$14+1,1))</f>
        <v>#N/A</v>
      </c>
      <c r="DU6" s="59" t="e">
        <f t="shared" si="44"/>
        <v>#N/A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 t="e">
        <f>EXP(-LN(2)/35)*EA5+(1-EXP(-LN(2)/35))/(LN(2)/35)*DW6*DX6*VLOOKUP('Données projet'!$B$14,Paramètres!$A$1:$I$89,3,0)*0.475*44/12</f>
        <v>#N/A</v>
      </c>
      <c r="EB6" s="21" t="e">
        <f>EXP(-LN(2)/25)*EB5+(1-EXP(-LN(2)/25))/(LN(2)/25)*Calculateur!DW6*Calculateur!DY6*VLOOKUP('Données projet'!$B$14,Paramètres!$A$1:$I$89,3,0)*0.475*44/12</f>
        <v>#N/A</v>
      </c>
      <c r="EC6" s="21" t="e">
        <f>EXP(-LN(2)/2)*EC5+(1-EXP(-LN(2)/2))/(LN(2)/2)*DW6*DZ6*VLOOKUP('Données projet'!$B$14,Paramètres!$A$1:$I$89,3,0)*0.475*44/12</f>
        <v>#N/A</v>
      </c>
      <c r="ED6" s="22" t="e">
        <f t="shared" si="18"/>
        <v>#N/A</v>
      </c>
      <c r="EE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0</v>
      </c>
      <c r="EJ6" s="12">
        <f>IF('Données projet'!$A$192&gt;35,EJ5+EI6-ER5,IF(A6&lt;'Données projet'!$A$192,$EG$205^A6,IF(A6='Données projet'!$A$192,'Données projet'!$B$192,EJ5+EI6-ER5)))</f>
        <v>0</v>
      </c>
      <c r="EK6" s="17" t="e">
        <f>EJ6*VLOOKUP('Données projet'!$B$15,Paramètres!$A$1:$I$89,3,0)*VLOOKUP('Données projet'!$B$15,Paramètres!$A$1:$I$89,5,0)</f>
        <v>#N/A</v>
      </c>
      <c r="EL6" s="13" t="e">
        <f t="shared" si="45"/>
        <v>#N/A</v>
      </c>
      <c r="EM6" s="20" t="e">
        <f t="shared" si="19"/>
        <v>#N/A</v>
      </c>
      <c r="EN6" s="59" t="e">
        <f t="shared" si="20"/>
        <v>#N/A</v>
      </c>
      <c r="EO6" s="59" t="e">
        <f ca="1">AVERAGE(OFFSET($EN$3,0,0,'Données projet'!$E$15+1,1))-AVERAGE(OFFSET($H$3,0,0,'Données projet'!$E$15+1,1))</f>
        <v>#N/A</v>
      </c>
      <c r="EP6" s="59" t="e">
        <f t="shared" si="46"/>
        <v>#N/A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 t="e">
        <f>EXP(-LN(2)/35)*EV5+(1-EXP(-LN(2)/35))/(LN(2)/35)*ER6*ES6*VLOOKUP('Données projet'!$B$15,Paramètres!$A$1:$I$89,3,0)*0.475*44/12</f>
        <v>#N/A</v>
      </c>
      <c r="EW6" s="21" t="e">
        <f>EXP(-LN(2)/25)*EW5+(1-EXP(-LN(2)/25))/(LN(2)/25)*Calculateur!ER6*Calculateur!ET6*VLOOKUP('Données projet'!$B$15,Paramètres!$A$1:$I$89,3,0)*0.475*44/12</f>
        <v>#N/A</v>
      </c>
      <c r="EX6" s="21" t="e">
        <f>EXP(-LN(2)/2)*EX5+(1-EXP(-LN(2)/2))/(LN(2)/2)*ER6*EU6*VLOOKUP('Données projet'!$B$15,Paramètres!$A$1:$I$89,3,0)*0.475*44/12</f>
        <v>#N/A</v>
      </c>
      <c r="EY6" s="22" t="e">
        <f t="shared" si="21"/>
        <v>#N/A</v>
      </c>
      <c r="EZ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45">
      <c r="A7" s="10">
        <f t="shared" si="31"/>
        <v>4</v>
      </c>
      <c r="B7" s="73">
        <f>'Scénario référence'!$B$16*5+'Scénario référence'!$B$17*0+'Scénario référence'!$B$18*5</f>
        <v>0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3.5568</v>
      </c>
      <c r="D7" s="11">
        <f t="shared" si="32"/>
        <v>1.4140611505968179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">
        <f>IF(OR('Scénario référence'!$F$8&gt;0,'Scénario référence'!$F$9&gt;0),('Scénario référence'!$F$8+'Scénario référence'!$F$9)*10,0)</f>
        <v>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38.37155975899298</v>
      </c>
      <c r="H7" s="67">
        <f t="shared" si="1"/>
        <v>265.32424983728947</v>
      </c>
      <c r="I7" s="7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8.1011764705882356</v>
      </c>
      <c r="N7" s="13">
        <f>IF('Données projet'!$A$36&gt;35,N6+M7-V6,IF(A7&lt;'Données projet'!$A$36,$K$205^A7,IF(A7='Données projet'!$A$36,'Données projet'!$B$36,N6+M7-V6)))</f>
        <v>1.9366984329009407</v>
      </c>
      <c r="O7" s="13">
        <f>N7*VLOOKUP('Données projet'!$B$9,Paramètres!$A$1:$I$89,3,0)*VLOOKUP('Données projet'!$B$9,Paramètres!$A$1:$I$89,5,0)</f>
        <v>1.0826144239916258</v>
      </c>
      <c r="P7" s="13">
        <f t="shared" si="33"/>
        <v>0.49432562317208611</v>
      </c>
      <c r="Q7" s="20">
        <f t="shared" si="2"/>
        <v>2.7465039154767976</v>
      </c>
      <c r="R7" s="59">
        <f t="shared" si="0"/>
        <v>264.30205947103235</v>
      </c>
      <c r="S7" s="59">
        <f ca="1">AVERAGE(OFFSET($R$3,0,0,'Données projet'!$E$9+1,1))-AVERAGE(OFFSET($H$3,0,0,'Données projet'!$E$9+1,1))</f>
        <v>280.69347314340195</v>
      </c>
      <c r="T7" s="59">
        <f t="shared" si="34"/>
        <v>152.40533828556482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6.2222222222222223</v>
      </c>
      <c r="AI7" s="13">
        <f>IF('Données projet'!$A$62&gt;35,AI6+AH7-AQ6,IF(A7&lt;'Données projet'!$A$62,$AF$205^A7,IF(A7='Données projet'!$A$62,'Données projet'!$B$62,AI6+AH7-AQ6)))</f>
        <v>2.8535256637456983</v>
      </c>
      <c r="AJ7" s="13">
        <f>AI7*VLOOKUP('Données projet'!$B$10,Paramètres!$A$1:$I$89,3,0)*VLOOKUP('Données projet'!$B$10,Paramètres!$A$1:$I$89,5,0)</f>
        <v>1.7806000141773157</v>
      </c>
      <c r="AK7" s="13">
        <f t="shared" si="35"/>
        <v>0.76727758599241935</v>
      </c>
      <c r="AL7" s="20">
        <f t="shared" si="4"/>
        <v>4.4375534869622877</v>
      </c>
      <c r="AM7" s="59">
        <f t="shared" si="5"/>
        <v>265.99310904251786</v>
      </c>
      <c r="AN7" s="59">
        <f ca="1">AVERAGE(OFFSET($AM$3,0,0,'Données projet'!$E$10+1,1))-AVERAGE(OFFSET($H$3,0,0,'Données projet'!$E$10+1,1))</f>
        <v>179.4725256147085</v>
      </c>
      <c r="AO7" s="59">
        <f t="shared" si="36"/>
        <v>282.16750121151176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5.3214035087719296</v>
      </c>
      <c r="BD7" s="12">
        <f>IF('Données projet'!$A$88&gt;35,BD6+BC7-BL6,IF(A7&lt;'Données projet'!$A$88,$BA$205^A7,IF(A7='Données projet'!$A$88,'Données projet'!$B$88,BD6+BC7-BL6)))</f>
        <v>21.285614035087718</v>
      </c>
      <c r="BE7" s="13">
        <f>BD7*VLOOKUP('Données projet'!$B$11,Paramètres!$A$1:$I$89,3,0)*VLOOKUP('Données projet'!$B$11,Paramètres!$A$1:$I$89,5,0)</f>
        <v>18.263056842105264</v>
      </c>
      <c r="BF7" s="13">
        <f t="shared" si="37"/>
        <v>6.0017566685733996</v>
      </c>
      <c r="BG7" s="20">
        <f t="shared" si="7"/>
        <v>42.261216864432001</v>
      </c>
      <c r="BH7" s="59">
        <f t="shared" si="8"/>
        <v>303.81677241998756</v>
      </c>
      <c r="BI7" s="59">
        <f ca="1">AVERAGE(OFFSET($BH$3,0,0,'Données projet'!$E$11+1,1))-AVERAGE(OFFSET($H$3,0,0,'Données projet'!$E$11+1,1))</f>
        <v>312.89478437044261</v>
      </c>
      <c r="BJ7" s="59">
        <f t="shared" si="38"/>
        <v>276.16555507854571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>
        <f>EXP(-LN(2)/35)*BP6+(1-EXP(-LN(2)/35))/(LN(2)/35)*BL7*BM7*VLOOKUP('Données projet'!$B$11,Paramètres!$A$1:$I$89,3,0)*0.475*44/12</f>
        <v>0</v>
      </c>
      <c r="BQ7" s="21">
        <f>EXP(-LN(2)/25)*BQ6+(1-EXP(-LN(2)/25))/(LN(2)/25)*Calculateur!BL7*Calculateur!BN7*VLOOKUP('Données projet'!$B$11,Paramètres!$A$1:$I$89,3,0)*0.475*44/12</f>
        <v>0</v>
      </c>
      <c r="BR7" s="21">
        <f>EXP(-LN(2)/2)*BR6+(1-EXP(-LN(2)/2))/(LN(2)/2)*BL7*BO7*VLOOKUP('Données projet'!$B$11,Paramètres!$A$1:$I$89,3,0)*0.475*44/12</f>
        <v>0</v>
      </c>
      <c r="BS7" s="22">
        <f t="shared" si="9"/>
        <v>0</v>
      </c>
      <c r="BT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0</v>
      </c>
      <c r="BY7" s="12">
        <f>IF('Données projet'!$A$114&gt;35,BY6+BX7-CG6,IF(A7&lt;'Données projet'!$A$114,$BV$205^A7,IF(A7='Données projet'!$A$114,'Données projet'!$B$114,BY6+BX7-CG6)))</f>
        <v>0</v>
      </c>
      <c r="BZ7" s="13" t="e">
        <f>BY7*VLOOKUP('Données projet'!$B$12,Paramètres!$A$1:$I$89,3,0)*VLOOKUP('Données projet'!$B$12,Paramètres!$A$1:$I$89,5,0)</f>
        <v>#N/A</v>
      </c>
      <c r="CA7" s="13" t="e">
        <f t="shared" si="39"/>
        <v>#N/A</v>
      </c>
      <c r="CB7" s="20" t="e">
        <f t="shared" si="10"/>
        <v>#N/A</v>
      </c>
      <c r="CC7" s="59" t="e">
        <f t="shared" si="11"/>
        <v>#N/A</v>
      </c>
      <c r="CD7" s="59" t="e">
        <f ca="1">AVERAGE(OFFSET($CC$3,0,0,'Données projet'!$E$12+1,1))-AVERAGE(OFFSET($H$3,0,0,'Données projet'!$E$12+1,1))</f>
        <v>#N/A</v>
      </c>
      <c r="CE7" s="59" t="e">
        <f t="shared" si="40"/>
        <v>#N/A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 t="e">
        <f>EXP(-LN(2)/35)*CK6+(1-EXP(-LN(2)/35))/(LN(2)/35)*CG7*CH7*VLOOKUP('Données projet'!$B$12,Paramètres!$A$1:$I$89,3,0)*0.475*44/12</f>
        <v>#N/A</v>
      </c>
      <c r="CL7" s="21" t="e">
        <f>EXP(-LN(2)/25)*CL6+(1-EXP(-LN(2)/25))/(LN(2)/25)*Calculateur!CG7*Calculateur!CI7*VLOOKUP('Données projet'!$B$12,Paramètres!$A$1:$I$89,3,0)*0.475*44/12</f>
        <v>#N/A</v>
      </c>
      <c r="CM7" s="21" t="e">
        <f>EXP(-LN(2)/2)*CM6+(1-EXP(-LN(2)/2))/(LN(2)/2)*CG7*CJ7*VLOOKUP('Données projet'!$B$12,Paramètres!$A$1:$I$89,3,0)*0.475*44/12</f>
        <v>#N/A</v>
      </c>
      <c r="CN7" s="22" t="e">
        <f t="shared" si="12"/>
        <v>#N/A</v>
      </c>
      <c r="CO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0</v>
      </c>
      <c r="CT7" s="12">
        <f>IF('Données projet'!$A$140&gt;35,CT6+CS7-DB6,IF(A7&lt;'Données projet'!$A$140,$CQ$205^A7,IF(A7='Données projet'!$A$140,'Données projet'!$B$140,CT6+CS7-DB6)))</f>
        <v>0</v>
      </c>
      <c r="CU7" s="17" t="e">
        <f>CT7*VLOOKUP('Données projet'!$B$13,Paramètres!$A$1:$I$89,3,0)*VLOOKUP('Données projet'!$B$13,Paramètres!$A$1:$I$89,5,0)</f>
        <v>#N/A</v>
      </c>
      <c r="CV7" s="13" t="e">
        <f t="shared" si="41"/>
        <v>#N/A</v>
      </c>
      <c r="CW7" s="20" t="e">
        <f t="shared" si="13"/>
        <v>#N/A</v>
      </c>
      <c r="CX7" s="59" t="e">
        <f t="shared" si="14"/>
        <v>#N/A</v>
      </c>
      <c r="CY7" s="59" t="e">
        <f ca="1">AVERAGE(OFFSET($CX$3,0,0,'Données projet'!$E$13+1,1))-AVERAGE(OFFSET($H$3,0,0,'Données projet'!$E$13+1,1))</f>
        <v>#N/A</v>
      </c>
      <c r="CZ7" s="59" t="e">
        <f t="shared" si="42"/>
        <v>#N/A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 t="e">
        <f>EXP(-LN(2)/35)*DF6+(1-EXP(-LN(2)/35))/(LN(2)/35)*DB7*DC7*VLOOKUP('Données projet'!$B$13,Paramètres!$A$1:$I$89,3,0)*0.475*44/12</f>
        <v>#N/A</v>
      </c>
      <c r="DG7" s="21" t="e">
        <f>EXP(-LN(2)/25)*DG6+(1-EXP(-LN(2)/25))/(LN(2)/25)*Calculateur!DB7*Calculateur!DD7*VLOOKUP('Données projet'!$B$13,Paramètres!$A$1:$I$89,3,0)*0.475*44/12</f>
        <v>#N/A</v>
      </c>
      <c r="DH7" s="21" t="e">
        <f>EXP(-LN(2)/2)*DH6+(1-EXP(-LN(2)/2))/(LN(2)/2)*DB7*DE7*VLOOKUP('Données projet'!$B$13,Paramètres!$A$1:$I$89,3,0)*0.475*44/12</f>
        <v>#N/A</v>
      </c>
      <c r="DI7" s="22" t="e">
        <f t="shared" si="15"/>
        <v>#N/A</v>
      </c>
      <c r="DJ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0</v>
      </c>
      <c r="DO7" s="12">
        <f>IF('Données projet'!$A$166&gt;35,DO6+DN7-DW6,IF(A7&lt;'Données projet'!$A$166,$DL$205^A7,IF(A7='Données projet'!$A$166,'Données projet'!$B$166,DO6+DN7-DW6)))</f>
        <v>0</v>
      </c>
      <c r="DP7" s="17" t="e">
        <f>DO7*VLOOKUP('Données projet'!$B$14,Paramètres!$A$1:$I$89,3,0)*VLOOKUP('Données projet'!$B$14,Paramètres!$A$1:$I$89,5,0)</f>
        <v>#N/A</v>
      </c>
      <c r="DQ7" s="13" t="e">
        <f t="shared" si="43"/>
        <v>#N/A</v>
      </c>
      <c r="DR7" s="20" t="e">
        <f t="shared" si="16"/>
        <v>#N/A</v>
      </c>
      <c r="DS7" s="59" t="e">
        <f t="shared" si="17"/>
        <v>#N/A</v>
      </c>
      <c r="DT7" s="59" t="e">
        <f ca="1">AVERAGE(OFFSET($DS$3,0,0,'Données projet'!$E$14+1,1))-AVERAGE(OFFSET($H$3,0,0,'Données projet'!$E$14+1,1))</f>
        <v>#N/A</v>
      </c>
      <c r="DU7" s="59" t="e">
        <f t="shared" si="44"/>
        <v>#N/A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 t="e">
        <f>EXP(-LN(2)/35)*EA6+(1-EXP(-LN(2)/35))/(LN(2)/35)*DW7*DX7*VLOOKUP('Données projet'!$B$14,Paramètres!$A$1:$I$89,3,0)*0.475*44/12</f>
        <v>#N/A</v>
      </c>
      <c r="EB7" s="21" t="e">
        <f>EXP(-LN(2)/25)*EB6+(1-EXP(-LN(2)/25))/(LN(2)/25)*Calculateur!DW7*Calculateur!DY7*VLOOKUP('Données projet'!$B$14,Paramètres!$A$1:$I$89,3,0)*0.475*44/12</f>
        <v>#N/A</v>
      </c>
      <c r="EC7" s="21" t="e">
        <f>EXP(-LN(2)/2)*EC6+(1-EXP(-LN(2)/2))/(LN(2)/2)*DW7*DZ7*VLOOKUP('Données projet'!$B$14,Paramètres!$A$1:$I$89,3,0)*0.475*44/12</f>
        <v>#N/A</v>
      </c>
      <c r="ED7" s="22" t="e">
        <f t="shared" si="18"/>
        <v>#N/A</v>
      </c>
      <c r="EE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0</v>
      </c>
      <c r="EJ7" s="12">
        <f>IF('Données projet'!$A$192&gt;35,EJ6+EI7-ER6,IF(A7&lt;'Données projet'!$A$192,$EG$205^A7,IF(A7='Données projet'!$A$192,'Données projet'!$B$192,EJ6+EI7-ER6)))</f>
        <v>0</v>
      </c>
      <c r="EK7" s="17" t="e">
        <f>EJ7*VLOOKUP('Données projet'!$B$15,Paramètres!$A$1:$I$89,3,0)*VLOOKUP('Données projet'!$B$15,Paramètres!$A$1:$I$89,5,0)</f>
        <v>#N/A</v>
      </c>
      <c r="EL7" s="13" t="e">
        <f t="shared" si="45"/>
        <v>#N/A</v>
      </c>
      <c r="EM7" s="20" t="e">
        <f t="shared" si="19"/>
        <v>#N/A</v>
      </c>
      <c r="EN7" s="59" t="e">
        <f t="shared" si="20"/>
        <v>#N/A</v>
      </c>
      <c r="EO7" s="59" t="e">
        <f ca="1">AVERAGE(OFFSET($EN$3,0,0,'Données projet'!$E$15+1,1))-AVERAGE(OFFSET($H$3,0,0,'Données projet'!$E$15+1,1))</f>
        <v>#N/A</v>
      </c>
      <c r="EP7" s="59" t="e">
        <f t="shared" si="46"/>
        <v>#N/A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 t="e">
        <f>EXP(-LN(2)/35)*EV6+(1-EXP(-LN(2)/35))/(LN(2)/35)*ER7*ES7*VLOOKUP('Données projet'!$B$15,Paramètres!$A$1:$I$89,3,0)*0.475*44/12</f>
        <v>#N/A</v>
      </c>
      <c r="EW7" s="21" t="e">
        <f>EXP(-LN(2)/25)*EW6+(1-EXP(-LN(2)/25))/(LN(2)/25)*Calculateur!ER7*Calculateur!ET7*VLOOKUP('Données projet'!$B$15,Paramètres!$A$1:$I$89,3,0)*0.475*44/12</f>
        <v>#N/A</v>
      </c>
      <c r="EX7" s="21" t="e">
        <f>EXP(-LN(2)/2)*EX6+(1-EXP(-LN(2)/2))/(LN(2)/2)*ER7*EU7*VLOOKUP('Données projet'!$B$15,Paramètres!$A$1:$I$89,3,0)*0.475*44/12</f>
        <v>#N/A</v>
      </c>
      <c r="EY7" s="22" t="e">
        <f t="shared" si="21"/>
        <v>#N/A</v>
      </c>
      <c r="EZ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45">
      <c r="A8" s="10">
        <f t="shared" si="31"/>
        <v>5</v>
      </c>
      <c r="B8" s="73">
        <f>'Scénario référence'!$B$16*5+'Scénario référence'!$B$17*0+'Scénario référence'!$B$18*5</f>
        <v>0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4.4459999999999997</v>
      </c>
      <c r="D8" s="11">
        <f t="shared" si="32"/>
        <v>1.7222566815192897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">
        <f>IF(OR('Scénario référence'!$F$8&gt;0,'Scénario référence'!$F$9&gt;0),('Scénario référence'!$F$8+'Scénario référence'!$F$9)*10,0)</f>
        <v>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47.614612980148905</v>
      </c>
      <c r="H8" s="67">
        <f t="shared" si="1"/>
        <v>267.40971372031277</v>
      </c>
      <c r="I8" s="7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8.1011764705882356</v>
      </c>
      <c r="N8" s="13">
        <f>IF('Données projet'!$A$36&gt;35,N7+M8-V7,IF(A8&lt;'Données projet'!$A$36,$K$205^A8,IF(A8='Données projet'!$A$36,'Données projet'!$B$36,N7+M8-V7)))</f>
        <v>2.2846911606074896</v>
      </c>
      <c r="O8" s="13">
        <f>N8*VLOOKUP('Données projet'!$B$9,Paramètres!$A$1:$I$89,3,0)*VLOOKUP('Données projet'!$B$9,Paramètres!$A$1:$I$89,5,0)</f>
        <v>1.2771423587795867</v>
      </c>
      <c r="P8" s="13">
        <f t="shared" si="33"/>
        <v>0.57203831481856038</v>
      </c>
      <c r="Q8" s="20">
        <f t="shared" si="2"/>
        <v>3.2206563398501058</v>
      </c>
      <c r="R8" s="59">
        <f t="shared" si="0"/>
        <v>265.99843411762788</v>
      </c>
      <c r="S8" s="59">
        <f ca="1">AVERAGE(OFFSET($R$3,0,0,'Données projet'!$E$9+1,1))-AVERAGE(OFFSET($H$3,0,0,'Données projet'!$E$9+1,1))</f>
        <v>280.69347314340195</v>
      </c>
      <c r="T8" s="59">
        <f t="shared" si="34"/>
        <v>152.40533828556482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6.2222222222222223</v>
      </c>
      <c r="AI8" s="13">
        <f>IF('Données projet'!$A$62&gt;35,AI7+AH8-AQ7,IF(A8&lt;'Données projet'!$A$62,$AF$205^A8,IF(A8='Données projet'!$A$62,'Données projet'!$B$62,AI7+AH8-AQ7)))</f>
        <v>3.7087471750180505</v>
      </c>
      <c r="AJ8" s="13">
        <f>AI8*VLOOKUP('Données projet'!$B$10,Paramètres!$A$1:$I$89,3,0)*VLOOKUP('Données projet'!$B$10,Paramètres!$A$1:$I$89,5,0)</f>
        <v>2.3142582372112632</v>
      </c>
      <c r="AK8" s="13">
        <f t="shared" si="35"/>
        <v>0.96726694681425085</v>
      </c>
      <c r="AL8" s="20">
        <f t="shared" si="4"/>
        <v>5.7153230288444377</v>
      </c>
      <c r="AM8" s="59">
        <f t="shared" si="5"/>
        <v>268.49310080662224</v>
      </c>
      <c r="AN8" s="59">
        <f ca="1">AVERAGE(OFFSET($AM$3,0,0,'Données projet'!$E$10+1,1))-AVERAGE(OFFSET($H$3,0,0,'Données projet'!$E$10+1,1))</f>
        <v>179.4725256147085</v>
      </c>
      <c r="AO8" s="59">
        <f t="shared" si="36"/>
        <v>282.16750121151176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5.3214035087719296</v>
      </c>
      <c r="BD8" s="12">
        <f>IF('Données projet'!$A$88&gt;35,BD7+BC8-BL7,IF(A8&lt;'Données projet'!$A$88,$BA$205^A8,IF(A8='Données projet'!$A$88,'Données projet'!$B$88,BD7+BC8-BL7)))</f>
        <v>26.607017543859648</v>
      </c>
      <c r="BE8" s="13">
        <f>BD8*VLOOKUP('Données projet'!$B$11,Paramètres!$A$1:$I$89,3,0)*VLOOKUP('Données projet'!$B$11,Paramètres!$A$1:$I$89,5,0)</f>
        <v>22.828821052631582</v>
      </c>
      <c r="BF8" s="13">
        <f t="shared" si="37"/>
        <v>7.309843367764433</v>
      </c>
      <c r="BG8" s="20">
        <f t="shared" si="7"/>
        <v>52.491507198856389</v>
      </c>
      <c r="BH8" s="59">
        <f t="shared" si="8"/>
        <v>315.26928497663414</v>
      </c>
      <c r="BI8" s="59">
        <f ca="1">AVERAGE(OFFSET($BH$3,0,0,'Données projet'!$E$11+1,1))-AVERAGE(OFFSET($H$3,0,0,'Données projet'!$E$11+1,1))</f>
        <v>312.89478437044261</v>
      </c>
      <c r="BJ8" s="59">
        <f t="shared" si="38"/>
        <v>276.16555507854571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>
        <f>EXP(-LN(2)/35)*BP7+(1-EXP(-LN(2)/35))/(LN(2)/35)*BL8*BM8*VLOOKUP('Données projet'!$B$11,Paramètres!$A$1:$I$89,3,0)*0.475*44/12</f>
        <v>0</v>
      </c>
      <c r="BQ8" s="21">
        <f>EXP(-LN(2)/25)*BQ7+(1-EXP(-LN(2)/25))/(LN(2)/25)*Calculateur!BL8*Calculateur!BN8*VLOOKUP('Données projet'!$B$11,Paramètres!$A$1:$I$89,3,0)*0.475*44/12</f>
        <v>0</v>
      </c>
      <c r="BR8" s="21">
        <f>EXP(-LN(2)/2)*BR7+(1-EXP(-LN(2)/2))/(LN(2)/2)*BL8*BO8*VLOOKUP('Données projet'!$B$11,Paramètres!$A$1:$I$89,3,0)*0.475*44/12</f>
        <v>0</v>
      </c>
      <c r="BS8" s="22">
        <f t="shared" si="9"/>
        <v>0</v>
      </c>
      <c r="BT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0</v>
      </c>
      <c r="BY8" s="12">
        <f>IF('Données projet'!$A$114&gt;35,BY7+BX8-CG7,IF(A8&lt;'Données projet'!$A$114,$BV$205^A8,IF(A8='Données projet'!$A$114,'Données projet'!$B$114,BY7+BX8-CG7)))</f>
        <v>0</v>
      </c>
      <c r="BZ8" s="13" t="e">
        <f>BY8*VLOOKUP('Données projet'!$B$12,Paramètres!$A$1:$I$89,3,0)*VLOOKUP('Données projet'!$B$12,Paramètres!$A$1:$I$89,5,0)</f>
        <v>#N/A</v>
      </c>
      <c r="CA8" s="13" t="e">
        <f t="shared" si="39"/>
        <v>#N/A</v>
      </c>
      <c r="CB8" s="20" t="e">
        <f t="shared" si="10"/>
        <v>#N/A</v>
      </c>
      <c r="CC8" s="59" t="e">
        <f t="shared" si="11"/>
        <v>#N/A</v>
      </c>
      <c r="CD8" s="59" t="e">
        <f ca="1">AVERAGE(OFFSET($CC$3,0,0,'Données projet'!$E$12+1,1))-AVERAGE(OFFSET($H$3,0,0,'Données projet'!$E$12+1,1))</f>
        <v>#N/A</v>
      </c>
      <c r="CE8" s="59" t="e">
        <f t="shared" si="40"/>
        <v>#N/A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 t="e">
        <f>EXP(-LN(2)/35)*CK7+(1-EXP(-LN(2)/35))/(LN(2)/35)*CG8*CH8*VLOOKUP('Données projet'!$B$12,Paramètres!$A$1:$I$89,3,0)*0.475*44/12</f>
        <v>#N/A</v>
      </c>
      <c r="CL8" s="21" t="e">
        <f>EXP(-LN(2)/25)*CL7+(1-EXP(-LN(2)/25))/(LN(2)/25)*Calculateur!CG8*Calculateur!CI8*VLOOKUP('Données projet'!$B$12,Paramètres!$A$1:$I$89,3,0)*0.475*44/12</f>
        <v>#N/A</v>
      </c>
      <c r="CM8" s="21" t="e">
        <f>EXP(-LN(2)/2)*CM7+(1-EXP(-LN(2)/2))/(LN(2)/2)*CG8*CJ8*VLOOKUP('Données projet'!$B$12,Paramètres!$A$1:$I$89,3,0)*0.475*44/12</f>
        <v>#N/A</v>
      </c>
      <c r="CN8" s="22" t="e">
        <f t="shared" si="12"/>
        <v>#N/A</v>
      </c>
      <c r="CO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0</v>
      </c>
      <c r="CT8" s="12">
        <f>IF('Données projet'!$A$140&gt;35,CT7+CS8-DB7,IF(A8&lt;'Données projet'!$A$140,$CQ$205^A8,IF(A8='Données projet'!$A$140,'Données projet'!$B$140,CT7+CS8-DB7)))</f>
        <v>0</v>
      </c>
      <c r="CU8" s="17" t="e">
        <f>CT8*VLOOKUP('Données projet'!$B$13,Paramètres!$A$1:$I$89,3,0)*VLOOKUP('Données projet'!$B$13,Paramètres!$A$1:$I$89,5,0)</f>
        <v>#N/A</v>
      </c>
      <c r="CV8" s="13" t="e">
        <f t="shared" si="41"/>
        <v>#N/A</v>
      </c>
      <c r="CW8" s="20" t="e">
        <f t="shared" si="13"/>
        <v>#N/A</v>
      </c>
      <c r="CX8" s="59" t="e">
        <f t="shared" si="14"/>
        <v>#N/A</v>
      </c>
      <c r="CY8" s="59" t="e">
        <f ca="1">AVERAGE(OFFSET($CX$3,0,0,'Données projet'!$E$13+1,1))-AVERAGE(OFFSET($H$3,0,0,'Données projet'!$E$13+1,1))</f>
        <v>#N/A</v>
      </c>
      <c r="CZ8" s="59" t="e">
        <f t="shared" si="42"/>
        <v>#N/A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 t="e">
        <f>EXP(-LN(2)/35)*DF7+(1-EXP(-LN(2)/35))/(LN(2)/35)*DB8*DC8*VLOOKUP('Données projet'!$B$13,Paramètres!$A$1:$I$89,3,0)*0.475*44/12</f>
        <v>#N/A</v>
      </c>
      <c r="DG8" s="21" t="e">
        <f>EXP(-LN(2)/25)*DG7+(1-EXP(-LN(2)/25))/(LN(2)/25)*Calculateur!DB8*Calculateur!DD8*VLOOKUP('Données projet'!$B$13,Paramètres!$A$1:$I$89,3,0)*0.475*44/12</f>
        <v>#N/A</v>
      </c>
      <c r="DH8" s="21" t="e">
        <f>EXP(-LN(2)/2)*DH7+(1-EXP(-LN(2)/2))/(LN(2)/2)*DB8*DE8*VLOOKUP('Données projet'!$B$13,Paramètres!$A$1:$I$89,3,0)*0.475*44/12</f>
        <v>#N/A</v>
      </c>
      <c r="DI8" s="22" t="e">
        <f t="shared" si="15"/>
        <v>#N/A</v>
      </c>
      <c r="DJ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0</v>
      </c>
      <c r="DO8" s="12">
        <f>IF('Données projet'!$A$166&gt;35,DO7+DN8-DW7,IF(A8&lt;'Données projet'!$A$166,$DL$205^A8,IF(A8='Données projet'!$A$166,'Données projet'!$B$166,DO7+DN8-DW7)))</f>
        <v>0</v>
      </c>
      <c r="DP8" s="17" t="e">
        <f>DO8*VLOOKUP('Données projet'!$B$14,Paramètres!$A$1:$I$89,3,0)*VLOOKUP('Données projet'!$B$14,Paramètres!$A$1:$I$89,5,0)</f>
        <v>#N/A</v>
      </c>
      <c r="DQ8" s="13" t="e">
        <f t="shared" si="43"/>
        <v>#N/A</v>
      </c>
      <c r="DR8" s="20" t="e">
        <f t="shared" si="16"/>
        <v>#N/A</v>
      </c>
      <c r="DS8" s="59" t="e">
        <f t="shared" si="17"/>
        <v>#N/A</v>
      </c>
      <c r="DT8" s="59" t="e">
        <f ca="1">AVERAGE(OFFSET($DS$3,0,0,'Données projet'!$E$14+1,1))-AVERAGE(OFFSET($H$3,0,0,'Données projet'!$E$14+1,1))</f>
        <v>#N/A</v>
      </c>
      <c r="DU8" s="59" t="e">
        <f t="shared" si="44"/>
        <v>#N/A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 t="e">
        <f>EXP(-LN(2)/35)*EA7+(1-EXP(-LN(2)/35))/(LN(2)/35)*DW8*DX8*VLOOKUP('Données projet'!$B$14,Paramètres!$A$1:$I$89,3,0)*0.475*44/12</f>
        <v>#N/A</v>
      </c>
      <c r="EB8" s="21" t="e">
        <f>EXP(-LN(2)/25)*EB7+(1-EXP(-LN(2)/25))/(LN(2)/25)*Calculateur!DW8*Calculateur!DY8*VLOOKUP('Données projet'!$B$14,Paramètres!$A$1:$I$89,3,0)*0.475*44/12</f>
        <v>#N/A</v>
      </c>
      <c r="EC8" s="21" t="e">
        <f>EXP(-LN(2)/2)*EC7+(1-EXP(-LN(2)/2))/(LN(2)/2)*DW8*DZ8*VLOOKUP('Données projet'!$B$14,Paramètres!$A$1:$I$89,3,0)*0.475*44/12</f>
        <v>#N/A</v>
      </c>
      <c r="ED8" s="22" t="e">
        <f t="shared" si="18"/>
        <v>#N/A</v>
      </c>
      <c r="EE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0</v>
      </c>
      <c r="EJ8" s="12">
        <f>IF('Données projet'!$A$192&gt;35,EJ7+EI8-ER7,IF(A8&lt;'Données projet'!$A$192,$EG$205^A8,IF(A8='Données projet'!$A$192,'Données projet'!$B$192,EJ7+EI8-ER7)))</f>
        <v>0</v>
      </c>
      <c r="EK8" s="17" t="e">
        <f>EJ8*VLOOKUP('Données projet'!$B$15,Paramètres!$A$1:$I$89,3,0)*VLOOKUP('Données projet'!$B$15,Paramètres!$A$1:$I$89,5,0)</f>
        <v>#N/A</v>
      </c>
      <c r="EL8" s="13" t="e">
        <f t="shared" si="45"/>
        <v>#N/A</v>
      </c>
      <c r="EM8" s="20" t="e">
        <f t="shared" si="19"/>
        <v>#N/A</v>
      </c>
      <c r="EN8" s="59" t="e">
        <f t="shared" si="20"/>
        <v>#N/A</v>
      </c>
      <c r="EO8" s="59" t="e">
        <f ca="1">AVERAGE(OFFSET($EN$3,0,0,'Données projet'!$E$15+1,1))-AVERAGE(OFFSET($H$3,0,0,'Données projet'!$E$15+1,1))</f>
        <v>#N/A</v>
      </c>
      <c r="EP8" s="59" t="e">
        <f t="shared" si="46"/>
        <v>#N/A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 t="e">
        <f>EXP(-LN(2)/35)*EV7+(1-EXP(-LN(2)/35))/(LN(2)/35)*ER8*ES8*VLOOKUP('Données projet'!$B$15,Paramètres!$A$1:$I$89,3,0)*0.475*44/12</f>
        <v>#N/A</v>
      </c>
      <c r="EW8" s="21" t="e">
        <f>EXP(-LN(2)/25)*EW7+(1-EXP(-LN(2)/25))/(LN(2)/25)*Calculateur!ER8*Calculateur!ET8*VLOOKUP('Données projet'!$B$15,Paramètres!$A$1:$I$89,3,0)*0.475*44/12</f>
        <v>#N/A</v>
      </c>
      <c r="EX8" s="21" t="e">
        <f>EXP(-LN(2)/2)*EX7+(1-EXP(-LN(2)/2))/(LN(2)/2)*ER8*EU8*VLOOKUP('Données projet'!$B$15,Paramètres!$A$1:$I$89,3,0)*0.475*44/12</f>
        <v>#N/A</v>
      </c>
      <c r="EY8" s="22" t="e">
        <f t="shared" si="21"/>
        <v>#N/A</v>
      </c>
      <c r="EZ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45">
      <c r="A9" s="10">
        <f t="shared" si="31"/>
        <v>6</v>
      </c>
      <c r="B9" s="73">
        <f>'Scénario référence'!$B$16*5+'Scénario référence'!$B$17*0+'Scénario référence'!$B$18*5</f>
        <v>0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5.3351999999999995</v>
      </c>
      <c r="D9" s="11">
        <f t="shared" si="32"/>
        <v>2.0233099967312578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">
        <f>IF(OR('Scénario référence'!$F$8&gt;0,'Scénario référence'!$F$9&gt;0),('Scénario référence'!$F$8+'Scénario référence'!$F$9)*10,0)</f>
        <v>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56.802533308100926</v>
      </c>
      <c r="H9" s="67">
        <f t="shared" si="1"/>
        <v>269.48273824430697</v>
      </c>
      <c r="I9" s="7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8.1011764705882356</v>
      </c>
      <c r="N9" s="13">
        <f>IF('Données projet'!$A$36&gt;35,N8+M9-V8,IF(A9&lt;'Données projet'!$A$36,$K$205^A9,IF(A9='Données projet'!$A$36,'Données projet'!$B$36,N8+M9-V8)))</f>
        <v>2.695212435081773</v>
      </c>
      <c r="O9" s="13">
        <f>N9*VLOOKUP('Données projet'!$B$9,Paramètres!$A$1:$I$89,3,0)*VLOOKUP('Données projet'!$B$9,Paramètres!$A$1:$I$89,5,0)</f>
        <v>1.5066237512107112</v>
      </c>
      <c r="P9" s="13">
        <f t="shared" si="33"/>
        <v>0.66196818105571442</v>
      </c>
      <c r="Q9" s="20">
        <f t="shared" si="2"/>
        <v>3.7769642820306903</v>
      </c>
      <c r="R9" s="59">
        <f t="shared" si="0"/>
        <v>267.77696428203069</v>
      </c>
      <c r="S9" s="59">
        <f ca="1">AVERAGE(OFFSET($R$3,0,0,'Données projet'!$E$9+1,1))-AVERAGE(OFFSET($H$3,0,0,'Données projet'!$E$9+1,1))</f>
        <v>280.69347314340195</v>
      </c>
      <c r="T9" s="59">
        <f t="shared" si="34"/>
        <v>152.40533828556482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6.2222222222222223</v>
      </c>
      <c r="AI9" s="13">
        <f>IF('Données projet'!$A$62&gt;35,AI8+AH9-AQ8,IF(A9&lt;'Données projet'!$A$62,$AF$205^A9,IF(A9='Données projet'!$A$62,'Données projet'!$B$62,AI8+AH9-AQ8)))</f>
        <v>4.8202845283504612</v>
      </c>
      <c r="AJ9" s="13">
        <f>AI9*VLOOKUP('Données projet'!$B$10,Paramètres!$A$1:$I$89,3,0)*VLOOKUP('Données projet'!$B$10,Paramètres!$A$1:$I$89,5,0)</f>
        <v>3.0078575456906878</v>
      </c>
      <c r="AK9" s="13">
        <f t="shared" si="35"/>
        <v>1.2193831326236693</v>
      </c>
      <c r="AL9" s="20">
        <f t="shared" si="4"/>
        <v>7.3624441813975059</v>
      </c>
      <c r="AM9" s="59">
        <f t="shared" si="5"/>
        <v>271.36244418139751</v>
      </c>
      <c r="AN9" s="59">
        <f ca="1">AVERAGE(OFFSET($AM$3,0,0,'Données projet'!$E$10+1,1))-AVERAGE(OFFSET($H$3,0,0,'Données projet'!$E$10+1,1))</f>
        <v>179.4725256147085</v>
      </c>
      <c r="AO9" s="59">
        <f t="shared" si="36"/>
        <v>282.16750121151176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5.3214035087719296</v>
      </c>
      <c r="BD9" s="12">
        <f>IF('Données projet'!$A$88&gt;35,BD8+BC9-BL8,IF(A9&lt;'Données projet'!$A$88,$BA$205^A9,IF(A9='Données projet'!$A$88,'Données projet'!$B$88,BD8+BC9-BL8)))</f>
        <v>31.928421052631577</v>
      </c>
      <c r="BE9" s="13">
        <f>BD9*VLOOKUP('Données projet'!$B$11,Paramètres!$A$1:$I$89,3,0)*VLOOKUP('Données projet'!$B$11,Paramètres!$A$1:$I$89,5,0)</f>
        <v>27.394585263157897</v>
      </c>
      <c r="BF9" s="13">
        <f t="shared" si="37"/>
        <v>8.5876160732849502</v>
      </c>
      <c r="BG9" s="20">
        <f t="shared" si="7"/>
        <v>62.669000660971285</v>
      </c>
      <c r="BH9" s="59">
        <f t="shared" si="8"/>
        <v>326.66900066097128</v>
      </c>
      <c r="BI9" s="59">
        <f ca="1">AVERAGE(OFFSET($BH$3,0,0,'Données projet'!$E$11+1,1))-AVERAGE(OFFSET($H$3,0,0,'Données projet'!$E$11+1,1))</f>
        <v>312.89478437044261</v>
      </c>
      <c r="BJ9" s="59">
        <f t="shared" si="38"/>
        <v>276.16555507854571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>
        <f>EXP(-LN(2)/35)*BP8+(1-EXP(-LN(2)/35))/(LN(2)/35)*BL9*BM9*VLOOKUP('Données projet'!$B$11,Paramètres!$A$1:$I$89,3,0)*0.475*44/12</f>
        <v>0</v>
      </c>
      <c r="BQ9" s="21">
        <f>EXP(-LN(2)/25)*BQ8+(1-EXP(-LN(2)/25))/(LN(2)/25)*Calculateur!BL9*Calculateur!BN9*VLOOKUP('Données projet'!$B$11,Paramètres!$A$1:$I$89,3,0)*0.475*44/12</f>
        <v>0</v>
      </c>
      <c r="BR9" s="21">
        <f>EXP(-LN(2)/2)*BR8+(1-EXP(-LN(2)/2))/(LN(2)/2)*BL9*BO9*VLOOKUP('Données projet'!$B$11,Paramètres!$A$1:$I$89,3,0)*0.475*44/12</f>
        <v>0</v>
      </c>
      <c r="BS9" s="22">
        <f t="shared" si="9"/>
        <v>0</v>
      </c>
      <c r="BT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0</v>
      </c>
      <c r="BY9" s="12">
        <f>IF('Données projet'!$A$114&gt;35,BY8+BX9-CG8,IF(A9&lt;'Données projet'!$A$114,$BV$205^A9,IF(A9='Données projet'!$A$114,'Données projet'!$B$114,BY8+BX9-CG8)))</f>
        <v>0</v>
      </c>
      <c r="BZ9" s="13" t="e">
        <f>BY9*VLOOKUP('Données projet'!$B$12,Paramètres!$A$1:$I$89,3,0)*VLOOKUP('Données projet'!$B$12,Paramètres!$A$1:$I$89,5,0)</f>
        <v>#N/A</v>
      </c>
      <c r="CA9" s="13" t="e">
        <f t="shared" si="39"/>
        <v>#N/A</v>
      </c>
      <c r="CB9" s="20" t="e">
        <f t="shared" si="10"/>
        <v>#N/A</v>
      </c>
      <c r="CC9" s="59" t="e">
        <f t="shared" si="11"/>
        <v>#N/A</v>
      </c>
      <c r="CD9" s="59" t="e">
        <f ca="1">AVERAGE(OFFSET($CC$3,0,0,'Données projet'!$E$12+1,1))-AVERAGE(OFFSET($H$3,0,0,'Données projet'!$E$12+1,1))</f>
        <v>#N/A</v>
      </c>
      <c r="CE9" s="59" t="e">
        <f t="shared" si="40"/>
        <v>#N/A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 t="e">
        <f>EXP(-LN(2)/35)*CK8+(1-EXP(-LN(2)/35))/(LN(2)/35)*CG9*CH9*VLOOKUP('Données projet'!$B$12,Paramètres!$A$1:$I$89,3,0)*0.475*44/12</f>
        <v>#N/A</v>
      </c>
      <c r="CL9" s="21" t="e">
        <f>EXP(-LN(2)/25)*CL8+(1-EXP(-LN(2)/25))/(LN(2)/25)*Calculateur!CG9*Calculateur!CI9*VLOOKUP('Données projet'!$B$12,Paramètres!$A$1:$I$89,3,0)*0.475*44/12</f>
        <v>#N/A</v>
      </c>
      <c r="CM9" s="21" t="e">
        <f>EXP(-LN(2)/2)*CM8+(1-EXP(-LN(2)/2))/(LN(2)/2)*CG9*CJ9*VLOOKUP('Données projet'!$B$12,Paramètres!$A$1:$I$89,3,0)*0.475*44/12</f>
        <v>#N/A</v>
      </c>
      <c r="CN9" s="22" t="e">
        <f t="shared" si="12"/>
        <v>#N/A</v>
      </c>
      <c r="CO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0</v>
      </c>
      <c r="CT9" s="12">
        <f>IF('Données projet'!$A$140&gt;35,CT8+CS9-DB8,IF(A9&lt;'Données projet'!$A$140,$CQ$205^A9,IF(A9='Données projet'!$A$140,'Données projet'!$B$140,CT8+CS9-DB8)))</f>
        <v>0</v>
      </c>
      <c r="CU9" s="17" t="e">
        <f>CT9*VLOOKUP('Données projet'!$B$13,Paramètres!$A$1:$I$89,3,0)*VLOOKUP('Données projet'!$B$13,Paramètres!$A$1:$I$89,5,0)</f>
        <v>#N/A</v>
      </c>
      <c r="CV9" s="13" t="e">
        <f t="shared" si="41"/>
        <v>#N/A</v>
      </c>
      <c r="CW9" s="20" t="e">
        <f t="shared" si="13"/>
        <v>#N/A</v>
      </c>
      <c r="CX9" s="59" t="e">
        <f t="shared" si="14"/>
        <v>#N/A</v>
      </c>
      <c r="CY9" s="59" t="e">
        <f ca="1">AVERAGE(OFFSET($CX$3,0,0,'Données projet'!$E$13+1,1))-AVERAGE(OFFSET($H$3,0,0,'Données projet'!$E$13+1,1))</f>
        <v>#N/A</v>
      </c>
      <c r="CZ9" s="59" t="e">
        <f t="shared" si="42"/>
        <v>#N/A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 t="e">
        <f>EXP(-LN(2)/35)*DF8+(1-EXP(-LN(2)/35))/(LN(2)/35)*DB9*DC9*VLOOKUP('Données projet'!$B$13,Paramètres!$A$1:$I$89,3,0)*0.475*44/12</f>
        <v>#N/A</v>
      </c>
      <c r="DG9" s="21" t="e">
        <f>EXP(-LN(2)/25)*DG8+(1-EXP(-LN(2)/25))/(LN(2)/25)*Calculateur!DB9*Calculateur!DD9*VLOOKUP('Données projet'!$B$13,Paramètres!$A$1:$I$89,3,0)*0.475*44/12</f>
        <v>#N/A</v>
      </c>
      <c r="DH9" s="21" t="e">
        <f>EXP(-LN(2)/2)*DH8+(1-EXP(-LN(2)/2))/(LN(2)/2)*DB9*DE9*VLOOKUP('Données projet'!$B$13,Paramètres!$A$1:$I$89,3,0)*0.475*44/12</f>
        <v>#N/A</v>
      </c>
      <c r="DI9" s="22" t="e">
        <f t="shared" si="15"/>
        <v>#N/A</v>
      </c>
      <c r="DJ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0</v>
      </c>
      <c r="DO9" s="12">
        <f>IF('Données projet'!$A$166&gt;35,DO8+DN9-DW8,IF(A9&lt;'Données projet'!$A$166,$DL$205^A9,IF(A9='Données projet'!$A$166,'Données projet'!$B$166,DO8+DN9-DW8)))</f>
        <v>0</v>
      </c>
      <c r="DP9" s="17" t="e">
        <f>DO9*VLOOKUP('Données projet'!$B$14,Paramètres!$A$1:$I$89,3,0)*VLOOKUP('Données projet'!$B$14,Paramètres!$A$1:$I$89,5,0)</f>
        <v>#N/A</v>
      </c>
      <c r="DQ9" s="13" t="e">
        <f t="shared" si="43"/>
        <v>#N/A</v>
      </c>
      <c r="DR9" s="20" t="e">
        <f t="shared" si="16"/>
        <v>#N/A</v>
      </c>
      <c r="DS9" s="59" t="e">
        <f t="shared" si="17"/>
        <v>#N/A</v>
      </c>
      <c r="DT9" s="59" t="e">
        <f ca="1">AVERAGE(OFFSET($DS$3,0,0,'Données projet'!$E$14+1,1))-AVERAGE(OFFSET($H$3,0,0,'Données projet'!$E$14+1,1))</f>
        <v>#N/A</v>
      </c>
      <c r="DU9" s="59" t="e">
        <f t="shared" si="44"/>
        <v>#N/A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 t="e">
        <f>EXP(-LN(2)/35)*EA8+(1-EXP(-LN(2)/35))/(LN(2)/35)*DW9*DX9*VLOOKUP('Données projet'!$B$14,Paramètres!$A$1:$I$89,3,0)*0.475*44/12</f>
        <v>#N/A</v>
      </c>
      <c r="EB9" s="21" t="e">
        <f>EXP(-LN(2)/25)*EB8+(1-EXP(-LN(2)/25))/(LN(2)/25)*Calculateur!DW9*Calculateur!DY9*VLOOKUP('Données projet'!$B$14,Paramètres!$A$1:$I$89,3,0)*0.475*44/12</f>
        <v>#N/A</v>
      </c>
      <c r="EC9" s="21" t="e">
        <f>EXP(-LN(2)/2)*EC8+(1-EXP(-LN(2)/2))/(LN(2)/2)*DW9*DZ9*VLOOKUP('Données projet'!$B$14,Paramètres!$A$1:$I$89,3,0)*0.475*44/12</f>
        <v>#N/A</v>
      </c>
      <c r="ED9" s="22" t="e">
        <f t="shared" si="18"/>
        <v>#N/A</v>
      </c>
      <c r="EE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0</v>
      </c>
      <c r="EJ9" s="12">
        <f>IF('Données projet'!$A$192&gt;35,EJ8+EI9-ER8,IF(A9&lt;'Données projet'!$A$192,$EG$205^A9,IF(A9='Données projet'!$A$192,'Données projet'!$B$192,EJ8+EI9-ER8)))</f>
        <v>0</v>
      </c>
      <c r="EK9" s="17" t="e">
        <f>EJ9*VLOOKUP('Données projet'!$B$15,Paramètres!$A$1:$I$89,3,0)*VLOOKUP('Données projet'!$B$15,Paramètres!$A$1:$I$89,5,0)</f>
        <v>#N/A</v>
      </c>
      <c r="EL9" s="13" t="e">
        <f t="shared" si="45"/>
        <v>#N/A</v>
      </c>
      <c r="EM9" s="20" t="e">
        <f t="shared" si="19"/>
        <v>#N/A</v>
      </c>
      <c r="EN9" s="59" t="e">
        <f t="shared" si="20"/>
        <v>#N/A</v>
      </c>
      <c r="EO9" s="59" t="e">
        <f ca="1">AVERAGE(OFFSET($EN$3,0,0,'Données projet'!$E$15+1,1))-AVERAGE(OFFSET($H$3,0,0,'Données projet'!$E$15+1,1))</f>
        <v>#N/A</v>
      </c>
      <c r="EP9" s="59" t="e">
        <f t="shared" si="46"/>
        <v>#N/A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 t="e">
        <f>EXP(-LN(2)/35)*EV8+(1-EXP(-LN(2)/35))/(LN(2)/35)*ER9*ES9*VLOOKUP('Données projet'!$B$15,Paramètres!$A$1:$I$89,3,0)*0.475*44/12</f>
        <v>#N/A</v>
      </c>
      <c r="EW9" s="21" t="e">
        <f>EXP(-LN(2)/25)*EW8+(1-EXP(-LN(2)/25))/(LN(2)/25)*Calculateur!ER9*Calculateur!ET9*VLOOKUP('Données projet'!$B$15,Paramètres!$A$1:$I$89,3,0)*0.475*44/12</f>
        <v>#N/A</v>
      </c>
      <c r="EX9" s="21" t="e">
        <f>EXP(-LN(2)/2)*EX8+(1-EXP(-LN(2)/2))/(LN(2)/2)*ER9*EU9*VLOOKUP('Données projet'!$B$15,Paramètres!$A$1:$I$89,3,0)*0.475*44/12</f>
        <v>#N/A</v>
      </c>
      <c r="EY9" s="22" t="e">
        <f t="shared" si="21"/>
        <v>#N/A</v>
      </c>
      <c r="EZ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45">
      <c r="A10" s="10">
        <f t="shared" si="31"/>
        <v>7</v>
      </c>
      <c r="B10" s="73">
        <f>'Scénario référence'!$B$16*5+'Scénario référence'!$B$17*0+'Scénario référence'!$B$18*5</f>
        <v>0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6.2243999999999993</v>
      </c>
      <c r="D10" s="11">
        <f t="shared" si="32"/>
        <v>2.3185507720937846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">
        <f>IF(OR('Scénario référence'!$F$8&gt;0,'Scénario référence'!$F$9&gt;0),('Scénario référence'!$F$8+'Scénario référence'!$F$9)*10,0)</f>
        <v>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65.945584907390625</v>
      </c>
      <c r="H10" s="67">
        <f t="shared" si="1"/>
        <v>271.54563926139667</v>
      </c>
      <c r="I10" s="7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8.1011764705882356</v>
      </c>
      <c r="N10" s="13">
        <f>IF('Données projet'!$A$36&gt;35,N9+M10-V9,IF(A10&lt;'Données projet'!$A$36,$K$205^A10,IF(A10='Données projet'!$A$36,'Données projet'!$B$36,N9+M10-V9)))</f>
        <v>3.1794976036445592</v>
      </c>
      <c r="O10" s="13">
        <f>N10*VLOOKUP('Données projet'!$B$9,Paramètres!$A$1:$I$89,3,0)*VLOOKUP('Données projet'!$B$9,Paramètres!$A$1:$I$89,5,0)</f>
        <v>1.7773391604373086</v>
      </c>
      <c r="P10" s="13">
        <f t="shared" si="33"/>
        <v>0.7660358779799572</v>
      </c>
      <c r="Q10" s="20">
        <f t="shared" si="2"/>
        <v>4.4297115252434045</v>
      </c>
      <c r="R10" s="59">
        <f t="shared" si="0"/>
        <v>269.65193374746565</v>
      </c>
      <c r="S10" s="59">
        <f ca="1">AVERAGE(OFFSET($R$3,0,0,'Données projet'!$E$9+1,1))-AVERAGE(OFFSET($H$3,0,0,'Données projet'!$E$9+1,1))</f>
        <v>280.69347314340195</v>
      </c>
      <c r="T10" s="59">
        <f t="shared" si="34"/>
        <v>152.40533828556482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6.2222222222222223</v>
      </c>
      <c r="AI10" s="13">
        <f>IF('Données projet'!$A$62&gt;35,AI9+AH10-AQ9,IF(A10&lt;'Données projet'!$A$62,$AF$205^A10,IF(A10='Données projet'!$A$62,'Données projet'!$B$62,AI9+AH10-AQ9)))</f>
        <v>6.2649573664027773</v>
      </c>
      <c r="AJ10" s="13">
        <f>AI10*VLOOKUP('Données projet'!$B$10,Paramètres!$A$1:$I$89,3,0)*VLOOKUP('Données projet'!$B$10,Paramètres!$A$1:$I$89,5,0)</f>
        <v>3.9093333966353332</v>
      </c>
      <c r="AK10" s="13">
        <f t="shared" si="35"/>
        <v>1.5372128955964925</v>
      </c>
      <c r="AL10" s="20">
        <f t="shared" si="4"/>
        <v>9.4860681256370967</v>
      </c>
      <c r="AM10" s="59">
        <f t="shared" si="5"/>
        <v>274.7082903478593</v>
      </c>
      <c r="AN10" s="59">
        <f ca="1">AVERAGE(OFFSET($AM$3,0,0,'Données projet'!$E$10+1,1))-AVERAGE(OFFSET($H$3,0,0,'Données projet'!$E$10+1,1))</f>
        <v>179.4725256147085</v>
      </c>
      <c r="AO10" s="59">
        <f t="shared" si="36"/>
        <v>282.16750121151176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5.3214035087719296</v>
      </c>
      <c r="BD10" s="12">
        <f>IF('Données projet'!$A$88&gt;35,BD9+BC10-BL9,IF(A10&lt;'Données projet'!$A$88,$BA$205^A10,IF(A10='Données projet'!$A$88,'Données projet'!$B$88,BD9+BC10-BL9)))</f>
        <v>37.249824561403507</v>
      </c>
      <c r="BE10" s="13">
        <f>BD10*VLOOKUP('Données projet'!$B$11,Paramètres!$A$1:$I$89,3,0)*VLOOKUP('Données projet'!$B$11,Paramètres!$A$1:$I$89,5,0)</f>
        <v>31.960349473684211</v>
      </c>
      <c r="BF10" s="13">
        <f t="shared" si="37"/>
        <v>9.8407183819219952</v>
      </c>
      <c r="BG10" s="20">
        <f t="shared" si="7"/>
        <v>72.803526515180806</v>
      </c>
      <c r="BH10" s="59">
        <f t="shared" si="8"/>
        <v>338.02574873740303</v>
      </c>
      <c r="BI10" s="59">
        <f ca="1">AVERAGE(OFFSET($BH$3,0,0,'Données projet'!$E$11+1,1))-AVERAGE(OFFSET($H$3,0,0,'Données projet'!$E$11+1,1))</f>
        <v>312.89478437044261</v>
      </c>
      <c r="BJ10" s="59">
        <f t="shared" si="38"/>
        <v>276.16555507854571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>
        <f>EXP(-LN(2)/35)*BP9+(1-EXP(-LN(2)/35))/(LN(2)/35)*BL10*BM10*VLOOKUP('Données projet'!$B$11,Paramètres!$A$1:$I$89,3,0)*0.475*44/12</f>
        <v>0</v>
      </c>
      <c r="BQ10" s="21">
        <f>EXP(-LN(2)/25)*BQ9+(1-EXP(-LN(2)/25))/(LN(2)/25)*Calculateur!BL10*Calculateur!BN10*VLOOKUP('Données projet'!$B$11,Paramètres!$A$1:$I$89,3,0)*0.475*44/12</f>
        <v>0</v>
      </c>
      <c r="BR10" s="21">
        <f>EXP(-LN(2)/2)*BR9+(1-EXP(-LN(2)/2))/(LN(2)/2)*BL10*BO10*VLOOKUP('Données projet'!$B$11,Paramètres!$A$1:$I$89,3,0)*0.475*44/12</f>
        <v>0</v>
      </c>
      <c r="BS10" s="22">
        <f t="shared" si="9"/>
        <v>0</v>
      </c>
      <c r="BT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0</v>
      </c>
      <c r="BY10" s="12">
        <f>IF('Données projet'!$A$114&gt;35,BY9+BX10-CG9,IF(A10&lt;'Données projet'!$A$114,$BV$205^A10,IF(A10='Données projet'!$A$114,'Données projet'!$B$114,BY9+BX10-CG9)))</f>
        <v>0</v>
      </c>
      <c r="BZ10" s="13" t="e">
        <f>BY10*VLOOKUP('Données projet'!$B$12,Paramètres!$A$1:$I$89,3,0)*VLOOKUP('Données projet'!$B$12,Paramètres!$A$1:$I$89,5,0)</f>
        <v>#N/A</v>
      </c>
      <c r="CA10" s="13" t="e">
        <f t="shared" si="39"/>
        <v>#N/A</v>
      </c>
      <c r="CB10" s="20" t="e">
        <f t="shared" si="10"/>
        <v>#N/A</v>
      </c>
      <c r="CC10" s="59" t="e">
        <f t="shared" si="11"/>
        <v>#N/A</v>
      </c>
      <c r="CD10" s="59" t="e">
        <f ca="1">AVERAGE(OFFSET($CC$3,0,0,'Données projet'!$E$12+1,1))-AVERAGE(OFFSET($H$3,0,0,'Données projet'!$E$12+1,1))</f>
        <v>#N/A</v>
      </c>
      <c r="CE10" s="59" t="e">
        <f t="shared" si="40"/>
        <v>#N/A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 t="e">
        <f>EXP(-LN(2)/35)*CK9+(1-EXP(-LN(2)/35))/(LN(2)/35)*CG10*CH10*VLOOKUP('Données projet'!$B$12,Paramètres!$A$1:$I$89,3,0)*0.475*44/12</f>
        <v>#N/A</v>
      </c>
      <c r="CL10" s="21" t="e">
        <f>EXP(-LN(2)/25)*CL9+(1-EXP(-LN(2)/25))/(LN(2)/25)*Calculateur!CG10*Calculateur!CI10*VLOOKUP('Données projet'!$B$12,Paramètres!$A$1:$I$89,3,0)*0.475*44/12</f>
        <v>#N/A</v>
      </c>
      <c r="CM10" s="21" t="e">
        <f>EXP(-LN(2)/2)*CM9+(1-EXP(-LN(2)/2))/(LN(2)/2)*CG10*CJ10*VLOOKUP('Données projet'!$B$12,Paramètres!$A$1:$I$89,3,0)*0.475*44/12</f>
        <v>#N/A</v>
      </c>
      <c r="CN10" s="22" t="e">
        <f t="shared" si="12"/>
        <v>#N/A</v>
      </c>
      <c r="CO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0</v>
      </c>
      <c r="CT10" s="12">
        <f>IF('Données projet'!$A$140&gt;35,CT9+CS10-DB9,IF(A10&lt;'Données projet'!$A$140,$CQ$205^A10,IF(A10='Données projet'!$A$140,'Données projet'!$B$140,CT9+CS10-DB9)))</f>
        <v>0</v>
      </c>
      <c r="CU10" s="17" t="e">
        <f>CT10*VLOOKUP('Données projet'!$B$13,Paramètres!$A$1:$I$89,3,0)*VLOOKUP('Données projet'!$B$13,Paramètres!$A$1:$I$89,5,0)</f>
        <v>#N/A</v>
      </c>
      <c r="CV10" s="13" t="e">
        <f t="shared" si="41"/>
        <v>#N/A</v>
      </c>
      <c r="CW10" s="20" t="e">
        <f t="shared" si="13"/>
        <v>#N/A</v>
      </c>
      <c r="CX10" s="59" t="e">
        <f t="shared" si="14"/>
        <v>#N/A</v>
      </c>
      <c r="CY10" s="59" t="e">
        <f ca="1">AVERAGE(OFFSET($CX$3,0,0,'Données projet'!$E$13+1,1))-AVERAGE(OFFSET($H$3,0,0,'Données projet'!$E$13+1,1))</f>
        <v>#N/A</v>
      </c>
      <c r="CZ10" s="59" t="e">
        <f t="shared" si="42"/>
        <v>#N/A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 t="e">
        <f>EXP(-LN(2)/35)*DF9+(1-EXP(-LN(2)/35))/(LN(2)/35)*DB10*DC10*VLOOKUP('Données projet'!$B$13,Paramètres!$A$1:$I$89,3,0)*0.475*44/12</f>
        <v>#N/A</v>
      </c>
      <c r="DG10" s="21" t="e">
        <f>EXP(-LN(2)/25)*DG9+(1-EXP(-LN(2)/25))/(LN(2)/25)*Calculateur!DB10*Calculateur!DD10*VLOOKUP('Données projet'!$B$13,Paramètres!$A$1:$I$89,3,0)*0.475*44/12</f>
        <v>#N/A</v>
      </c>
      <c r="DH10" s="21" t="e">
        <f>EXP(-LN(2)/2)*DH9+(1-EXP(-LN(2)/2))/(LN(2)/2)*DB10*DE10*VLOOKUP('Données projet'!$B$13,Paramètres!$A$1:$I$89,3,0)*0.475*44/12</f>
        <v>#N/A</v>
      </c>
      <c r="DI10" s="22" t="e">
        <f t="shared" si="15"/>
        <v>#N/A</v>
      </c>
      <c r="DJ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0</v>
      </c>
      <c r="DO10" s="12">
        <f>IF('Données projet'!$A$166&gt;35,DO9+DN10-DW9,IF(A10&lt;'Données projet'!$A$166,$DL$205^A10,IF(A10='Données projet'!$A$166,'Données projet'!$B$166,DO9+DN10-DW9)))</f>
        <v>0</v>
      </c>
      <c r="DP10" s="17" t="e">
        <f>DO10*VLOOKUP('Données projet'!$B$14,Paramètres!$A$1:$I$89,3,0)*VLOOKUP('Données projet'!$B$14,Paramètres!$A$1:$I$89,5,0)</f>
        <v>#N/A</v>
      </c>
      <c r="DQ10" s="13" t="e">
        <f t="shared" si="43"/>
        <v>#N/A</v>
      </c>
      <c r="DR10" s="20" t="e">
        <f t="shared" si="16"/>
        <v>#N/A</v>
      </c>
      <c r="DS10" s="59" t="e">
        <f t="shared" si="17"/>
        <v>#N/A</v>
      </c>
      <c r="DT10" s="59" t="e">
        <f ca="1">AVERAGE(OFFSET($DS$3,0,0,'Données projet'!$E$14+1,1))-AVERAGE(OFFSET($H$3,0,0,'Données projet'!$E$14+1,1))</f>
        <v>#N/A</v>
      </c>
      <c r="DU10" s="59" t="e">
        <f t="shared" si="44"/>
        <v>#N/A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 t="e">
        <f>EXP(-LN(2)/35)*EA9+(1-EXP(-LN(2)/35))/(LN(2)/35)*DW10*DX10*VLOOKUP('Données projet'!$B$14,Paramètres!$A$1:$I$89,3,0)*0.475*44/12</f>
        <v>#N/A</v>
      </c>
      <c r="EB10" s="21" t="e">
        <f>EXP(-LN(2)/25)*EB9+(1-EXP(-LN(2)/25))/(LN(2)/25)*Calculateur!DW10*Calculateur!DY10*VLOOKUP('Données projet'!$B$14,Paramètres!$A$1:$I$89,3,0)*0.475*44/12</f>
        <v>#N/A</v>
      </c>
      <c r="EC10" s="21" t="e">
        <f>EXP(-LN(2)/2)*EC9+(1-EXP(-LN(2)/2))/(LN(2)/2)*DW10*DZ10*VLOOKUP('Données projet'!$B$14,Paramètres!$A$1:$I$89,3,0)*0.475*44/12</f>
        <v>#N/A</v>
      </c>
      <c r="ED10" s="22" t="e">
        <f t="shared" si="18"/>
        <v>#N/A</v>
      </c>
      <c r="EE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0</v>
      </c>
      <c r="EJ10" s="12">
        <f>IF('Données projet'!$A$192&gt;35,EJ9+EI10-ER9,IF(A10&lt;'Données projet'!$A$192,$EG$205^A10,IF(A10='Données projet'!$A$192,'Données projet'!$B$192,EJ9+EI10-ER9)))</f>
        <v>0</v>
      </c>
      <c r="EK10" s="17" t="e">
        <f>EJ10*VLOOKUP('Données projet'!$B$15,Paramètres!$A$1:$I$89,3,0)*VLOOKUP('Données projet'!$B$15,Paramètres!$A$1:$I$89,5,0)</f>
        <v>#N/A</v>
      </c>
      <c r="EL10" s="13" t="e">
        <f t="shared" si="45"/>
        <v>#N/A</v>
      </c>
      <c r="EM10" s="20" t="e">
        <f t="shared" si="19"/>
        <v>#N/A</v>
      </c>
      <c r="EN10" s="59" t="e">
        <f t="shared" si="20"/>
        <v>#N/A</v>
      </c>
      <c r="EO10" s="59" t="e">
        <f ca="1">AVERAGE(OFFSET($EN$3,0,0,'Données projet'!$E$15+1,1))-AVERAGE(OFFSET($H$3,0,0,'Données projet'!$E$15+1,1))</f>
        <v>#N/A</v>
      </c>
      <c r="EP10" s="59" t="e">
        <f t="shared" si="46"/>
        <v>#N/A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 t="e">
        <f>EXP(-LN(2)/35)*EV9+(1-EXP(-LN(2)/35))/(LN(2)/35)*ER10*ES10*VLOOKUP('Données projet'!$B$15,Paramètres!$A$1:$I$89,3,0)*0.475*44/12</f>
        <v>#N/A</v>
      </c>
      <c r="EW10" s="21" t="e">
        <f>EXP(-LN(2)/25)*EW9+(1-EXP(-LN(2)/25))/(LN(2)/25)*Calculateur!ER10*Calculateur!ET10*VLOOKUP('Données projet'!$B$15,Paramètres!$A$1:$I$89,3,0)*0.475*44/12</f>
        <v>#N/A</v>
      </c>
      <c r="EX10" s="21" t="e">
        <f>EXP(-LN(2)/2)*EX9+(1-EXP(-LN(2)/2))/(LN(2)/2)*ER10*EU10*VLOOKUP('Données projet'!$B$15,Paramètres!$A$1:$I$89,3,0)*0.475*44/12</f>
        <v>#N/A</v>
      </c>
      <c r="EY10" s="22" t="e">
        <f t="shared" si="21"/>
        <v>#N/A</v>
      </c>
      <c r="EZ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45">
      <c r="A11" s="10">
        <f t="shared" si="31"/>
        <v>8</v>
      </c>
      <c r="B11" s="73">
        <f>'Scénario référence'!$B$16*5+'Scénario référence'!$B$17*0+'Scénario référence'!$B$18*5</f>
        <v>0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7.113599999999999</v>
      </c>
      <c r="D11" s="11">
        <f t="shared" si="32"/>
        <v>2.6089051793396716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">
        <f>IF(OR('Scénario référence'!$F$8&gt;0,'Scénario référence'!$F$9&gt;0),('Scénario référence'!$F$8+'Scénario référence'!$F$9)*10,0)</f>
        <v>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75.050917173850095</v>
      </c>
      <c r="H11" s="67">
        <f t="shared" si="1"/>
        <v>273.60002985401661</v>
      </c>
      <c r="I11" s="7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8.1011764705882356</v>
      </c>
      <c r="N11" s="13">
        <f>IF('Données projet'!$A$36&gt;35,N10+M11-V10,IF(A11&lt;'Données projet'!$A$36,$K$205^A11,IF(A11='Données projet'!$A$36,'Données projet'!$B$36,N10+M11-V10)))</f>
        <v>3.7508008200009595</v>
      </c>
      <c r="O11" s="13">
        <f>N11*VLOOKUP('Données projet'!$B$9,Paramètres!$A$1:$I$89,3,0)*VLOOKUP('Données projet'!$B$9,Paramètres!$A$1:$I$89,5,0)</f>
        <v>2.0966976583805366</v>
      </c>
      <c r="P11" s="13">
        <f t="shared" si="33"/>
        <v>0.88646400710177842</v>
      </c>
      <c r="Q11" s="20">
        <f t="shared" si="2"/>
        <v>5.1956732340483649</v>
      </c>
      <c r="R11" s="59">
        <f t="shared" si="0"/>
        <v>271.6401176784928</v>
      </c>
      <c r="S11" s="59">
        <f ca="1">AVERAGE(OFFSET($R$3,0,0,'Données projet'!$E$9+1,1))-AVERAGE(OFFSET($H$3,0,0,'Données projet'!$E$9+1,1))</f>
        <v>280.69347314340195</v>
      </c>
      <c r="T11" s="59">
        <f t="shared" si="34"/>
        <v>152.40533828556482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6.2222222222222223</v>
      </c>
      <c r="AI11" s="13">
        <f>IF('Données projet'!$A$62&gt;35,AI10+AH11-AQ10,IF(A11&lt;'Données projet'!$A$62,$AF$205^A11,IF(A11='Données projet'!$A$62,'Données projet'!$B$62,AI10+AH11-AQ10)))</f>
        <v>8.1426087136553278</v>
      </c>
      <c r="AJ11" s="13">
        <f>AI11*VLOOKUP('Données projet'!$B$10,Paramètres!$A$1:$I$89,3,0)*VLOOKUP('Données projet'!$B$10,Paramètres!$A$1:$I$89,5,0)</f>
        <v>5.080987837320925</v>
      </c>
      <c r="AK11" s="13">
        <f t="shared" si="35"/>
        <v>1.9378843475584122</v>
      </c>
      <c r="AL11" s="20">
        <f t="shared" si="4"/>
        <v>12.224535721998178</v>
      </c>
      <c r="AM11" s="59">
        <f t="shared" si="5"/>
        <v>278.66898016644262</v>
      </c>
      <c r="AN11" s="59">
        <f ca="1">AVERAGE(OFFSET($AM$3,0,0,'Données projet'!$E$10+1,1))-AVERAGE(OFFSET($H$3,0,0,'Données projet'!$E$10+1,1))</f>
        <v>179.4725256147085</v>
      </c>
      <c r="AO11" s="59">
        <f t="shared" si="36"/>
        <v>282.16750121151176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5.3214035087719296</v>
      </c>
      <c r="BD11" s="12">
        <f>IF('Données projet'!$A$88&gt;35,BD10+BC11-BL10,IF(A11&lt;'Données projet'!$A$88,$BA$205^A11,IF(A11='Données projet'!$A$88,'Données projet'!$B$88,BD10+BC11-BL10)))</f>
        <v>42.571228070175437</v>
      </c>
      <c r="BE11" s="13">
        <f>BD11*VLOOKUP('Données projet'!$B$11,Paramètres!$A$1:$I$89,3,0)*VLOOKUP('Données projet'!$B$11,Paramètres!$A$1:$I$89,5,0)</f>
        <v>36.526113684210529</v>
      </c>
      <c r="BF11" s="13">
        <f t="shared" si="37"/>
        <v>11.073081281646795</v>
      </c>
      <c r="BG11" s="20">
        <f t="shared" si="7"/>
        <v>82.901931232201505</v>
      </c>
      <c r="BH11" s="59">
        <f t="shared" si="8"/>
        <v>349.34637567664595</v>
      </c>
      <c r="BI11" s="59">
        <f ca="1">AVERAGE(OFFSET($BH$3,0,0,'Données projet'!$E$11+1,1))-AVERAGE(OFFSET($H$3,0,0,'Données projet'!$E$11+1,1))</f>
        <v>312.89478437044261</v>
      </c>
      <c r="BJ11" s="59">
        <f t="shared" si="38"/>
        <v>276.16555507854571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>
        <f>EXP(-LN(2)/35)*BP10+(1-EXP(-LN(2)/35))/(LN(2)/35)*BL11*BM11*VLOOKUP('Données projet'!$B$11,Paramètres!$A$1:$I$89,3,0)*0.475*44/12</f>
        <v>0</v>
      </c>
      <c r="BQ11" s="21">
        <f>EXP(-LN(2)/25)*BQ10+(1-EXP(-LN(2)/25))/(LN(2)/25)*Calculateur!BL11*Calculateur!BN11*VLOOKUP('Données projet'!$B$11,Paramètres!$A$1:$I$89,3,0)*0.475*44/12</f>
        <v>0</v>
      </c>
      <c r="BR11" s="21">
        <f>EXP(-LN(2)/2)*BR10+(1-EXP(-LN(2)/2))/(LN(2)/2)*BL11*BO11*VLOOKUP('Données projet'!$B$11,Paramètres!$A$1:$I$89,3,0)*0.475*44/12</f>
        <v>0</v>
      </c>
      <c r="BS11" s="22">
        <f t="shared" si="9"/>
        <v>0</v>
      </c>
      <c r="BT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0</v>
      </c>
      <c r="BY11" s="12">
        <f>IF('Données projet'!$A$114&gt;35,BY10+BX11-CG10,IF(A11&lt;'Données projet'!$A$114,$BV$205^A11,IF(A11='Données projet'!$A$114,'Données projet'!$B$114,BY10+BX11-CG10)))</f>
        <v>0</v>
      </c>
      <c r="BZ11" s="13" t="e">
        <f>BY11*VLOOKUP('Données projet'!$B$12,Paramètres!$A$1:$I$89,3,0)*VLOOKUP('Données projet'!$B$12,Paramètres!$A$1:$I$89,5,0)</f>
        <v>#N/A</v>
      </c>
      <c r="CA11" s="13" t="e">
        <f t="shared" si="39"/>
        <v>#N/A</v>
      </c>
      <c r="CB11" s="20" t="e">
        <f t="shared" si="10"/>
        <v>#N/A</v>
      </c>
      <c r="CC11" s="59" t="e">
        <f t="shared" si="11"/>
        <v>#N/A</v>
      </c>
      <c r="CD11" s="59" t="e">
        <f ca="1">AVERAGE(OFFSET($CC$3,0,0,'Données projet'!$E$12+1,1))-AVERAGE(OFFSET($H$3,0,0,'Données projet'!$E$12+1,1))</f>
        <v>#N/A</v>
      </c>
      <c r="CE11" s="59" t="e">
        <f t="shared" si="40"/>
        <v>#N/A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 t="e">
        <f>EXP(-LN(2)/35)*CK10+(1-EXP(-LN(2)/35))/(LN(2)/35)*CG11*CH11*VLOOKUP('Données projet'!$B$12,Paramètres!$A$1:$I$89,3,0)*0.475*44/12</f>
        <v>#N/A</v>
      </c>
      <c r="CL11" s="21" t="e">
        <f>EXP(-LN(2)/25)*CL10+(1-EXP(-LN(2)/25))/(LN(2)/25)*Calculateur!CG11*Calculateur!CI11*VLOOKUP('Données projet'!$B$12,Paramètres!$A$1:$I$89,3,0)*0.475*44/12</f>
        <v>#N/A</v>
      </c>
      <c r="CM11" s="21" t="e">
        <f>EXP(-LN(2)/2)*CM10+(1-EXP(-LN(2)/2))/(LN(2)/2)*CG11*CJ11*VLOOKUP('Données projet'!$B$12,Paramètres!$A$1:$I$89,3,0)*0.475*44/12</f>
        <v>#N/A</v>
      </c>
      <c r="CN11" s="22" t="e">
        <f t="shared" si="12"/>
        <v>#N/A</v>
      </c>
      <c r="CO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0</v>
      </c>
      <c r="CT11" s="12">
        <f>IF('Données projet'!$A$140&gt;35,CT10+CS11-DB10,IF(A11&lt;'Données projet'!$A$140,$CQ$205^A11,IF(A11='Données projet'!$A$140,'Données projet'!$B$140,CT10+CS11-DB10)))</f>
        <v>0</v>
      </c>
      <c r="CU11" s="17" t="e">
        <f>CT11*VLOOKUP('Données projet'!$B$13,Paramètres!$A$1:$I$89,3,0)*VLOOKUP('Données projet'!$B$13,Paramètres!$A$1:$I$89,5,0)</f>
        <v>#N/A</v>
      </c>
      <c r="CV11" s="13" t="e">
        <f t="shared" si="41"/>
        <v>#N/A</v>
      </c>
      <c r="CW11" s="20" t="e">
        <f t="shared" si="13"/>
        <v>#N/A</v>
      </c>
      <c r="CX11" s="59" t="e">
        <f t="shared" si="14"/>
        <v>#N/A</v>
      </c>
      <c r="CY11" s="59" t="e">
        <f ca="1">AVERAGE(OFFSET($CX$3,0,0,'Données projet'!$E$13+1,1))-AVERAGE(OFFSET($H$3,0,0,'Données projet'!$E$13+1,1))</f>
        <v>#N/A</v>
      </c>
      <c r="CZ11" s="59" t="e">
        <f t="shared" si="42"/>
        <v>#N/A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 t="e">
        <f>EXP(-LN(2)/35)*DF10+(1-EXP(-LN(2)/35))/(LN(2)/35)*DB11*DC11*VLOOKUP('Données projet'!$B$13,Paramètres!$A$1:$I$89,3,0)*0.475*44/12</f>
        <v>#N/A</v>
      </c>
      <c r="DG11" s="21" t="e">
        <f>EXP(-LN(2)/25)*DG10+(1-EXP(-LN(2)/25))/(LN(2)/25)*Calculateur!DB11*Calculateur!DD11*VLOOKUP('Données projet'!$B$13,Paramètres!$A$1:$I$89,3,0)*0.475*44/12</f>
        <v>#N/A</v>
      </c>
      <c r="DH11" s="21" t="e">
        <f>EXP(-LN(2)/2)*DH10+(1-EXP(-LN(2)/2))/(LN(2)/2)*DB11*DE11*VLOOKUP('Données projet'!$B$13,Paramètres!$A$1:$I$89,3,0)*0.475*44/12</f>
        <v>#N/A</v>
      </c>
      <c r="DI11" s="22" t="e">
        <f t="shared" si="15"/>
        <v>#N/A</v>
      </c>
      <c r="DJ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0</v>
      </c>
      <c r="DO11" s="12">
        <f>IF('Données projet'!$A$166&gt;35,DO10+DN11-DW10,IF(A11&lt;'Données projet'!$A$166,$DL$205^A11,IF(A11='Données projet'!$A$166,'Données projet'!$B$166,DO10+DN11-DW10)))</f>
        <v>0</v>
      </c>
      <c r="DP11" s="17" t="e">
        <f>DO11*VLOOKUP('Données projet'!$B$14,Paramètres!$A$1:$I$89,3,0)*VLOOKUP('Données projet'!$B$14,Paramètres!$A$1:$I$89,5,0)</f>
        <v>#N/A</v>
      </c>
      <c r="DQ11" s="13" t="e">
        <f t="shared" si="43"/>
        <v>#N/A</v>
      </c>
      <c r="DR11" s="20" t="e">
        <f t="shared" si="16"/>
        <v>#N/A</v>
      </c>
      <c r="DS11" s="59" t="e">
        <f t="shared" si="17"/>
        <v>#N/A</v>
      </c>
      <c r="DT11" s="59" t="e">
        <f ca="1">AVERAGE(OFFSET($DS$3,0,0,'Données projet'!$E$14+1,1))-AVERAGE(OFFSET($H$3,0,0,'Données projet'!$E$14+1,1))</f>
        <v>#N/A</v>
      </c>
      <c r="DU11" s="59" t="e">
        <f t="shared" si="44"/>
        <v>#N/A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 t="e">
        <f>EXP(-LN(2)/35)*EA10+(1-EXP(-LN(2)/35))/(LN(2)/35)*DW11*DX11*VLOOKUP('Données projet'!$B$14,Paramètres!$A$1:$I$89,3,0)*0.475*44/12</f>
        <v>#N/A</v>
      </c>
      <c r="EB11" s="21" t="e">
        <f>EXP(-LN(2)/25)*EB10+(1-EXP(-LN(2)/25))/(LN(2)/25)*Calculateur!DW11*Calculateur!DY11*VLOOKUP('Données projet'!$B$14,Paramètres!$A$1:$I$89,3,0)*0.475*44/12</f>
        <v>#N/A</v>
      </c>
      <c r="EC11" s="21" t="e">
        <f>EXP(-LN(2)/2)*EC10+(1-EXP(-LN(2)/2))/(LN(2)/2)*DW11*DZ11*VLOOKUP('Données projet'!$B$14,Paramètres!$A$1:$I$89,3,0)*0.475*44/12</f>
        <v>#N/A</v>
      </c>
      <c r="ED11" s="22" t="e">
        <f t="shared" si="18"/>
        <v>#N/A</v>
      </c>
      <c r="EE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0</v>
      </c>
      <c r="EJ11" s="12">
        <f>IF('Données projet'!$A$192&gt;35,EJ10+EI11-ER10,IF(A11&lt;'Données projet'!$A$192,$EG$205^A11,IF(A11='Données projet'!$A$192,'Données projet'!$B$192,EJ10+EI11-ER10)))</f>
        <v>0</v>
      </c>
      <c r="EK11" s="17" t="e">
        <f>EJ11*VLOOKUP('Données projet'!$B$15,Paramètres!$A$1:$I$89,3,0)*VLOOKUP('Données projet'!$B$15,Paramètres!$A$1:$I$89,5,0)</f>
        <v>#N/A</v>
      </c>
      <c r="EL11" s="13" t="e">
        <f t="shared" si="45"/>
        <v>#N/A</v>
      </c>
      <c r="EM11" s="20" t="e">
        <f t="shared" si="19"/>
        <v>#N/A</v>
      </c>
      <c r="EN11" s="59" t="e">
        <f t="shared" si="20"/>
        <v>#N/A</v>
      </c>
      <c r="EO11" s="59" t="e">
        <f ca="1">AVERAGE(OFFSET($EN$3,0,0,'Données projet'!$E$15+1,1))-AVERAGE(OFFSET($H$3,0,0,'Données projet'!$E$15+1,1))</f>
        <v>#N/A</v>
      </c>
      <c r="EP11" s="59" t="e">
        <f t="shared" si="46"/>
        <v>#N/A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 t="e">
        <f>EXP(-LN(2)/35)*EV10+(1-EXP(-LN(2)/35))/(LN(2)/35)*ER11*ES11*VLOOKUP('Données projet'!$B$15,Paramètres!$A$1:$I$89,3,0)*0.475*44/12</f>
        <v>#N/A</v>
      </c>
      <c r="EW11" s="21" t="e">
        <f>EXP(-LN(2)/25)*EW10+(1-EXP(-LN(2)/25))/(LN(2)/25)*Calculateur!ER11*Calculateur!ET11*VLOOKUP('Données projet'!$B$15,Paramètres!$A$1:$I$89,3,0)*0.475*44/12</f>
        <v>#N/A</v>
      </c>
      <c r="EX11" s="21" t="e">
        <f>EXP(-LN(2)/2)*EX10+(1-EXP(-LN(2)/2))/(LN(2)/2)*ER11*EU11*VLOOKUP('Données projet'!$B$15,Paramètres!$A$1:$I$89,3,0)*0.475*44/12</f>
        <v>#N/A</v>
      </c>
      <c r="EY11" s="22" t="e">
        <f t="shared" si="21"/>
        <v>#N/A</v>
      </c>
      <c r="EZ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45">
      <c r="A12" s="10">
        <f t="shared" si="31"/>
        <v>9</v>
      </c>
      <c r="B12" s="73">
        <f>'Scénario référence'!$B$16*5+'Scénario référence'!$B$17*0+'Scénario référence'!$B$18*5</f>
        <v>0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8.0027999999999988</v>
      </c>
      <c r="D12" s="11">
        <f t="shared" si="32"/>
        <v>2.8950539664743791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">
        <f>IF(OR('Scénario référence'!$F$8&gt;0,'Scénario référence'!$F$9&gt;0),('Scénario référence'!$F$8+'Scénario référence'!$F$9)*10,0)</f>
        <v>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84.123785004363612</v>
      </c>
      <c r="H12" s="67">
        <f t="shared" si="1"/>
        <v>275.64709565827621</v>
      </c>
      <c r="I12" s="7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8.1011764705882356</v>
      </c>
      <c r="N12" s="13">
        <f>IF('Données projet'!$A$36&gt;35,N11+M12-V11,IF(A12&lt;'Données projet'!$A$36,$K$205^A12,IF(A12='Données projet'!$A$36,'Données projet'!$B$36,N11+M12-V11)))</f>
        <v>4.4247577904111566</v>
      </c>
      <c r="O12" s="13">
        <f>N12*VLOOKUP('Données projet'!$B$9,Paramètres!$A$1:$I$89,3,0)*VLOOKUP('Données projet'!$B$9,Paramètres!$A$1:$I$89,5,0)</f>
        <v>2.4734396048398364</v>
      </c>
      <c r="P12" s="13">
        <f t="shared" si="33"/>
        <v>1.0258245840379578</v>
      </c>
      <c r="Q12" s="20">
        <f t="shared" si="2"/>
        <v>6.0945517956288251</v>
      </c>
      <c r="R12" s="59">
        <f t="shared" si="0"/>
        <v>273.76121846229552</v>
      </c>
      <c r="S12" s="59">
        <f ca="1">AVERAGE(OFFSET($R$3,0,0,'Données projet'!$E$9+1,1))-AVERAGE(OFFSET($H$3,0,0,'Données projet'!$E$9+1,1))</f>
        <v>280.69347314340195</v>
      </c>
      <c r="T12" s="59">
        <f t="shared" si="34"/>
        <v>152.40533828556482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6.2222222222222223</v>
      </c>
      <c r="AI12" s="13">
        <f>IF('Données projet'!$A$62&gt;35,AI11+AH12-AQ11,IF(A12&lt;'Données projet'!$A$62,$AF$205^A12,IF(A12='Données projet'!$A$62,'Données projet'!$B$62,AI11+AH12-AQ11)))</f>
        <v>10.583005244258365</v>
      </c>
      <c r="AJ12" s="13">
        <f>AI12*VLOOKUP('Données projet'!$B$10,Paramètres!$A$1:$I$89,3,0)*VLOOKUP('Données projet'!$B$10,Paramètres!$A$1:$I$89,5,0)</f>
        <v>6.6037952724172193</v>
      </c>
      <c r="AK12" s="13">
        <f t="shared" si="35"/>
        <v>2.4429900082608067</v>
      </c>
      <c r="AL12" s="20">
        <f t="shared" si="4"/>
        <v>15.75648436384756</v>
      </c>
      <c r="AM12" s="59">
        <f t="shared" si="5"/>
        <v>283.42315103051425</v>
      </c>
      <c r="AN12" s="59">
        <f ca="1">AVERAGE(OFFSET($AM$3,0,0,'Données projet'!$E$10+1,1))-AVERAGE(OFFSET($H$3,0,0,'Données projet'!$E$10+1,1))</f>
        <v>179.4725256147085</v>
      </c>
      <c r="AO12" s="59">
        <f t="shared" si="36"/>
        <v>282.16750121151176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5.3214035087719296</v>
      </c>
      <c r="BD12" s="12">
        <f>IF('Données projet'!$A$88&gt;35,BD11+BC12-BL11,IF(A12&lt;'Données projet'!$A$88,$BA$205^A12,IF(A12='Données projet'!$A$88,'Données projet'!$B$88,BD11+BC12-BL11)))</f>
        <v>47.892631578947366</v>
      </c>
      <c r="BE12" s="13">
        <f>BD12*VLOOKUP('Données projet'!$B$11,Paramètres!$A$1:$I$89,3,0)*VLOOKUP('Données projet'!$B$11,Paramètres!$A$1:$I$89,5,0)</f>
        <v>41.091877894736839</v>
      </c>
      <c r="BF12" s="13">
        <f t="shared" si="37"/>
        <v>12.287594098624385</v>
      </c>
      <c r="BG12" s="20">
        <f t="shared" si="7"/>
        <v>92.96924705510412</v>
      </c>
      <c r="BH12" s="59">
        <f t="shared" si="8"/>
        <v>360.63591372177081</v>
      </c>
      <c r="BI12" s="59">
        <f ca="1">AVERAGE(OFFSET($BH$3,0,0,'Données projet'!$E$11+1,1))-AVERAGE(OFFSET($H$3,0,0,'Données projet'!$E$11+1,1))</f>
        <v>312.89478437044261</v>
      </c>
      <c r="BJ12" s="59">
        <f t="shared" si="38"/>
        <v>276.16555507854571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>
        <f>EXP(-LN(2)/35)*BP11+(1-EXP(-LN(2)/35))/(LN(2)/35)*BL12*BM12*VLOOKUP('Données projet'!$B$11,Paramètres!$A$1:$I$89,3,0)*0.475*44/12</f>
        <v>0</v>
      </c>
      <c r="BQ12" s="21">
        <f>EXP(-LN(2)/25)*BQ11+(1-EXP(-LN(2)/25))/(LN(2)/25)*Calculateur!BL12*Calculateur!BN12*VLOOKUP('Données projet'!$B$11,Paramètres!$A$1:$I$89,3,0)*0.475*44/12</f>
        <v>0</v>
      </c>
      <c r="BR12" s="21">
        <f>EXP(-LN(2)/2)*BR11+(1-EXP(-LN(2)/2))/(LN(2)/2)*BL12*BO12*VLOOKUP('Données projet'!$B$11,Paramètres!$A$1:$I$89,3,0)*0.475*44/12</f>
        <v>0</v>
      </c>
      <c r="BS12" s="22">
        <f t="shared" si="9"/>
        <v>0</v>
      </c>
      <c r="BT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0</v>
      </c>
      <c r="BY12" s="12">
        <f>IF('Données projet'!$A$114&gt;35,BY11+BX12-CG11,IF(A12&lt;'Données projet'!$A$114,$BV$205^A12,IF(A12='Données projet'!$A$114,'Données projet'!$B$114,BY11+BX12-CG11)))</f>
        <v>0</v>
      </c>
      <c r="BZ12" s="13" t="e">
        <f>BY12*VLOOKUP('Données projet'!$B$12,Paramètres!$A$1:$I$89,3,0)*VLOOKUP('Données projet'!$B$12,Paramètres!$A$1:$I$89,5,0)</f>
        <v>#N/A</v>
      </c>
      <c r="CA12" s="13" t="e">
        <f t="shared" si="39"/>
        <v>#N/A</v>
      </c>
      <c r="CB12" s="20" t="e">
        <f t="shared" si="10"/>
        <v>#N/A</v>
      </c>
      <c r="CC12" s="59" t="e">
        <f t="shared" si="11"/>
        <v>#N/A</v>
      </c>
      <c r="CD12" s="59" t="e">
        <f ca="1">AVERAGE(OFFSET($CC$3,0,0,'Données projet'!$E$12+1,1))-AVERAGE(OFFSET($H$3,0,0,'Données projet'!$E$12+1,1))</f>
        <v>#N/A</v>
      </c>
      <c r="CE12" s="59" t="e">
        <f t="shared" si="40"/>
        <v>#N/A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 t="e">
        <f>EXP(-LN(2)/35)*CK11+(1-EXP(-LN(2)/35))/(LN(2)/35)*CG12*CH12*VLOOKUP('Données projet'!$B$12,Paramètres!$A$1:$I$89,3,0)*0.475*44/12</f>
        <v>#N/A</v>
      </c>
      <c r="CL12" s="21" t="e">
        <f>EXP(-LN(2)/25)*CL11+(1-EXP(-LN(2)/25))/(LN(2)/25)*Calculateur!CG12*Calculateur!CI12*VLOOKUP('Données projet'!$B$12,Paramètres!$A$1:$I$89,3,0)*0.475*44/12</f>
        <v>#N/A</v>
      </c>
      <c r="CM12" s="21" t="e">
        <f>EXP(-LN(2)/2)*CM11+(1-EXP(-LN(2)/2))/(LN(2)/2)*CG12*CJ12*VLOOKUP('Données projet'!$B$12,Paramètres!$A$1:$I$89,3,0)*0.475*44/12</f>
        <v>#N/A</v>
      </c>
      <c r="CN12" s="22" t="e">
        <f t="shared" si="12"/>
        <v>#N/A</v>
      </c>
      <c r="CO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0</v>
      </c>
      <c r="CT12" s="12">
        <f>IF('Données projet'!$A$140&gt;35,CT11+CS12-DB11,IF(A12&lt;'Données projet'!$A$140,$CQ$205^A12,IF(A12='Données projet'!$A$140,'Données projet'!$B$140,CT11+CS12-DB11)))</f>
        <v>0</v>
      </c>
      <c r="CU12" s="17" t="e">
        <f>CT12*VLOOKUP('Données projet'!$B$13,Paramètres!$A$1:$I$89,3,0)*VLOOKUP('Données projet'!$B$13,Paramètres!$A$1:$I$89,5,0)</f>
        <v>#N/A</v>
      </c>
      <c r="CV12" s="13" t="e">
        <f t="shared" si="41"/>
        <v>#N/A</v>
      </c>
      <c r="CW12" s="20" t="e">
        <f t="shared" si="13"/>
        <v>#N/A</v>
      </c>
      <c r="CX12" s="59" t="e">
        <f t="shared" si="14"/>
        <v>#N/A</v>
      </c>
      <c r="CY12" s="59" t="e">
        <f ca="1">AVERAGE(OFFSET($CX$3,0,0,'Données projet'!$E$13+1,1))-AVERAGE(OFFSET($H$3,0,0,'Données projet'!$E$13+1,1))</f>
        <v>#N/A</v>
      </c>
      <c r="CZ12" s="59" t="e">
        <f t="shared" si="42"/>
        <v>#N/A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 t="e">
        <f>EXP(-LN(2)/35)*DF11+(1-EXP(-LN(2)/35))/(LN(2)/35)*DB12*DC12*VLOOKUP('Données projet'!$B$13,Paramètres!$A$1:$I$89,3,0)*0.475*44/12</f>
        <v>#N/A</v>
      </c>
      <c r="DG12" s="21" t="e">
        <f>EXP(-LN(2)/25)*DG11+(1-EXP(-LN(2)/25))/(LN(2)/25)*Calculateur!DB12*Calculateur!DD12*VLOOKUP('Données projet'!$B$13,Paramètres!$A$1:$I$89,3,0)*0.475*44/12</f>
        <v>#N/A</v>
      </c>
      <c r="DH12" s="21" t="e">
        <f>EXP(-LN(2)/2)*DH11+(1-EXP(-LN(2)/2))/(LN(2)/2)*DB12*DE12*VLOOKUP('Données projet'!$B$13,Paramètres!$A$1:$I$89,3,0)*0.475*44/12</f>
        <v>#N/A</v>
      </c>
      <c r="DI12" s="22" t="e">
        <f t="shared" si="15"/>
        <v>#N/A</v>
      </c>
      <c r="DJ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0</v>
      </c>
      <c r="DO12" s="12">
        <f>IF('Données projet'!$A$166&gt;35,DO11+DN12-DW11,IF(A12&lt;'Données projet'!$A$166,$DL$205^A12,IF(A12='Données projet'!$A$166,'Données projet'!$B$166,DO11+DN12-DW11)))</f>
        <v>0</v>
      </c>
      <c r="DP12" s="17" t="e">
        <f>DO12*VLOOKUP('Données projet'!$B$14,Paramètres!$A$1:$I$89,3,0)*VLOOKUP('Données projet'!$B$14,Paramètres!$A$1:$I$89,5,0)</f>
        <v>#N/A</v>
      </c>
      <c r="DQ12" s="13" t="e">
        <f t="shared" si="43"/>
        <v>#N/A</v>
      </c>
      <c r="DR12" s="20" t="e">
        <f t="shared" si="16"/>
        <v>#N/A</v>
      </c>
      <c r="DS12" s="59" t="e">
        <f t="shared" si="17"/>
        <v>#N/A</v>
      </c>
      <c r="DT12" s="59" t="e">
        <f ca="1">AVERAGE(OFFSET($DS$3,0,0,'Données projet'!$E$14+1,1))-AVERAGE(OFFSET($H$3,0,0,'Données projet'!$E$14+1,1))</f>
        <v>#N/A</v>
      </c>
      <c r="DU12" s="59" t="e">
        <f t="shared" si="44"/>
        <v>#N/A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 t="e">
        <f>EXP(-LN(2)/35)*EA11+(1-EXP(-LN(2)/35))/(LN(2)/35)*DW12*DX12*VLOOKUP('Données projet'!$B$14,Paramètres!$A$1:$I$89,3,0)*0.475*44/12</f>
        <v>#N/A</v>
      </c>
      <c r="EB12" s="21" t="e">
        <f>EXP(-LN(2)/25)*EB11+(1-EXP(-LN(2)/25))/(LN(2)/25)*Calculateur!DW12*Calculateur!DY12*VLOOKUP('Données projet'!$B$14,Paramètres!$A$1:$I$89,3,0)*0.475*44/12</f>
        <v>#N/A</v>
      </c>
      <c r="EC12" s="21" t="e">
        <f>EXP(-LN(2)/2)*EC11+(1-EXP(-LN(2)/2))/(LN(2)/2)*DW12*DZ12*VLOOKUP('Données projet'!$B$14,Paramètres!$A$1:$I$89,3,0)*0.475*44/12</f>
        <v>#N/A</v>
      </c>
      <c r="ED12" s="22" t="e">
        <f t="shared" si="18"/>
        <v>#N/A</v>
      </c>
      <c r="EE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0</v>
      </c>
      <c r="EJ12" s="12">
        <f>IF('Données projet'!$A$192&gt;35,EJ11+EI12-ER11,IF(A12&lt;'Données projet'!$A$192,$EG$205^A12,IF(A12='Données projet'!$A$192,'Données projet'!$B$192,EJ11+EI12-ER11)))</f>
        <v>0</v>
      </c>
      <c r="EK12" s="17" t="e">
        <f>EJ12*VLOOKUP('Données projet'!$B$15,Paramètres!$A$1:$I$89,3,0)*VLOOKUP('Données projet'!$B$15,Paramètres!$A$1:$I$89,5,0)</f>
        <v>#N/A</v>
      </c>
      <c r="EL12" s="13" t="e">
        <f t="shared" si="45"/>
        <v>#N/A</v>
      </c>
      <c r="EM12" s="20" t="e">
        <f t="shared" si="19"/>
        <v>#N/A</v>
      </c>
      <c r="EN12" s="59" t="e">
        <f t="shared" si="20"/>
        <v>#N/A</v>
      </c>
      <c r="EO12" s="59" t="e">
        <f ca="1">AVERAGE(OFFSET($EN$3,0,0,'Données projet'!$E$15+1,1))-AVERAGE(OFFSET($H$3,0,0,'Données projet'!$E$15+1,1))</f>
        <v>#N/A</v>
      </c>
      <c r="EP12" s="59" t="e">
        <f t="shared" si="46"/>
        <v>#N/A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 t="e">
        <f>EXP(-LN(2)/35)*EV11+(1-EXP(-LN(2)/35))/(LN(2)/35)*ER12*ES12*VLOOKUP('Données projet'!$B$15,Paramètres!$A$1:$I$89,3,0)*0.475*44/12</f>
        <v>#N/A</v>
      </c>
      <c r="EW12" s="21" t="e">
        <f>EXP(-LN(2)/25)*EW11+(1-EXP(-LN(2)/25))/(LN(2)/25)*Calculateur!ER12*Calculateur!ET12*VLOOKUP('Données projet'!$B$15,Paramètres!$A$1:$I$89,3,0)*0.475*44/12</f>
        <v>#N/A</v>
      </c>
      <c r="EX12" s="21" t="e">
        <f>EXP(-LN(2)/2)*EX11+(1-EXP(-LN(2)/2))/(LN(2)/2)*ER12*EU12*VLOOKUP('Données projet'!$B$15,Paramètres!$A$1:$I$89,3,0)*0.475*44/12</f>
        <v>#N/A</v>
      </c>
      <c r="EY12" s="22" t="e">
        <f t="shared" si="21"/>
        <v>#N/A</v>
      </c>
      <c r="EZ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45">
      <c r="A13" s="10">
        <f t="shared" si="31"/>
        <v>10</v>
      </c>
      <c r="B13" s="73">
        <f>'Scénario référence'!$B$16*5+'Scénario référence'!$B$17*0+'Scénario référence'!$B$18*5</f>
        <v>0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8.8919999999999995</v>
      </c>
      <c r="D13" s="11">
        <f t="shared" si="32"/>
        <v>3.177517729464268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">
        <f>IF(OR('Scénario référence'!$F$8&gt;0,'Scénario référence'!$F$9&gt;0),('Scénario référence'!$F$8+'Scénario référence'!$F$9)*10,0)</f>
        <v>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93.16820703446102</v>
      </c>
      <c r="H13" s="67">
        <f t="shared" si="1"/>
        <v>277.68774337881695</v>
      </c>
      <c r="I13" s="7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8.1011764705882356</v>
      </c>
      <c r="N13" s="13">
        <f>IF('Données projet'!$A$36&gt;35,N12+M13-V12,IF(A13&lt;'Données projet'!$A$36,$K$205^A13,IF(A13='Données projet'!$A$36,'Données projet'!$B$36,N12+M13-V12)))</f>
        <v>5.2198136993579984</v>
      </c>
      <c r="O13" s="13">
        <f>N13*VLOOKUP('Données projet'!$B$9,Paramètres!$A$1:$I$89,3,0)*VLOOKUP('Données projet'!$B$9,Paramètres!$A$1:$I$89,5,0)</f>
        <v>2.9178758579411213</v>
      </c>
      <c r="P13" s="13">
        <f t="shared" si="33"/>
        <v>1.1870939697338765</v>
      </c>
      <c r="Q13" s="20">
        <f t="shared" si="2"/>
        <v>7.1494891165339531</v>
      </c>
      <c r="R13" s="59">
        <f t="shared" si="0"/>
        <v>276.03837800542283</v>
      </c>
      <c r="S13" s="59">
        <f ca="1">AVERAGE(OFFSET($R$3,0,0,'Données projet'!$E$9+1,1))-AVERAGE(OFFSET($H$3,0,0,'Données projet'!$E$9+1,1))</f>
        <v>280.69347314340195</v>
      </c>
      <c r="T13" s="59">
        <f t="shared" si="34"/>
        <v>152.40533828556482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6.2222222222222223</v>
      </c>
      <c r="AI13" s="13">
        <f>IF('Données projet'!$A$62&gt;35,AI12+AH13-AQ12,IF(A13&lt;'Données projet'!$A$62,$AF$205^A13,IF(A13='Données projet'!$A$62,'Données projet'!$B$62,AI12+AH13-AQ12)))</f>
        <v>13.754805608204368</v>
      </c>
      <c r="AJ13" s="13">
        <f>AI13*VLOOKUP('Données projet'!$B$10,Paramètres!$A$1:$I$89,3,0)*VLOOKUP('Données projet'!$B$10,Paramètres!$A$1:$I$89,5,0)</f>
        <v>8.5829986995195267</v>
      </c>
      <c r="AK13" s="13">
        <f t="shared" si="35"/>
        <v>3.0797504443346257</v>
      </c>
      <c r="AL13" s="20">
        <f t="shared" si="4"/>
        <v>20.312621425545984</v>
      </c>
      <c r="AM13" s="59">
        <f t="shared" si="5"/>
        <v>289.20151031443481</v>
      </c>
      <c r="AN13" s="59">
        <f ca="1">AVERAGE(OFFSET($AM$3,0,0,'Données projet'!$E$10+1,1))-AVERAGE(OFFSET($H$3,0,0,'Données projet'!$E$10+1,1))</f>
        <v>179.4725256147085</v>
      </c>
      <c r="AO13" s="59">
        <f t="shared" si="36"/>
        <v>282.16750121151176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5.3214035087719296</v>
      </c>
      <c r="BD13" s="12">
        <f>IF('Données projet'!$A$88&gt;35,BD12+BC13-BL12,IF(A13&lt;'Données projet'!$A$88,$BA$205^A13,IF(A13='Données projet'!$A$88,'Données projet'!$B$88,BD12+BC13-BL12)))</f>
        <v>53.214035087719296</v>
      </c>
      <c r="BE13" s="13">
        <f>BD13*VLOOKUP('Données projet'!$B$11,Paramètres!$A$1:$I$89,3,0)*VLOOKUP('Données projet'!$B$11,Paramètres!$A$1:$I$89,5,0)</f>
        <v>45.657642105263164</v>
      </c>
      <c r="BF13" s="13">
        <f t="shared" si="37"/>
        <v>13.486466419272896</v>
      </c>
      <c r="BG13" s="20">
        <f t="shared" si="7"/>
        <v>103.0093223469003</v>
      </c>
      <c r="BH13" s="59">
        <f t="shared" si="8"/>
        <v>371.89821123578918</v>
      </c>
      <c r="BI13" s="59">
        <f ca="1">AVERAGE(OFFSET($BH$3,0,0,'Données projet'!$E$11+1,1))-AVERAGE(OFFSET($H$3,0,0,'Données projet'!$E$11+1,1))</f>
        <v>312.89478437044261</v>
      </c>
      <c r="BJ13" s="59">
        <f t="shared" si="38"/>
        <v>276.16555507854571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>
        <f>EXP(-LN(2)/35)*BP12+(1-EXP(-LN(2)/35))/(LN(2)/35)*BL13*BM13*VLOOKUP('Données projet'!$B$11,Paramètres!$A$1:$I$89,3,0)*0.475*44/12</f>
        <v>0</v>
      </c>
      <c r="BQ13" s="21">
        <f>EXP(-LN(2)/25)*BQ12+(1-EXP(-LN(2)/25))/(LN(2)/25)*Calculateur!BL13*Calculateur!BN13*VLOOKUP('Données projet'!$B$11,Paramètres!$A$1:$I$89,3,0)*0.475*44/12</f>
        <v>0</v>
      </c>
      <c r="BR13" s="21">
        <f>EXP(-LN(2)/2)*BR12+(1-EXP(-LN(2)/2))/(LN(2)/2)*BL13*BO13*VLOOKUP('Données projet'!$B$11,Paramètres!$A$1:$I$89,3,0)*0.475*44/12</f>
        <v>0</v>
      </c>
      <c r="BS13" s="22">
        <f t="shared" si="9"/>
        <v>0</v>
      </c>
      <c r="BT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0</v>
      </c>
      <c r="BY13" s="12">
        <f>IF('Données projet'!$A$114&gt;35,BY12+BX13-CG12,IF(A13&lt;'Données projet'!$A$114,$BV$205^A13,IF(A13='Données projet'!$A$114,'Données projet'!$B$114,BY12+BX13-CG12)))</f>
        <v>0</v>
      </c>
      <c r="BZ13" s="13" t="e">
        <f>BY13*VLOOKUP('Données projet'!$B$12,Paramètres!$A$1:$I$89,3,0)*VLOOKUP('Données projet'!$B$12,Paramètres!$A$1:$I$89,5,0)</f>
        <v>#N/A</v>
      </c>
      <c r="CA13" s="13" t="e">
        <f t="shared" si="39"/>
        <v>#N/A</v>
      </c>
      <c r="CB13" s="20" t="e">
        <f t="shared" si="10"/>
        <v>#N/A</v>
      </c>
      <c r="CC13" s="59" t="e">
        <f t="shared" si="11"/>
        <v>#N/A</v>
      </c>
      <c r="CD13" s="59" t="e">
        <f ca="1">AVERAGE(OFFSET($CC$3,0,0,'Données projet'!$E$12+1,1))-AVERAGE(OFFSET($H$3,0,0,'Données projet'!$E$12+1,1))</f>
        <v>#N/A</v>
      </c>
      <c r="CE13" s="59" t="e">
        <f t="shared" si="40"/>
        <v>#N/A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 t="e">
        <f>EXP(-LN(2)/35)*CK12+(1-EXP(-LN(2)/35))/(LN(2)/35)*CG13*CH13*VLOOKUP('Données projet'!$B$12,Paramètres!$A$1:$I$89,3,0)*0.475*44/12</f>
        <v>#N/A</v>
      </c>
      <c r="CL13" s="21" t="e">
        <f>EXP(-LN(2)/25)*CL12+(1-EXP(-LN(2)/25))/(LN(2)/25)*Calculateur!CG13*Calculateur!CI13*VLOOKUP('Données projet'!$B$12,Paramètres!$A$1:$I$89,3,0)*0.475*44/12</f>
        <v>#N/A</v>
      </c>
      <c r="CM13" s="21" t="e">
        <f>EXP(-LN(2)/2)*CM12+(1-EXP(-LN(2)/2))/(LN(2)/2)*CG13*CJ13*VLOOKUP('Données projet'!$B$12,Paramètres!$A$1:$I$89,3,0)*0.475*44/12</f>
        <v>#N/A</v>
      </c>
      <c r="CN13" s="22" t="e">
        <f t="shared" si="12"/>
        <v>#N/A</v>
      </c>
      <c r="CO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0</v>
      </c>
      <c r="CT13" s="12">
        <f>IF('Données projet'!$A$140&gt;35,CT12+CS13-DB12,IF(A13&lt;'Données projet'!$A$140,$CQ$205^A13,IF(A13='Données projet'!$A$140,'Données projet'!$B$140,CT12+CS13-DB12)))</f>
        <v>0</v>
      </c>
      <c r="CU13" s="17" t="e">
        <f>CT13*VLOOKUP('Données projet'!$B$13,Paramètres!$A$1:$I$89,3,0)*VLOOKUP('Données projet'!$B$13,Paramètres!$A$1:$I$89,5,0)</f>
        <v>#N/A</v>
      </c>
      <c r="CV13" s="13" t="e">
        <f t="shared" si="41"/>
        <v>#N/A</v>
      </c>
      <c r="CW13" s="20" t="e">
        <f t="shared" si="13"/>
        <v>#N/A</v>
      </c>
      <c r="CX13" s="59" t="e">
        <f t="shared" si="14"/>
        <v>#N/A</v>
      </c>
      <c r="CY13" s="59" t="e">
        <f ca="1">AVERAGE(OFFSET($CX$3,0,0,'Données projet'!$E$13+1,1))-AVERAGE(OFFSET($H$3,0,0,'Données projet'!$E$13+1,1))</f>
        <v>#N/A</v>
      </c>
      <c r="CZ13" s="59" t="e">
        <f t="shared" si="42"/>
        <v>#N/A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 t="e">
        <f>EXP(-LN(2)/35)*DF12+(1-EXP(-LN(2)/35))/(LN(2)/35)*DB13*DC13*VLOOKUP('Données projet'!$B$13,Paramètres!$A$1:$I$89,3,0)*0.475*44/12</f>
        <v>#N/A</v>
      </c>
      <c r="DG13" s="21" t="e">
        <f>EXP(-LN(2)/25)*DG12+(1-EXP(-LN(2)/25))/(LN(2)/25)*Calculateur!DB13*Calculateur!DD13*VLOOKUP('Données projet'!$B$13,Paramètres!$A$1:$I$89,3,0)*0.475*44/12</f>
        <v>#N/A</v>
      </c>
      <c r="DH13" s="21" t="e">
        <f>EXP(-LN(2)/2)*DH12+(1-EXP(-LN(2)/2))/(LN(2)/2)*DB13*DE13*VLOOKUP('Données projet'!$B$13,Paramètres!$A$1:$I$89,3,0)*0.475*44/12</f>
        <v>#N/A</v>
      </c>
      <c r="DI13" s="22" t="e">
        <f t="shared" si="15"/>
        <v>#N/A</v>
      </c>
      <c r="DJ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0</v>
      </c>
      <c r="DO13" s="12">
        <f>IF('Données projet'!$A$166&gt;35,DO12+DN13-DW12,IF(A13&lt;'Données projet'!$A$166,$DL$205^A13,IF(A13='Données projet'!$A$166,'Données projet'!$B$166,DO12+DN13-DW12)))</f>
        <v>0</v>
      </c>
      <c r="DP13" s="17" t="e">
        <f>DO13*VLOOKUP('Données projet'!$B$14,Paramètres!$A$1:$I$89,3,0)*VLOOKUP('Données projet'!$B$14,Paramètres!$A$1:$I$89,5,0)</f>
        <v>#N/A</v>
      </c>
      <c r="DQ13" s="13" t="e">
        <f t="shared" si="43"/>
        <v>#N/A</v>
      </c>
      <c r="DR13" s="20" t="e">
        <f t="shared" si="16"/>
        <v>#N/A</v>
      </c>
      <c r="DS13" s="59" t="e">
        <f t="shared" si="17"/>
        <v>#N/A</v>
      </c>
      <c r="DT13" s="59" t="e">
        <f ca="1">AVERAGE(OFFSET($DS$3,0,0,'Données projet'!$E$14+1,1))-AVERAGE(OFFSET($H$3,0,0,'Données projet'!$E$14+1,1))</f>
        <v>#N/A</v>
      </c>
      <c r="DU13" s="59" t="e">
        <f t="shared" si="44"/>
        <v>#N/A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 t="e">
        <f>EXP(-LN(2)/35)*EA12+(1-EXP(-LN(2)/35))/(LN(2)/35)*DW13*DX13*VLOOKUP('Données projet'!$B$14,Paramètres!$A$1:$I$89,3,0)*0.475*44/12</f>
        <v>#N/A</v>
      </c>
      <c r="EB13" s="21" t="e">
        <f>EXP(-LN(2)/25)*EB12+(1-EXP(-LN(2)/25))/(LN(2)/25)*Calculateur!DW13*Calculateur!DY13*VLOOKUP('Données projet'!$B$14,Paramètres!$A$1:$I$89,3,0)*0.475*44/12</f>
        <v>#N/A</v>
      </c>
      <c r="EC13" s="21" t="e">
        <f>EXP(-LN(2)/2)*EC12+(1-EXP(-LN(2)/2))/(LN(2)/2)*DW13*DZ13*VLOOKUP('Données projet'!$B$14,Paramètres!$A$1:$I$89,3,0)*0.475*44/12</f>
        <v>#N/A</v>
      </c>
      <c r="ED13" s="22" t="e">
        <f t="shared" si="18"/>
        <v>#N/A</v>
      </c>
      <c r="EE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0</v>
      </c>
      <c r="EJ13" s="12">
        <f>IF('Données projet'!$A$192&gt;35,EJ12+EI13-ER12,IF(A13&lt;'Données projet'!$A$192,$EG$205^A13,IF(A13='Données projet'!$A$192,'Données projet'!$B$192,EJ12+EI13-ER12)))</f>
        <v>0</v>
      </c>
      <c r="EK13" s="17" t="e">
        <f>EJ13*VLOOKUP('Données projet'!$B$15,Paramètres!$A$1:$I$89,3,0)*VLOOKUP('Données projet'!$B$15,Paramètres!$A$1:$I$89,5,0)</f>
        <v>#N/A</v>
      </c>
      <c r="EL13" s="13" t="e">
        <f t="shared" si="45"/>
        <v>#N/A</v>
      </c>
      <c r="EM13" s="20" t="e">
        <f t="shared" si="19"/>
        <v>#N/A</v>
      </c>
      <c r="EN13" s="59" t="e">
        <f t="shared" si="20"/>
        <v>#N/A</v>
      </c>
      <c r="EO13" s="59" t="e">
        <f ca="1">AVERAGE(OFFSET($EN$3,0,0,'Données projet'!$E$15+1,1))-AVERAGE(OFFSET($H$3,0,0,'Données projet'!$E$15+1,1))</f>
        <v>#N/A</v>
      </c>
      <c r="EP13" s="59" t="e">
        <f t="shared" si="46"/>
        <v>#N/A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 t="e">
        <f>EXP(-LN(2)/35)*EV12+(1-EXP(-LN(2)/35))/(LN(2)/35)*ER13*ES13*VLOOKUP('Données projet'!$B$15,Paramètres!$A$1:$I$89,3,0)*0.475*44/12</f>
        <v>#N/A</v>
      </c>
      <c r="EW13" s="21" t="e">
        <f>EXP(-LN(2)/25)*EW12+(1-EXP(-LN(2)/25))/(LN(2)/25)*Calculateur!ER13*Calculateur!ET13*VLOOKUP('Données projet'!$B$15,Paramètres!$A$1:$I$89,3,0)*0.475*44/12</f>
        <v>#N/A</v>
      </c>
      <c r="EX13" s="21" t="e">
        <f>EXP(-LN(2)/2)*EX12+(1-EXP(-LN(2)/2))/(LN(2)/2)*ER13*EU13*VLOOKUP('Données projet'!$B$15,Paramètres!$A$1:$I$89,3,0)*0.475*44/12</f>
        <v>#N/A</v>
      </c>
      <c r="EY13" s="22" t="e">
        <f t="shared" si="21"/>
        <v>#N/A</v>
      </c>
      <c r="EZ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45">
      <c r="A14" s="10">
        <f t="shared" si="31"/>
        <v>11</v>
      </c>
      <c r="B14" s="73">
        <f>'Scénario référence'!$B$16*5+'Scénario référence'!$B$17*0+'Scénario référence'!$B$18*5</f>
        <v>0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9.7812000000000001</v>
      </c>
      <c r="D14" s="11">
        <f t="shared" si="32"/>
        <v>3.4567069199829903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">
        <f>IF(OR('Scénario référence'!$F$8&gt;0,'Scénario référence'!$F$9&gt;0),('Scénario référence'!$F$8+'Scénario référence'!$F$9)*10,0)</f>
        <v>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102.18735166302658</v>
      </c>
      <c r="H14" s="67">
        <f t="shared" si="1"/>
        <v>279.72268788563707</v>
      </c>
      <c r="I14" s="7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8.1011764705882356</v>
      </c>
      <c r="N14" s="13">
        <f>IF('Données projet'!$A$36&gt;35,N13+M14-V13,IF(A14&lt;'Données projet'!$A$36,$K$205^A14,IF(A14='Données projet'!$A$36,'Données projet'!$B$36,N13+M14-V13)))</f>
        <v>6.1577280263907141</v>
      </c>
      <c r="O14" s="13">
        <f>N14*VLOOKUP('Données projet'!$B$9,Paramètres!$A$1:$I$89,3,0)*VLOOKUP('Données projet'!$B$9,Paramètres!$A$1:$I$89,5,0)</f>
        <v>3.442169966752409</v>
      </c>
      <c r="P14" s="13">
        <f t="shared" si="33"/>
        <v>1.3737164373966597</v>
      </c>
      <c r="Q14" s="20">
        <f t="shared" si="2"/>
        <v>8.387668820559627</v>
      </c>
      <c r="R14" s="59">
        <f t="shared" si="0"/>
        <v>278.49877993167075</v>
      </c>
      <c r="S14" s="59">
        <f ca="1">AVERAGE(OFFSET($R$3,0,0,'Données projet'!$E$9+1,1))-AVERAGE(OFFSET($H$3,0,0,'Données projet'!$E$9+1,1))</f>
        <v>280.69347314340195</v>
      </c>
      <c r="T14" s="59">
        <f t="shared" si="34"/>
        <v>152.40533828556482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6.2222222222222223</v>
      </c>
      <c r="AI14" s="13">
        <f>IF('Données projet'!$A$62&gt;35,AI13+AH14-AQ13,IF(A14&lt;'Données projet'!$A$62,$AF$205^A14,IF(A14='Données projet'!$A$62,'Données projet'!$B$62,AI13+AH14-AQ13)))</f>
        <v>17.877216627302985</v>
      </c>
      <c r="AJ14" s="13">
        <f>AI14*VLOOKUP('Données projet'!$B$10,Paramètres!$A$1:$I$89,3,0)*VLOOKUP('Données projet'!$B$10,Paramètres!$A$1:$I$89,5,0)</f>
        <v>11.155383175437063</v>
      </c>
      <c r="AK14" s="13">
        <f t="shared" si="35"/>
        <v>3.8824812083990929</v>
      </c>
      <c r="AL14" s="20">
        <f t="shared" si="4"/>
        <v>26.1909471351813</v>
      </c>
      <c r="AM14" s="59">
        <f t="shared" si="5"/>
        <v>296.30205824629246</v>
      </c>
      <c r="AN14" s="59">
        <f ca="1">AVERAGE(OFFSET($AM$3,0,0,'Données projet'!$E$10+1,1))-AVERAGE(OFFSET($H$3,0,0,'Données projet'!$E$10+1,1))</f>
        <v>179.4725256147085</v>
      </c>
      <c r="AO14" s="59">
        <f t="shared" si="36"/>
        <v>282.16750121151176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5.3214035087719296</v>
      </c>
      <c r="BD14" s="12">
        <f>IF('Données projet'!$A$88&gt;35,BD13+BC14-BL13,IF(A14&lt;'Données projet'!$A$88,$BA$205^A14,IF(A14='Données projet'!$A$88,'Données projet'!$B$88,BD13+BC14-BL13)))</f>
        <v>58.535438596491225</v>
      </c>
      <c r="BE14" s="13">
        <f>BD14*VLOOKUP('Données projet'!$B$11,Paramètres!$A$1:$I$89,3,0)*VLOOKUP('Données projet'!$B$11,Paramètres!$A$1:$I$89,5,0)</f>
        <v>50.223406315789475</v>
      </c>
      <c r="BF14" s="13">
        <f t="shared" si="37"/>
        <v>14.6714403401547</v>
      </c>
      <c r="BG14" s="20">
        <f t="shared" si="7"/>
        <v>113.02519125910277</v>
      </c>
      <c r="BH14" s="59">
        <f t="shared" si="8"/>
        <v>383.13630237021391</v>
      </c>
      <c r="BI14" s="59">
        <f ca="1">AVERAGE(OFFSET($BH$3,0,0,'Données projet'!$E$11+1,1))-AVERAGE(OFFSET($H$3,0,0,'Données projet'!$E$11+1,1))</f>
        <v>312.89478437044261</v>
      </c>
      <c r="BJ14" s="59">
        <f t="shared" si="38"/>
        <v>276.16555507854571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>
        <f>EXP(-LN(2)/35)*BP13+(1-EXP(-LN(2)/35))/(LN(2)/35)*BL14*BM14*VLOOKUP('Données projet'!$B$11,Paramètres!$A$1:$I$89,3,0)*0.475*44/12</f>
        <v>0</v>
      </c>
      <c r="BQ14" s="21">
        <f>EXP(-LN(2)/25)*BQ13+(1-EXP(-LN(2)/25))/(LN(2)/25)*Calculateur!BL14*Calculateur!BN14*VLOOKUP('Données projet'!$B$11,Paramètres!$A$1:$I$89,3,0)*0.475*44/12</f>
        <v>0</v>
      </c>
      <c r="BR14" s="21">
        <f>EXP(-LN(2)/2)*BR13+(1-EXP(-LN(2)/2))/(LN(2)/2)*BL14*BO14*VLOOKUP('Données projet'!$B$11,Paramètres!$A$1:$I$89,3,0)*0.475*44/12</f>
        <v>0</v>
      </c>
      <c r="BS14" s="22">
        <f t="shared" si="9"/>
        <v>0</v>
      </c>
      <c r="BT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0</v>
      </c>
      <c r="BY14" s="12">
        <f>IF('Données projet'!$A$114&gt;35,BY13+BX14-CG13,IF(A14&lt;'Données projet'!$A$114,$BV$205^A14,IF(A14='Données projet'!$A$114,'Données projet'!$B$114,BY13+BX14-CG13)))</f>
        <v>0</v>
      </c>
      <c r="BZ14" s="13" t="e">
        <f>BY14*VLOOKUP('Données projet'!$B$12,Paramètres!$A$1:$I$89,3,0)*VLOOKUP('Données projet'!$B$12,Paramètres!$A$1:$I$89,5,0)</f>
        <v>#N/A</v>
      </c>
      <c r="CA14" s="13" t="e">
        <f t="shared" si="39"/>
        <v>#N/A</v>
      </c>
      <c r="CB14" s="20" t="e">
        <f t="shared" si="10"/>
        <v>#N/A</v>
      </c>
      <c r="CC14" s="59" t="e">
        <f t="shared" si="11"/>
        <v>#N/A</v>
      </c>
      <c r="CD14" s="59" t="e">
        <f ca="1">AVERAGE(OFFSET($CC$3,0,0,'Données projet'!$E$12+1,1))-AVERAGE(OFFSET($H$3,0,0,'Données projet'!$E$12+1,1))</f>
        <v>#N/A</v>
      </c>
      <c r="CE14" s="59" t="e">
        <f t="shared" si="40"/>
        <v>#N/A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 t="e">
        <f>EXP(-LN(2)/35)*CK13+(1-EXP(-LN(2)/35))/(LN(2)/35)*CG14*CH14*VLOOKUP('Données projet'!$B$12,Paramètres!$A$1:$I$89,3,0)*0.475*44/12</f>
        <v>#N/A</v>
      </c>
      <c r="CL14" s="21" t="e">
        <f>EXP(-LN(2)/25)*CL13+(1-EXP(-LN(2)/25))/(LN(2)/25)*Calculateur!CG14*Calculateur!CI14*VLOOKUP('Données projet'!$B$12,Paramètres!$A$1:$I$89,3,0)*0.475*44/12</f>
        <v>#N/A</v>
      </c>
      <c r="CM14" s="21" t="e">
        <f>EXP(-LN(2)/2)*CM13+(1-EXP(-LN(2)/2))/(LN(2)/2)*CG14*CJ14*VLOOKUP('Données projet'!$B$12,Paramètres!$A$1:$I$89,3,0)*0.475*44/12</f>
        <v>#N/A</v>
      </c>
      <c r="CN14" s="22" t="e">
        <f t="shared" si="12"/>
        <v>#N/A</v>
      </c>
      <c r="CO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0</v>
      </c>
      <c r="CT14" s="12">
        <f>IF('Données projet'!$A$140&gt;35,CT13+CS14-DB13,IF(A14&lt;'Données projet'!$A$140,$CQ$205^A14,IF(A14='Données projet'!$A$140,'Données projet'!$B$140,CT13+CS14-DB13)))</f>
        <v>0</v>
      </c>
      <c r="CU14" s="17" t="e">
        <f>CT14*VLOOKUP('Données projet'!$B$13,Paramètres!$A$1:$I$89,3,0)*VLOOKUP('Données projet'!$B$13,Paramètres!$A$1:$I$89,5,0)</f>
        <v>#N/A</v>
      </c>
      <c r="CV14" s="13" t="e">
        <f t="shared" si="41"/>
        <v>#N/A</v>
      </c>
      <c r="CW14" s="20" t="e">
        <f t="shared" si="13"/>
        <v>#N/A</v>
      </c>
      <c r="CX14" s="59" t="e">
        <f t="shared" si="14"/>
        <v>#N/A</v>
      </c>
      <c r="CY14" s="59" t="e">
        <f ca="1">AVERAGE(OFFSET($CX$3,0,0,'Données projet'!$E$13+1,1))-AVERAGE(OFFSET($H$3,0,0,'Données projet'!$E$13+1,1))</f>
        <v>#N/A</v>
      </c>
      <c r="CZ14" s="59" t="e">
        <f t="shared" si="42"/>
        <v>#N/A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 t="e">
        <f>EXP(-LN(2)/35)*DF13+(1-EXP(-LN(2)/35))/(LN(2)/35)*DB14*DC14*VLOOKUP('Données projet'!$B$13,Paramètres!$A$1:$I$89,3,0)*0.475*44/12</f>
        <v>#N/A</v>
      </c>
      <c r="DG14" s="21" t="e">
        <f>EXP(-LN(2)/25)*DG13+(1-EXP(-LN(2)/25))/(LN(2)/25)*Calculateur!DB14*Calculateur!DD14*VLOOKUP('Données projet'!$B$13,Paramètres!$A$1:$I$89,3,0)*0.475*44/12</f>
        <v>#N/A</v>
      </c>
      <c r="DH14" s="21" t="e">
        <f>EXP(-LN(2)/2)*DH13+(1-EXP(-LN(2)/2))/(LN(2)/2)*DB14*DE14*VLOOKUP('Données projet'!$B$13,Paramètres!$A$1:$I$89,3,0)*0.475*44/12</f>
        <v>#N/A</v>
      </c>
      <c r="DI14" s="22" t="e">
        <f t="shared" si="15"/>
        <v>#N/A</v>
      </c>
      <c r="DJ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0</v>
      </c>
      <c r="DO14" s="12">
        <f>IF('Données projet'!$A$166&gt;35,DO13+DN14-DW13,IF(A14&lt;'Données projet'!$A$166,$DL$205^A14,IF(A14='Données projet'!$A$166,'Données projet'!$B$166,DO13+DN14-DW13)))</f>
        <v>0</v>
      </c>
      <c r="DP14" s="17" t="e">
        <f>DO14*VLOOKUP('Données projet'!$B$14,Paramètres!$A$1:$I$89,3,0)*VLOOKUP('Données projet'!$B$14,Paramètres!$A$1:$I$89,5,0)</f>
        <v>#N/A</v>
      </c>
      <c r="DQ14" s="13" t="e">
        <f t="shared" si="43"/>
        <v>#N/A</v>
      </c>
      <c r="DR14" s="20" t="e">
        <f t="shared" si="16"/>
        <v>#N/A</v>
      </c>
      <c r="DS14" s="59" t="e">
        <f t="shared" si="17"/>
        <v>#N/A</v>
      </c>
      <c r="DT14" s="59" t="e">
        <f ca="1">AVERAGE(OFFSET($DS$3,0,0,'Données projet'!$E$14+1,1))-AVERAGE(OFFSET($H$3,0,0,'Données projet'!$E$14+1,1))</f>
        <v>#N/A</v>
      </c>
      <c r="DU14" s="59" t="e">
        <f t="shared" si="44"/>
        <v>#N/A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 t="e">
        <f>EXP(-LN(2)/35)*EA13+(1-EXP(-LN(2)/35))/(LN(2)/35)*DW14*DX14*VLOOKUP('Données projet'!$B$14,Paramètres!$A$1:$I$89,3,0)*0.475*44/12</f>
        <v>#N/A</v>
      </c>
      <c r="EB14" s="21" t="e">
        <f>EXP(-LN(2)/25)*EB13+(1-EXP(-LN(2)/25))/(LN(2)/25)*Calculateur!DW14*Calculateur!DY14*VLOOKUP('Données projet'!$B$14,Paramètres!$A$1:$I$89,3,0)*0.475*44/12</f>
        <v>#N/A</v>
      </c>
      <c r="EC14" s="21" t="e">
        <f>EXP(-LN(2)/2)*EC13+(1-EXP(-LN(2)/2))/(LN(2)/2)*DW14*DZ14*VLOOKUP('Données projet'!$B$14,Paramètres!$A$1:$I$89,3,0)*0.475*44/12</f>
        <v>#N/A</v>
      </c>
      <c r="ED14" s="22" t="e">
        <f t="shared" si="18"/>
        <v>#N/A</v>
      </c>
      <c r="EE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0</v>
      </c>
      <c r="EJ14" s="12">
        <f>IF('Données projet'!$A$192&gt;35,EJ13+EI14-ER13,IF(A14&lt;'Données projet'!$A$192,$EG$205^A14,IF(A14='Données projet'!$A$192,'Données projet'!$B$192,EJ13+EI14-ER13)))</f>
        <v>0</v>
      </c>
      <c r="EK14" s="17" t="e">
        <f>EJ14*VLOOKUP('Données projet'!$B$15,Paramètres!$A$1:$I$89,3,0)*VLOOKUP('Données projet'!$B$15,Paramètres!$A$1:$I$89,5,0)</f>
        <v>#N/A</v>
      </c>
      <c r="EL14" s="13" t="e">
        <f t="shared" si="45"/>
        <v>#N/A</v>
      </c>
      <c r="EM14" s="20" t="e">
        <f t="shared" si="19"/>
        <v>#N/A</v>
      </c>
      <c r="EN14" s="59" t="e">
        <f t="shared" si="20"/>
        <v>#N/A</v>
      </c>
      <c r="EO14" s="59" t="e">
        <f ca="1">AVERAGE(OFFSET($EN$3,0,0,'Données projet'!$E$15+1,1))-AVERAGE(OFFSET($H$3,0,0,'Données projet'!$E$15+1,1))</f>
        <v>#N/A</v>
      </c>
      <c r="EP14" s="59" t="e">
        <f t="shared" si="46"/>
        <v>#N/A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 t="e">
        <f>EXP(-LN(2)/35)*EV13+(1-EXP(-LN(2)/35))/(LN(2)/35)*ER14*ES14*VLOOKUP('Données projet'!$B$15,Paramètres!$A$1:$I$89,3,0)*0.475*44/12</f>
        <v>#N/A</v>
      </c>
      <c r="EW14" s="21" t="e">
        <f>EXP(-LN(2)/25)*EW13+(1-EXP(-LN(2)/25))/(LN(2)/25)*Calculateur!ER14*Calculateur!ET14*VLOOKUP('Données projet'!$B$15,Paramètres!$A$1:$I$89,3,0)*0.475*44/12</f>
        <v>#N/A</v>
      </c>
      <c r="EX14" s="21" t="e">
        <f>EXP(-LN(2)/2)*EX13+(1-EXP(-LN(2)/2))/(LN(2)/2)*ER14*EU14*VLOOKUP('Données projet'!$B$15,Paramètres!$A$1:$I$89,3,0)*0.475*44/12</f>
        <v>#N/A</v>
      </c>
      <c r="EY14" s="22" t="e">
        <f t="shared" si="21"/>
        <v>#N/A</v>
      </c>
      <c r="EZ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45">
      <c r="A15" s="10">
        <f t="shared" si="31"/>
        <v>12</v>
      </c>
      <c r="B15" s="73">
        <f>'Scénario référence'!$B$16*5+'Scénario référence'!$B$17*0+'Scénario référence'!$B$18*5</f>
        <v>0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10.670400000000001</v>
      </c>
      <c r="D15" s="11">
        <f t="shared" si="32"/>
        <v>3.7329530817348471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">
        <f>IF(OR('Scénario référence'!$F$8&gt;0,'Scénario référence'!$F$9&gt;0),('Scénario référence'!$F$8+'Scénario référence'!$F$9)*10,0)</f>
        <v>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111.18377817479534</v>
      </c>
      <c r="H15" s="67">
        <f t="shared" si="1"/>
        <v>281.75250661735487</v>
      </c>
      <c r="I15" s="7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2" t="e">
        <f>VLOOKUP(A15,'Données projet'!$A$35:$I$55,2,0)</f>
        <v>#N/A</v>
      </c>
      <c r="L15" s="12" t="e">
        <f>VLOOKUP(A15,'Données projet'!$A$35:$I$55,9,0)</f>
        <v>#N/A</v>
      </c>
      <c r="M15" s="12">
        <f t="array" ref="M15">INDEX(L:L,MIN(IF(ISNUMBER(L15:L211),ROW(L15:L211),"")))</f>
        <v>8.1011764705882356</v>
      </c>
      <c r="N15" s="13">
        <f>IF('Données projet'!$A$36&gt;35,N14+M15-V14,IF(A15&lt;'Données projet'!$A$36,$K$205^A15,IF(A15='Données projet'!$A$36,'Données projet'!$B$36,N14+M15-V14)))</f>
        <v>7.2641700702194214</v>
      </c>
      <c r="O15" s="13">
        <f>N15*VLOOKUP('Données projet'!$B$9,Paramètres!$A$1:$I$89,3,0)*VLOOKUP('Données projet'!$B$9,Paramètres!$A$1:$I$89,5,0)</f>
        <v>4.0606710692526571</v>
      </c>
      <c r="P15" s="13">
        <f t="shared" si="33"/>
        <v>1.5896777327550757</v>
      </c>
      <c r="Q15" s="20">
        <f t="shared" si="2"/>
        <v>9.8410241634967992</v>
      </c>
      <c r="R15" s="59">
        <f t="shared" si="0"/>
        <v>281.17435749683011</v>
      </c>
      <c r="S15" s="59">
        <f ca="1">AVERAGE(OFFSET($R$3,0,0,'Données projet'!$E$9+1,1))-AVERAGE(OFFSET($H$3,0,0,'Données projet'!$E$9+1,1))</f>
        <v>280.69347314340195</v>
      </c>
      <c r="T15" s="59">
        <f t="shared" si="34"/>
        <v>152.40533828556482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6.2222222222222223</v>
      </c>
      <c r="AI15" s="13">
        <f>IF('Données projet'!$A$62&gt;35,AI14+AH15-AQ14,IF(A15&lt;'Données projet'!$A$62,$AF$205^A15,IF(A15='Données projet'!$A$62,'Données projet'!$B$62,AI14+AH15-AQ14)))</f>
        <v>23.235142934254824</v>
      </c>
      <c r="AJ15" s="13">
        <f>AI15*VLOOKUP('Données projet'!$B$10,Paramètres!$A$1:$I$89,3,0)*VLOOKUP('Données projet'!$B$10,Paramètres!$A$1:$I$89,5,0)</f>
        <v>14.498729190975009</v>
      </c>
      <c r="AK15" s="13">
        <f t="shared" si="35"/>
        <v>4.8944421329010357</v>
      </c>
      <c r="AL15" s="20">
        <f t="shared" si="4"/>
        <v>33.776440055750776</v>
      </c>
      <c r="AM15" s="59">
        <f t="shared" si="5"/>
        <v>305.10977338908407</v>
      </c>
      <c r="AN15" s="59">
        <f ca="1">AVERAGE(OFFSET($AM$3,0,0,'Données projet'!$E$10+1,1))-AVERAGE(OFFSET($H$3,0,0,'Données projet'!$E$10+1,1))</f>
        <v>179.4725256147085</v>
      </c>
      <c r="AO15" s="59">
        <f t="shared" si="36"/>
        <v>282.16750121151176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0</v>
      </c>
      <c r="AX15" s="21">
        <f t="shared" si="6"/>
        <v>0</v>
      </c>
      <c r="AY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5.3214035087719296</v>
      </c>
      <c r="BD15" s="12">
        <f>IF('Données projet'!$A$88&gt;35,BD14+BC15-BL14,IF(A15&lt;'Données projet'!$A$88,$BA$205^A15,IF(A15='Données projet'!$A$88,'Données projet'!$B$88,BD14+BC15-BL14)))</f>
        <v>63.856842105263155</v>
      </c>
      <c r="BE15" s="13">
        <f>BD15*VLOOKUP('Données projet'!$B$11,Paramètres!$A$1:$I$89,3,0)*VLOOKUP('Données projet'!$B$11,Paramètres!$A$1:$I$89,5,0)</f>
        <v>54.789170526315793</v>
      </c>
      <c r="BF15" s="13">
        <f t="shared" si="37"/>
        <v>15.843923045561212</v>
      </c>
      <c r="BG15" s="20">
        <f t="shared" si="7"/>
        <v>123.01930463768576</v>
      </c>
      <c r="BH15" s="59">
        <f t="shared" si="8"/>
        <v>394.35263797101908</v>
      </c>
      <c r="BI15" s="59">
        <f ca="1">AVERAGE(OFFSET($BH$3,0,0,'Données projet'!$E$11+1,1))-AVERAGE(OFFSET($H$3,0,0,'Données projet'!$E$11+1,1))</f>
        <v>312.89478437044261</v>
      </c>
      <c r="BJ15" s="59">
        <f t="shared" si="38"/>
        <v>276.16555507854571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>
        <f>EXP(-LN(2)/35)*BP14+(1-EXP(-LN(2)/35))/(LN(2)/35)*BL15*BM15*VLOOKUP('Données projet'!$B$11,Paramètres!$A$1:$I$89,3,0)*0.475*44/12</f>
        <v>0</v>
      </c>
      <c r="BQ15" s="21">
        <f>EXP(-LN(2)/25)*BQ14+(1-EXP(-LN(2)/25))/(LN(2)/25)*Calculateur!BL15*Calculateur!BN15*VLOOKUP('Données projet'!$B$11,Paramètres!$A$1:$I$89,3,0)*0.475*44/12</f>
        <v>0</v>
      </c>
      <c r="BR15" s="21">
        <f>EXP(-LN(2)/2)*BR14+(1-EXP(-LN(2)/2))/(LN(2)/2)*BL15*BO15*VLOOKUP('Données projet'!$B$11,Paramètres!$A$1:$I$89,3,0)*0.475*44/12</f>
        <v>0</v>
      </c>
      <c r="BS15" s="22">
        <f t="shared" si="9"/>
        <v>0</v>
      </c>
      <c r="BT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0</v>
      </c>
      <c r="BY15" s="12">
        <f>IF('Données projet'!$A$114&gt;35,BY14+BX15-CG14,IF(A15&lt;'Données projet'!$A$114,$BV$205^A15,IF(A15='Données projet'!$A$114,'Données projet'!$B$114,BY14+BX15-CG14)))</f>
        <v>0</v>
      </c>
      <c r="BZ15" s="13" t="e">
        <f>BY15*VLOOKUP('Données projet'!$B$12,Paramètres!$A$1:$I$89,3,0)*VLOOKUP('Données projet'!$B$12,Paramètres!$A$1:$I$89,5,0)</f>
        <v>#N/A</v>
      </c>
      <c r="CA15" s="13" t="e">
        <f t="shared" si="39"/>
        <v>#N/A</v>
      </c>
      <c r="CB15" s="20" t="e">
        <f t="shared" si="10"/>
        <v>#N/A</v>
      </c>
      <c r="CC15" s="59" t="e">
        <f t="shared" si="11"/>
        <v>#N/A</v>
      </c>
      <c r="CD15" s="59" t="e">
        <f ca="1">AVERAGE(OFFSET($CC$3,0,0,'Données projet'!$E$12+1,1))-AVERAGE(OFFSET($H$3,0,0,'Données projet'!$E$12+1,1))</f>
        <v>#N/A</v>
      </c>
      <c r="CE15" s="59" t="e">
        <f t="shared" si="40"/>
        <v>#N/A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 t="e">
        <f>EXP(-LN(2)/35)*CK14+(1-EXP(-LN(2)/35))/(LN(2)/35)*CG15*CH15*VLOOKUP('Données projet'!$B$12,Paramètres!$A$1:$I$89,3,0)*0.475*44/12</f>
        <v>#N/A</v>
      </c>
      <c r="CL15" s="21" t="e">
        <f>EXP(-LN(2)/25)*CL14+(1-EXP(-LN(2)/25))/(LN(2)/25)*Calculateur!CG15*Calculateur!CI15*VLOOKUP('Données projet'!$B$12,Paramètres!$A$1:$I$89,3,0)*0.475*44/12</f>
        <v>#N/A</v>
      </c>
      <c r="CM15" s="21" t="e">
        <f>EXP(-LN(2)/2)*CM14+(1-EXP(-LN(2)/2))/(LN(2)/2)*CG15*CJ15*VLOOKUP('Données projet'!$B$12,Paramètres!$A$1:$I$89,3,0)*0.475*44/12</f>
        <v>#N/A</v>
      </c>
      <c r="CN15" s="22" t="e">
        <f t="shared" si="12"/>
        <v>#N/A</v>
      </c>
      <c r="CO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0</v>
      </c>
      <c r="CT15" s="12">
        <f>IF('Données projet'!$A$140&gt;35,CT14+CS15-DB14,IF(A15&lt;'Données projet'!$A$140,$CQ$205^A15,IF(A15='Données projet'!$A$140,'Données projet'!$B$140,CT14+CS15-DB14)))</f>
        <v>0</v>
      </c>
      <c r="CU15" s="17" t="e">
        <f>CT15*VLOOKUP('Données projet'!$B$13,Paramètres!$A$1:$I$89,3,0)*VLOOKUP('Données projet'!$B$13,Paramètres!$A$1:$I$89,5,0)</f>
        <v>#N/A</v>
      </c>
      <c r="CV15" s="13" t="e">
        <f t="shared" si="41"/>
        <v>#N/A</v>
      </c>
      <c r="CW15" s="20" t="e">
        <f t="shared" si="13"/>
        <v>#N/A</v>
      </c>
      <c r="CX15" s="59" t="e">
        <f t="shared" si="14"/>
        <v>#N/A</v>
      </c>
      <c r="CY15" s="59" t="e">
        <f ca="1">AVERAGE(OFFSET($CX$3,0,0,'Données projet'!$E$13+1,1))-AVERAGE(OFFSET($H$3,0,0,'Données projet'!$E$13+1,1))</f>
        <v>#N/A</v>
      </c>
      <c r="CZ15" s="59" t="e">
        <f t="shared" si="42"/>
        <v>#N/A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 t="e">
        <f>EXP(-LN(2)/35)*DF14+(1-EXP(-LN(2)/35))/(LN(2)/35)*DB15*DC15*VLOOKUP('Données projet'!$B$13,Paramètres!$A$1:$I$89,3,0)*0.475*44/12</f>
        <v>#N/A</v>
      </c>
      <c r="DG15" s="21" t="e">
        <f>EXP(-LN(2)/25)*DG14+(1-EXP(-LN(2)/25))/(LN(2)/25)*Calculateur!DB15*Calculateur!DD15*VLOOKUP('Données projet'!$B$13,Paramètres!$A$1:$I$89,3,0)*0.475*44/12</f>
        <v>#N/A</v>
      </c>
      <c r="DH15" s="21" t="e">
        <f>EXP(-LN(2)/2)*DH14+(1-EXP(-LN(2)/2))/(LN(2)/2)*DB15*DE15*VLOOKUP('Données projet'!$B$13,Paramètres!$A$1:$I$89,3,0)*0.475*44/12</f>
        <v>#N/A</v>
      </c>
      <c r="DI15" s="22" t="e">
        <f t="shared" si="15"/>
        <v>#N/A</v>
      </c>
      <c r="DJ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0</v>
      </c>
      <c r="DO15" s="12">
        <f>IF('Données projet'!$A$166&gt;35,DO14+DN15-DW14,IF(A15&lt;'Données projet'!$A$166,$DL$205^A15,IF(A15='Données projet'!$A$166,'Données projet'!$B$166,DO14+DN15-DW14)))</f>
        <v>0</v>
      </c>
      <c r="DP15" s="17" t="e">
        <f>DO15*VLOOKUP('Données projet'!$B$14,Paramètres!$A$1:$I$89,3,0)*VLOOKUP('Données projet'!$B$14,Paramètres!$A$1:$I$89,5,0)</f>
        <v>#N/A</v>
      </c>
      <c r="DQ15" s="13" t="e">
        <f t="shared" si="43"/>
        <v>#N/A</v>
      </c>
      <c r="DR15" s="20" t="e">
        <f t="shared" si="16"/>
        <v>#N/A</v>
      </c>
      <c r="DS15" s="59" t="e">
        <f t="shared" si="17"/>
        <v>#N/A</v>
      </c>
      <c r="DT15" s="59" t="e">
        <f ca="1">AVERAGE(OFFSET($DS$3,0,0,'Données projet'!$E$14+1,1))-AVERAGE(OFFSET($H$3,0,0,'Données projet'!$E$14+1,1))</f>
        <v>#N/A</v>
      </c>
      <c r="DU15" s="59" t="e">
        <f t="shared" si="44"/>
        <v>#N/A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 t="e">
        <f>EXP(-LN(2)/35)*EA14+(1-EXP(-LN(2)/35))/(LN(2)/35)*DW15*DX15*VLOOKUP('Données projet'!$B$14,Paramètres!$A$1:$I$89,3,0)*0.475*44/12</f>
        <v>#N/A</v>
      </c>
      <c r="EB15" s="21" t="e">
        <f>EXP(-LN(2)/25)*EB14+(1-EXP(-LN(2)/25))/(LN(2)/25)*Calculateur!DW15*Calculateur!DY15*VLOOKUP('Données projet'!$B$14,Paramètres!$A$1:$I$89,3,0)*0.475*44/12</f>
        <v>#N/A</v>
      </c>
      <c r="EC15" s="21" t="e">
        <f>EXP(-LN(2)/2)*EC14+(1-EXP(-LN(2)/2))/(LN(2)/2)*DW15*DZ15*VLOOKUP('Données projet'!$B$14,Paramètres!$A$1:$I$89,3,0)*0.475*44/12</f>
        <v>#N/A</v>
      </c>
      <c r="ED15" s="22" t="e">
        <f t="shared" si="18"/>
        <v>#N/A</v>
      </c>
      <c r="EE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0</v>
      </c>
      <c r="EJ15" s="12">
        <f>IF('Données projet'!$A$192&gt;35,EJ14+EI15-ER14,IF(A15&lt;'Données projet'!$A$192,$EG$205^A15,IF(A15='Données projet'!$A$192,'Données projet'!$B$192,EJ14+EI15-ER14)))</f>
        <v>0</v>
      </c>
      <c r="EK15" s="17" t="e">
        <f>EJ15*VLOOKUP('Données projet'!$B$15,Paramètres!$A$1:$I$89,3,0)*VLOOKUP('Données projet'!$B$15,Paramètres!$A$1:$I$89,5,0)</f>
        <v>#N/A</v>
      </c>
      <c r="EL15" s="13" t="e">
        <f t="shared" si="45"/>
        <v>#N/A</v>
      </c>
      <c r="EM15" s="20" t="e">
        <f t="shared" si="19"/>
        <v>#N/A</v>
      </c>
      <c r="EN15" s="59" t="e">
        <f t="shared" si="20"/>
        <v>#N/A</v>
      </c>
      <c r="EO15" s="59" t="e">
        <f ca="1">AVERAGE(OFFSET($EN$3,0,0,'Données projet'!$E$15+1,1))-AVERAGE(OFFSET($H$3,0,0,'Données projet'!$E$15+1,1))</f>
        <v>#N/A</v>
      </c>
      <c r="EP15" s="59" t="e">
        <f t="shared" si="46"/>
        <v>#N/A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 t="e">
        <f>EXP(-LN(2)/35)*EV14+(1-EXP(-LN(2)/35))/(LN(2)/35)*ER15*ES15*VLOOKUP('Données projet'!$B$15,Paramètres!$A$1:$I$89,3,0)*0.475*44/12</f>
        <v>#N/A</v>
      </c>
      <c r="EW15" s="21" t="e">
        <f>EXP(-LN(2)/25)*EW14+(1-EXP(-LN(2)/25))/(LN(2)/25)*Calculateur!ER15*Calculateur!ET15*VLOOKUP('Données projet'!$B$15,Paramètres!$A$1:$I$89,3,0)*0.475*44/12</f>
        <v>#N/A</v>
      </c>
      <c r="EX15" s="21" t="e">
        <f>EXP(-LN(2)/2)*EX14+(1-EXP(-LN(2)/2))/(LN(2)/2)*ER15*EU15*VLOOKUP('Données projet'!$B$15,Paramètres!$A$1:$I$89,3,0)*0.475*44/12</f>
        <v>#N/A</v>
      </c>
      <c r="EY15" s="22" t="e">
        <f t="shared" si="21"/>
        <v>#N/A</v>
      </c>
      <c r="EZ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45">
      <c r="A16" s="10">
        <f t="shared" si="31"/>
        <v>13</v>
      </c>
      <c r="B16" s="73">
        <f>'Scénario référence'!$B$16*5+'Scénario référence'!$B$17*0+'Scénario référence'!$B$18*5</f>
        <v>0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11.559600000000001</v>
      </c>
      <c r="D16" s="11">
        <f t="shared" si="32"/>
        <v>4.0065293501366055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">
        <f>IF(OR('Scénario référence'!$F$8&gt;0,'Scénario référence'!$F$9&gt;0),('Scénario référence'!$F$8+'Scénario référence'!$F$9)*10,0)</f>
        <v>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120.15959498351064</v>
      </c>
      <c r="H16" s="67">
        <f t="shared" si="1"/>
        <v>283.77767528482127</v>
      </c>
      <c r="I16" s="7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8.1011764705882356</v>
      </c>
      <c r="N16" s="13">
        <f>IF('Données projet'!$A$36&gt;35,N15+M16-V15,IF(A16&lt;'Données projet'!$A$36,$K$205^A16,IF(A16='Données projet'!$A$36,'Données projet'!$B$36,N15+M16-V15)))</f>
        <v>8.5694214786555154</v>
      </c>
      <c r="O16" s="13">
        <f>N16*VLOOKUP('Données projet'!$B$9,Paramètres!$A$1:$I$89,3,0)*VLOOKUP('Données projet'!$B$9,Paramètres!$A$1:$I$89,5,0)</f>
        <v>4.790306606568433</v>
      </c>
      <c r="P16" s="13">
        <f t="shared" si="33"/>
        <v>1.8395901986922396</v>
      </c>
      <c r="Q16" s="20">
        <f t="shared" si="2"/>
        <v>11.547070269162338</v>
      </c>
      <c r="R16" s="59">
        <f t="shared" si="0"/>
        <v>284.1026258247179</v>
      </c>
      <c r="S16" s="59">
        <f ca="1">AVERAGE(OFFSET($R$3,0,0,'Données projet'!$E$9+1,1))-AVERAGE(OFFSET($H$3,0,0,'Données projet'!$E$9+1,1))</f>
        <v>280.69347314340195</v>
      </c>
      <c r="T16" s="59">
        <f t="shared" si="34"/>
        <v>152.40533828556482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6.2222222222222223</v>
      </c>
      <c r="AI16" s="13">
        <f>IF('Données projet'!$A$62&gt;35,AI15+AH16-AQ15,IF(A16&lt;'Données projet'!$A$62,$AF$205^A16,IF(A16='Données projet'!$A$62,'Données projet'!$B$62,AI15+AH16-AQ15)))</f>
        <v>30.19887706404656</v>
      </c>
      <c r="AJ16" s="13">
        <f>AI16*VLOOKUP('Données projet'!$B$10,Paramètres!$A$1:$I$89,3,0)*VLOOKUP('Données projet'!$B$10,Paramètres!$A$1:$I$89,5,0)</f>
        <v>18.844099287965054</v>
      </c>
      <c r="AK16" s="13">
        <f t="shared" si="35"/>
        <v>6.1701686386769925</v>
      </c>
      <c r="AL16" s="20">
        <f t="shared" si="4"/>
        <v>43.566516638901568</v>
      </c>
      <c r="AM16" s="59">
        <f t="shared" si="5"/>
        <v>316.12207219445713</v>
      </c>
      <c r="AN16" s="59">
        <f ca="1">AVERAGE(OFFSET($AM$3,0,0,'Données projet'!$E$10+1,1))-AVERAGE(OFFSET($H$3,0,0,'Données projet'!$E$10+1,1))</f>
        <v>179.4725256147085</v>
      </c>
      <c r="AO16" s="59">
        <f t="shared" si="36"/>
        <v>282.16750121151176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0</v>
      </c>
      <c r="AX16" s="21">
        <f t="shared" si="6"/>
        <v>0</v>
      </c>
      <c r="AY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5.3214035087719296</v>
      </c>
      <c r="BD16" s="12">
        <f>IF('Données projet'!$A$88&gt;35,BD15+BC16-BL15,IF(A16&lt;'Données projet'!$A$88,$BA$205^A16,IF(A16='Données projet'!$A$88,'Données projet'!$B$88,BD15+BC16-BL15)))</f>
        <v>69.178245614035092</v>
      </c>
      <c r="BE16" s="13">
        <f>BD16*VLOOKUP('Données projet'!$B$11,Paramètres!$A$1:$I$89,3,0)*VLOOKUP('Données projet'!$B$11,Paramètres!$A$1:$I$89,5,0)</f>
        <v>59.354934736842118</v>
      </c>
      <c r="BF16" s="13">
        <f t="shared" si="37"/>
        <v>17.005073815137685</v>
      </c>
      <c r="BG16" s="20">
        <f t="shared" si="7"/>
        <v>132.99368156136481</v>
      </c>
      <c r="BH16" s="59">
        <f t="shared" si="8"/>
        <v>405.54923711692038</v>
      </c>
      <c r="BI16" s="59">
        <f ca="1">AVERAGE(OFFSET($BH$3,0,0,'Données projet'!$E$11+1,1))-AVERAGE(OFFSET($H$3,0,0,'Données projet'!$E$11+1,1))</f>
        <v>312.89478437044261</v>
      </c>
      <c r="BJ16" s="59">
        <f t="shared" si="38"/>
        <v>276.16555507854571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>
        <f>EXP(-LN(2)/35)*BP15+(1-EXP(-LN(2)/35))/(LN(2)/35)*BL16*BM16*VLOOKUP('Données projet'!$B$11,Paramètres!$A$1:$I$89,3,0)*0.475*44/12</f>
        <v>0</v>
      </c>
      <c r="BQ16" s="21">
        <f>EXP(-LN(2)/25)*BQ15+(1-EXP(-LN(2)/25))/(LN(2)/25)*Calculateur!BL16*Calculateur!BN16*VLOOKUP('Données projet'!$B$11,Paramètres!$A$1:$I$89,3,0)*0.475*44/12</f>
        <v>0</v>
      </c>
      <c r="BR16" s="21">
        <f>EXP(-LN(2)/2)*BR15+(1-EXP(-LN(2)/2))/(LN(2)/2)*BL16*BO16*VLOOKUP('Données projet'!$B$11,Paramètres!$A$1:$I$89,3,0)*0.475*44/12</f>
        <v>0</v>
      </c>
      <c r="BS16" s="22">
        <f t="shared" si="9"/>
        <v>0</v>
      </c>
      <c r="BT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0</v>
      </c>
      <c r="BY16" s="12">
        <f>IF('Données projet'!$A$114&gt;35,BY15+BX16-CG15,IF(A16&lt;'Données projet'!$A$114,$BV$205^A16,IF(A16='Données projet'!$A$114,'Données projet'!$B$114,BY15+BX16-CG15)))</f>
        <v>0</v>
      </c>
      <c r="BZ16" s="13" t="e">
        <f>BY16*VLOOKUP('Données projet'!$B$12,Paramètres!$A$1:$I$89,3,0)*VLOOKUP('Données projet'!$B$12,Paramètres!$A$1:$I$89,5,0)</f>
        <v>#N/A</v>
      </c>
      <c r="CA16" s="13" t="e">
        <f t="shared" si="39"/>
        <v>#N/A</v>
      </c>
      <c r="CB16" s="20" t="e">
        <f t="shared" si="10"/>
        <v>#N/A</v>
      </c>
      <c r="CC16" s="59" t="e">
        <f t="shared" si="11"/>
        <v>#N/A</v>
      </c>
      <c r="CD16" s="59" t="e">
        <f ca="1">AVERAGE(OFFSET($CC$3,0,0,'Données projet'!$E$12+1,1))-AVERAGE(OFFSET($H$3,0,0,'Données projet'!$E$12+1,1))</f>
        <v>#N/A</v>
      </c>
      <c r="CE16" s="59" t="e">
        <f t="shared" si="40"/>
        <v>#N/A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 t="e">
        <f>EXP(-LN(2)/35)*CK15+(1-EXP(-LN(2)/35))/(LN(2)/35)*CG16*CH16*VLOOKUP('Données projet'!$B$12,Paramètres!$A$1:$I$89,3,0)*0.475*44/12</f>
        <v>#N/A</v>
      </c>
      <c r="CL16" s="21" t="e">
        <f>EXP(-LN(2)/25)*CL15+(1-EXP(-LN(2)/25))/(LN(2)/25)*Calculateur!CG16*Calculateur!CI16*VLOOKUP('Données projet'!$B$12,Paramètres!$A$1:$I$89,3,0)*0.475*44/12</f>
        <v>#N/A</v>
      </c>
      <c r="CM16" s="21" t="e">
        <f>EXP(-LN(2)/2)*CM15+(1-EXP(-LN(2)/2))/(LN(2)/2)*CG16*CJ16*VLOOKUP('Données projet'!$B$12,Paramètres!$A$1:$I$89,3,0)*0.475*44/12</f>
        <v>#N/A</v>
      </c>
      <c r="CN16" s="22" t="e">
        <f t="shared" si="12"/>
        <v>#N/A</v>
      </c>
      <c r="CO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0</v>
      </c>
      <c r="CT16" s="12">
        <f>IF('Données projet'!$A$140&gt;35,CT15+CS16-DB15,IF(A16&lt;'Données projet'!$A$140,$CQ$205^A16,IF(A16='Données projet'!$A$140,'Données projet'!$B$140,CT15+CS16-DB15)))</f>
        <v>0</v>
      </c>
      <c r="CU16" s="17" t="e">
        <f>CT16*VLOOKUP('Données projet'!$B$13,Paramètres!$A$1:$I$89,3,0)*VLOOKUP('Données projet'!$B$13,Paramètres!$A$1:$I$89,5,0)</f>
        <v>#N/A</v>
      </c>
      <c r="CV16" s="13" t="e">
        <f t="shared" si="41"/>
        <v>#N/A</v>
      </c>
      <c r="CW16" s="20" t="e">
        <f t="shared" si="13"/>
        <v>#N/A</v>
      </c>
      <c r="CX16" s="59" t="e">
        <f t="shared" si="14"/>
        <v>#N/A</v>
      </c>
      <c r="CY16" s="59" t="e">
        <f ca="1">AVERAGE(OFFSET($CX$3,0,0,'Données projet'!$E$13+1,1))-AVERAGE(OFFSET($H$3,0,0,'Données projet'!$E$13+1,1))</f>
        <v>#N/A</v>
      </c>
      <c r="CZ16" s="59" t="e">
        <f t="shared" si="42"/>
        <v>#N/A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 t="e">
        <f>EXP(-LN(2)/35)*DF15+(1-EXP(-LN(2)/35))/(LN(2)/35)*DB16*DC16*VLOOKUP('Données projet'!$B$13,Paramètres!$A$1:$I$89,3,0)*0.475*44/12</f>
        <v>#N/A</v>
      </c>
      <c r="DG16" s="21" t="e">
        <f>EXP(-LN(2)/25)*DG15+(1-EXP(-LN(2)/25))/(LN(2)/25)*Calculateur!DB16*Calculateur!DD16*VLOOKUP('Données projet'!$B$13,Paramètres!$A$1:$I$89,3,0)*0.475*44/12</f>
        <v>#N/A</v>
      </c>
      <c r="DH16" s="21" t="e">
        <f>EXP(-LN(2)/2)*DH15+(1-EXP(-LN(2)/2))/(LN(2)/2)*DB16*DE16*VLOOKUP('Données projet'!$B$13,Paramètres!$A$1:$I$89,3,0)*0.475*44/12</f>
        <v>#N/A</v>
      </c>
      <c r="DI16" s="22" t="e">
        <f t="shared" si="15"/>
        <v>#N/A</v>
      </c>
      <c r="DJ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0</v>
      </c>
      <c r="DO16" s="12">
        <f>IF('Données projet'!$A$166&gt;35,DO15+DN16-DW15,IF(A16&lt;'Données projet'!$A$166,$DL$205^A16,IF(A16='Données projet'!$A$166,'Données projet'!$B$166,DO15+DN16-DW15)))</f>
        <v>0</v>
      </c>
      <c r="DP16" s="17" t="e">
        <f>DO16*VLOOKUP('Données projet'!$B$14,Paramètres!$A$1:$I$89,3,0)*VLOOKUP('Données projet'!$B$14,Paramètres!$A$1:$I$89,5,0)</f>
        <v>#N/A</v>
      </c>
      <c r="DQ16" s="13" t="e">
        <f t="shared" si="43"/>
        <v>#N/A</v>
      </c>
      <c r="DR16" s="20" t="e">
        <f t="shared" si="16"/>
        <v>#N/A</v>
      </c>
      <c r="DS16" s="59" t="e">
        <f t="shared" si="17"/>
        <v>#N/A</v>
      </c>
      <c r="DT16" s="59" t="e">
        <f ca="1">AVERAGE(OFFSET($DS$3,0,0,'Données projet'!$E$14+1,1))-AVERAGE(OFFSET($H$3,0,0,'Données projet'!$E$14+1,1))</f>
        <v>#N/A</v>
      </c>
      <c r="DU16" s="59" t="e">
        <f t="shared" si="44"/>
        <v>#N/A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 t="e">
        <f>EXP(-LN(2)/35)*EA15+(1-EXP(-LN(2)/35))/(LN(2)/35)*DW16*DX16*VLOOKUP('Données projet'!$B$14,Paramètres!$A$1:$I$89,3,0)*0.475*44/12</f>
        <v>#N/A</v>
      </c>
      <c r="EB16" s="21" t="e">
        <f>EXP(-LN(2)/25)*EB15+(1-EXP(-LN(2)/25))/(LN(2)/25)*Calculateur!DW16*Calculateur!DY16*VLOOKUP('Données projet'!$B$14,Paramètres!$A$1:$I$89,3,0)*0.475*44/12</f>
        <v>#N/A</v>
      </c>
      <c r="EC16" s="21" t="e">
        <f>EXP(-LN(2)/2)*EC15+(1-EXP(-LN(2)/2))/(LN(2)/2)*DW16*DZ16*VLOOKUP('Données projet'!$B$14,Paramètres!$A$1:$I$89,3,0)*0.475*44/12</f>
        <v>#N/A</v>
      </c>
      <c r="ED16" s="22" t="e">
        <f t="shared" si="18"/>
        <v>#N/A</v>
      </c>
      <c r="EE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0</v>
      </c>
      <c r="EJ16" s="12">
        <f>IF('Données projet'!$A$192&gt;35,EJ15+EI16-ER15,IF(A16&lt;'Données projet'!$A$192,$EG$205^A16,IF(A16='Données projet'!$A$192,'Données projet'!$B$192,EJ15+EI16-ER15)))</f>
        <v>0</v>
      </c>
      <c r="EK16" s="17" t="e">
        <f>EJ16*VLOOKUP('Données projet'!$B$15,Paramètres!$A$1:$I$89,3,0)*VLOOKUP('Données projet'!$B$15,Paramètres!$A$1:$I$89,5,0)</f>
        <v>#N/A</v>
      </c>
      <c r="EL16" s="13" t="e">
        <f t="shared" si="45"/>
        <v>#N/A</v>
      </c>
      <c r="EM16" s="20" t="e">
        <f t="shared" si="19"/>
        <v>#N/A</v>
      </c>
      <c r="EN16" s="59" t="e">
        <f t="shared" si="20"/>
        <v>#N/A</v>
      </c>
      <c r="EO16" s="59" t="e">
        <f ca="1">AVERAGE(OFFSET($EN$3,0,0,'Données projet'!$E$15+1,1))-AVERAGE(OFFSET($H$3,0,0,'Données projet'!$E$15+1,1))</f>
        <v>#N/A</v>
      </c>
      <c r="EP16" s="59" t="e">
        <f t="shared" si="46"/>
        <v>#N/A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 t="e">
        <f>EXP(-LN(2)/35)*EV15+(1-EXP(-LN(2)/35))/(LN(2)/35)*ER16*ES16*VLOOKUP('Données projet'!$B$15,Paramètres!$A$1:$I$89,3,0)*0.475*44/12</f>
        <v>#N/A</v>
      </c>
      <c r="EW16" s="21" t="e">
        <f>EXP(-LN(2)/25)*EW15+(1-EXP(-LN(2)/25))/(LN(2)/25)*Calculateur!ER16*Calculateur!ET16*VLOOKUP('Données projet'!$B$15,Paramètres!$A$1:$I$89,3,0)*0.475*44/12</f>
        <v>#N/A</v>
      </c>
      <c r="EX16" s="21" t="e">
        <f>EXP(-LN(2)/2)*EX15+(1-EXP(-LN(2)/2))/(LN(2)/2)*ER16*EU16*VLOOKUP('Données projet'!$B$15,Paramètres!$A$1:$I$89,3,0)*0.475*44/12</f>
        <v>#N/A</v>
      </c>
      <c r="EY16" s="22" t="e">
        <f t="shared" si="21"/>
        <v>#N/A</v>
      </c>
      <c r="EZ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45">
      <c r="A17" s="10">
        <f t="shared" si="31"/>
        <v>14</v>
      </c>
      <c r="B17" s="73">
        <f>'Scénario référence'!$B$16*5+'Scénario référence'!$B$17*0+'Scénario référence'!$B$18*5</f>
        <v>0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12.448800000000002</v>
      </c>
      <c r="D17" s="11">
        <f t="shared" si="32"/>
        <v>4.2776644527179633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">
        <f>IF(OR('Scénario référence'!$F$8&gt;0,'Scénario référence'!$F$9&gt;0),('Scénario référence'!$F$8+'Scénario référence'!$F$9)*10,0)</f>
        <v>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129.11656770519133</v>
      </c>
      <c r="H17" s="67">
        <f t="shared" si="1"/>
        <v>285.79859225515048</v>
      </c>
      <c r="I17" s="7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2" t="e">
        <f>VLOOKUP(A17,'Données projet'!$A$35:$I$55,2,0)</f>
        <v>#N/A</v>
      </c>
      <c r="L17" s="12" t="e">
        <f>VLOOKUP(A17,'Données projet'!$A$35:$I$55,9,0)</f>
        <v>#N/A</v>
      </c>
      <c r="M17" s="12">
        <f t="array" ref="M17">INDEX(L:L,MIN(IF(ISNUMBER(L17:L213),ROW(L17:L213),"")))</f>
        <v>8.1011764705882356</v>
      </c>
      <c r="N17" s="13">
        <f>IF('Données projet'!$A$36&gt;35,N16+M17-V16,IF(A17&lt;'Données projet'!$A$36,$K$205^A17,IF(A17='Données projet'!$A$36,'Données projet'!$B$36,N16+M17-V16)))</f>
        <v>10.109205011581498</v>
      </c>
      <c r="O17" s="13">
        <f>N17*VLOOKUP('Données projet'!$B$9,Paramètres!$A$1:$I$89,3,0)*VLOOKUP('Données projet'!$B$9,Paramètres!$A$1:$I$89,5,0)</f>
        <v>5.6510456014740571</v>
      </c>
      <c r="P17" s="13">
        <f t="shared" si="33"/>
        <v>2.128791282280575</v>
      </c>
      <c r="Q17" s="20">
        <f t="shared" si="2"/>
        <v>13.549882572539316</v>
      </c>
      <c r="R17" s="59">
        <f t="shared" si="0"/>
        <v>287.3276603503171</v>
      </c>
      <c r="S17" s="59">
        <f ca="1">AVERAGE(OFFSET($R$3,0,0,'Données projet'!$E$9+1,1))-AVERAGE(OFFSET($H$3,0,0,'Données projet'!$E$9+1,1))</f>
        <v>280.69347314340195</v>
      </c>
      <c r="T17" s="59">
        <f t="shared" si="34"/>
        <v>152.40533828556482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0</v>
      </c>
      <c r="AC17" s="22">
        <f t="shared" si="3"/>
        <v>0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6.2222222222222223</v>
      </c>
      <c r="AI17" s="13">
        <f>IF('Données projet'!$A$62&gt;35,AI16+AH17-AQ16,IF(A17&lt;'Données projet'!$A$62,$AF$205^A17,IF(A17='Données projet'!$A$62,'Données projet'!$B$62,AI16+AH17-AQ16)))</f>
        <v>39.249690802844427</v>
      </c>
      <c r="AJ17" s="13">
        <f>AI17*VLOOKUP('Données projet'!$B$10,Paramètres!$A$1:$I$89,3,0)*VLOOKUP('Données projet'!$B$10,Paramètres!$A$1:$I$89,5,0)</f>
        <v>24.491807060974921</v>
      </c>
      <c r="AK17" s="13">
        <f t="shared" si="35"/>
        <v>7.7784106944068903</v>
      </c>
      <c r="AL17" s="20">
        <f t="shared" si="4"/>
        <v>56.203962590623313</v>
      </c>
      <c r="AM17" s="59">
        <f t="shared" si="5"/>
        <v>329.98174036840106</v>
      </c>
      <c r="AN17" s="59">
        <f ca="1">AVERAGE(OFFSET($AM$3,0,0,'Données projet'!$E$10+1,1))-AVERAGE(OFFSET($H$3,0,0,'Données projet'!$E$10+1,1))</f>
        <v>179.4725256147085</v>
      </c>
      <c r="AO17" s="59">
        <f t="shared" si="36"/>
        <v>282.16750121151176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0</v>
      </c>
      <c r="AX17" s="21">
        <f t="shared" si="6"/>
        <v>0</v>
      </c>
      <c r="AY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5.3214035087719296</v>
      </c>
      <c r="BD17" s="12">
        <f>IF('Données projet'!$A$88&gt;35,BD16+BC17-BL16,IF(A17&lt;'Données projet'!$A$88,$BA$205^A17,IF(A17='Données projet'!$A$88,'Données projet'!$B$88,BD16+BC17-BL16)))</f>
        <v>74.499649122807028</v>
      </c>
      <c r="BE17" s="13">
        <f>BD17*VLOOKUP('Données projet'!$B$11,Paramètres!$A$1:$I$89,3,0)*VLOOKUP('Données projet'!$B$11,Paramètres!$A$1:$I$89,5,0)</f>
        <v>63.920698947368436</v>
      </c>
      <c r="BF17" s="13">
        <f t="shared" si="37"/>
        <v>18.15586344634648</v>
      </c>
      <c r="BG17" s="20">
        <f t="shared" si="7"/>
        <v>142.95001283572014</v>
      </c>
      <c r="BH17" s="59">
        <f t="shared" si="8"/>
        <v>416.72779061349792</v>
      </c>
      <c r="BI17" s="59">
        <f ca="1">AVERAGE(OFFSET($BH$3,0,0,'Données projet'!$E$11+1,1))-AVERAGE(OFFSET($H$3,0,0,'Données projet'!$E$11+1,1))</f>
        <v>312.89478437044261</v>
      </c>
      <c r="BJ17" s="59">
        <f t="shared" si="38"/>
        <v>276.16555507854571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>
        <f>EXP(-LN(2)/35)*BP16+(1-EXP(-LN(2)/35))/(LN(2)/35)*BL17*BM17*VLOOKUP('Données projet'!$B$11,Paramètres!$A$1:$I$89,3,0)*0.475*44/12</f>
        <v>0</v>
      </c>
      <c r="BQ17" s="21">
        <f>EXP(-LN(2)/25)*BQ16+(1-EXP(-LN(2)/25))/(LN(2)/25)*Calculateur!BL17*Calculateur!BN17*VLOOKUP('Données projet'!$B$11,Paramètres!$A$1:$I$89,3,0)*0.475*44/12</f>
        <v>0</v>
      </c>
      <c r="BR17" s="21">
        <f>EXP(-LN(2)/2)*BR16+(1-EXP(-LN(2)/2))/(LN(2)/2)*BL17*BO17*VLOOKUP('Données projet'!$B$11,Paramètres!$A$1:$I$89,3,0)*0.475*44/12</f>
        <v>0</v>
      </c>
      <c r="BS17" s="22">
        <f t="shared" si="9"/>
        <v>0</v>
      </c>
      <c r="BT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0</v>
      </c>
      <c r="BY17" s="12">
        <f>IF('Données projet'!$A$114&gt;35,BY16+BX17-CG16,IF(A17&lt;'Données projet'!$A$114,$BV$205^A17,IF(A17='Données projet'!$A$114,'Données projet'!$B$114,BY16+BX17-CG16)))</f>
        <v>0</v>
      </c>
      <c r="BZ17" s="13" t="e">
        <f>BY17*VLOOKUP('Données projet'!$B$12,Paramètres!$A$1:$I$89,3,0)*VLOOKUP('Données projet'!$B$12,Paramètres!$A$1:$I$89,5,0)</f>
        <v>#N/A</v>
      </c>
      <c r="CA17" s="13" t="e">
        <f t="shared" si="39"/>
        <v>#N/A</v>
      </c>
      <c r="CB17" s="20" t="e">
        <f t="shared" si="10"/>
        <v>#N/A</v>
      </c>
      <c r="CC17" s="59" t="e">
        <f t="shared" si="11"/>
        <v>#N/A</v>
      </c>
      <c r="CD17" s="59" t="e">
        <f ca="1">AVERAGE(OFFSET($CC$3,0,0,'Données projet'!$E$12+1,1))-AVERAGE(OFFSET($H$3,0,0,'Données projet'!$E$12+1,1))</f>
        <v>#N/A</v>
      </c>
      <c r="CE17" s="59" t="e">
        <f t="shared" si="40"/>
        <v>#N/A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 t="e">
        <f>EXP(-LN(2)/35)*CK16+(1-EXP(-LN(2)/35))/(LN(2)/35)*CG17*CH17*VLOOKUP('Données projet'!$B$12,Paramètres!$A$1:$I$89,3,0)*0.475*44/12</f>
        <v>#N/A</v>
      </c>
      <c r="CL17" s="21" t="e">
        <f>EXP(-LN(2)/25)*CL16+(1-EXP(-LN(2)/25))/(LN(2)/25)*Calculateur!CG17*Calculateur!CI17*VLOOKUP('Données projet'!$B$12,Paramètres!$A$1:$I$89,3,0)*0.475*44/12</f>
        <v>#N/A</v>
      </c>
      <c r="CM17" s="21" t="e">
        <f>EXP(-LN(2)/2)*CM16+(1-EXP(-LN(2)/2))/(LN(2)/2)*CG17*CJ17*VLOOKUP('Données projet'!$B$12,Paramètres!$A$1:$I$89,3,0)*0.475*44/12</f>
        <v>#N/A</v>
      </c>
      <c r="CN17" s="22" t="e">
        <f t="shared" si="12"/>
        <v>#N/A</v>
      </c>
      <c r="CO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0</v>
      </c>
      <c r="CT17" s="12">
        <f>IF('Données projet'!$A$140&gt;35,CT16+CS17-DB16,IF(A17&lt;'Données projet'!$A$140,$CQ$205^A17,IF(A17='Données projet'!$A$140,'Données projet'!$B$140,CT16+CS17-DB16)))</f>
        <v>0</v>
      </c>
      <c r="CU17" s="17" t="e">
        <f>CT17*VLOOKUP('Données projet'!$B$13,Paramètres!$A$1:$I$89,3,0)*VLOOKUP('Données projet'!$B$13,Paramètres!$A$1:$I$89,5,0)</f>
        <v>#N/A</v>
      </c>
      <c r="CV17" s="13" t="e">
        <f t="shared" si="41"/>
        <v>#N/A</v>
      </c>
      <c r="CW17" s="20" t="e">
        <f t="shared" si="13"/>
        <v>#N/A</v>
      </c>
      <c r="CX17" s="59" t="e">
        <f t="shared" si="14"/>
        <v>#N/A</v>
      </c>
      <c r="CY17" s="59" t="e">
        <f ca="1">AVERAGE(OFFSET($CX$3,0,0,'Données projet'!$E$13+1,1))-AVERAGE(OFFSET($H$3,0,0,'Données projet'!$E$13+1,1))</f>
        <v>#N/A</v>
      </c>
      <c r="CZ17" s="59" t="e">
        <f t="shared" si="42"/>
        <v>#N/A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 t="e">
        <f>EXP(-LN(2)/35)*DF16+(1-EXP(-LN(2)/35))/(LN(2)/35)*DB17*DC17*VLOOKUP('Données projet'!$B$13,Paramètres!$A$1:$I$89,3,0)*0.475*44/12</f>
        <v>#N/A</v>
      </c>
      <c r="DG17" s="21" t="e">
        <f>EXP(-LN(2)/25)*DG16+(1-EXP(-LN(2)/25))/(LN(2)/25)*Calculateur!DB17*Calculateur!DD17*VLOOKUP('Données projet'!$B$13,Paramètres!$A$1:$I$89,3,0)*0.475*44/12</f>
        <v>#N/A</v>
      </c>
      <c r="DH17" s="21" t="e">
        <f>EXP(-LN(2)/2)*DH16+(1-EXP(-LN(2)/2))/(LN(2)/2)*DB17*DE17*VLOOKUP('Données projet'!$B$13,Paramètres!$A$1:$I$89,3,0)*0.475*44/12</f>
        <v>#N/A</v>
      </c>
      <c r="DI17" s="22" t="e">
        <f t="shared" si="15"/>
        <v>#N/A</v>
      </c>
      <c r="DJ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0</v>
      </c>
      <c r="DO17" s="12">
        <f>IF('Données projet'!$A$166&gt;35,DO16+DN17-DW16,IF(A17&lt;'Données projet'!$A$166,$DL$205^A17,IF(A17='Données projet'!$A$166,'Données projet'!$B$166,DO16+DN17-DW16)))</f>
        <v>0</v>
      </c>
      <c r="DP17" s="17" t="e">
        <f>DO17*VLOOKUP('Données projet'!$B$14,Paramètres!$A$1:$I$89,3,0)*VLOOKUP('Données projet'!$B$14,Paramètres!$A$1:$I$89,5,0)</f>
        <v>#N/A</v>
      </c>
      <c r="DQ17" s="13" t="e">
        <f t="shared" si="43"/>
        <v>#N/A</v>
      </c>
      <c r="DR17" s="20" t="e">
        <f t="shared" si="16"/>
        <v>#N/A</v>
      </c>
      <c r="DS17" s="59" t="e">
        <f t="shared" si="17"/>
        <v>#N/A</v>
      </c>
      <c r="DT17" s="59" t="e">
        <f ca="1">AVERAGE(OFFSET($DS$3,0,0,'Données projet'!$E$14+1,1))-AVERAGE(OFFSET($H$3,0,0,'Données projet'!$E$14+1,1))</f>
        <v>#N/A</v>
      </c>
      <c r="DU17" s="59" t="e">
        <f t="shared" si="44"/>
        <v>#N/A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 t="e">
        <f>EXP(-LN(2)/35)*EA16+(1-EXP(-LN(2)/35))/(LN(2)/35)*DW17*DX17*VLOOKUP('Données projet'!$B$14,Paramètres!$A$1:$I$89,3,0)*0.475*44/12</f>
        <v>#N/A</v>
      </c>
      <c r="EB17" s="21" t="e">
        <f>EXP(-LN(2)/25)*EB16+(1-EXP(-LN(2)/25))/(LN(2)/25)*Calculateur!DW17*Calculateur!DY17*VLOOKUP('Données projet'!$B$14,Paramètres!$A$1:$I$89,3,0)*0.475*44/12</f>
        <v>#N/A</v>
      </c>
      <c r="EC17" s="21" t="e">
        <f>EXP(-LN(2)/2)*EC16+(1-EXP(-LN(2)/2))/(LN(2)/2)*DW17*DZ17*VLOOKUP('Données projet'!$B$14,Paramètres!$A$1:$I$89,3,0)*0.475*44/12</f>
        <v>#N/A</v>
      </c>
      <c r="ED17" s="22" t="e">
        <f t="shared" si="18"/>
        <v>#N/A</v>
      </c>
      <c r="EE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0</v>
      </c>
      <c r="EJ17" s="12">
        <f>IF('Données projet'!$A$192&gt;35,EJ16+EI17-ER16,IF(A17&lt;'Données projet'!$A$192,$EG$205^A17,IF(A17='Données projet'!$A$192,'Données projet'!$B$192,EJ16+EI17-ER16)))</f>
        <v>0</v>
      </c>
      <c r="EK17" s="17" t="e">
        <f>EJ17*VLOOKUP('Données projet'!$B$15,Paramètres!$A$1:$I$89,3,0)*VLOOKUP('Données projet'!$B$15,Paramètres!$A$1:$I$89,5,0)</f>
        <v>#N/A</v>
      </c>
      <c r="EL17" s="13" t="e">
        <f t="shared" si="45"/>
        <v>#N/A</v>
      </c>
      <c r="EM17" s="20" t="e">
        <f t="shared" si="19"/>
        <v>#N/A</v>
      </c>
      <c r="EN17" s="59" t="e">
        <f t="shared" si="20"/>
        <v>#N/A</v>
      </c>
      <c r="EO17" s="59" t="e">
        <f ca="1">AVERAGE(OFFSET($EN$3,0,0,'Données projet'!$E$15+1,1))-AVERAGE(OFFSET($H$3,0,0,'Données projet'!$E$15+1,1))</f>
        <v>#N/A</v>
      </c>
      <c r="EP17" s="59" t="e">
        <f t="shared" si="46"/>
        <v>#N/A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 t="e">
        <f>EXP(-LN(2)/35)*EV16+(1-EXP(-LN(2)/35))/(LN(2)/35)*ER17*ES17*VLOOKUP('Données projet'!$B$15,Paramètres!$A$1:$I$89,3,0)*0.475*44/12</f>
        <v>#N/A</v>
      </c>
      <c r="EW17" s="21" t="e">
        <f>EXP(-LN(2)/25)*EW16+(1-EXP(-LN(2)/25))/(LN(2)/25)*Calculateur!ER17*Calculateur!ET17*VLOOKUP('Données projet'!$B$15,Paramètres!$A$1:$I$89,3,0)*0.475*44/12</f>
        <v>#N/A</v>
      </c>
      <c r="EX17" s="21" t="e">
        <f>EXP(-LN(2)/2)*EX16+(1-EXP(-LN(2)/2))/(LN(2)/2)*ER17*EU17*VLOOKUP('Données projet'!$B$15,Paramètres!$A$1:$I$89,3,0)*0.475*44/12</f>
        <v>#N/A</v>
      </c>
      <c r="EY17" s="22" t="e">
        <f t="shared" si="21"/>
        <v>#N/A</v>
      </c>
      <c r="EZ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45">
      <c r="A18" s="10">
        <f t="shared" si="31"/>
        <v>15</v>
      </c>
      <c r="B18" s="73">
        <f>'Scénario référence'!$B$16*5+'Scénario référence'!$B$17*0+'Scénario référence'!$B$18*5</f>
        <v>0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13.338000000000003</v>
      </c>
      <c r="D18" s="11">
        <f t="shared" si="32"/>
        <v>4.5465525901071517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">
        <f>IF(OR('Scénario référence'!$F$8&gt;0,'Scénario référence'!$F$9&gt;0),('Scénario référence'!$F$8+'Scénario référence'!$F$9)*10,0)</f>
        <v>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138.0561954324061</v>
      </c>
      <c r="H18" s="67">
        <f t="shared" si="1"/>
        <v>287.81559576110328</v>
      </c>
      <c r="I18" s="7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2" t="e">
        <f>VLOOKUP(A18,'Données projet'!$A$35:$I$55,2,0)</f>
        <v>#N/A</v>
      </c>
      <c r="L18" s="12" t="e">
        <f>VLOOKUP(A18,'Données projet'!$A$35:$I$55,9,0)</f>
        <v>#N/A</v>
      </c>
      <c r="M18" s="12">
        <f t="array" ref="M18">INDEX(L:L,MIN(IF(ISNUMBER(L18:L214),ROW(L18:L214),"")))</f>
        <v>8.1011764705882356</v>
      </c>
      <c r="N18" s="13">
        <f>IF('Données projet'!$A$36&gt;35,N17+M18-V17,IF(A18&lt;'Données projet'!$A$36,$K$205^A18,IF(A18='Données projet'!$A$36,'Données projet'!$B$36,N17+M18-V17)))</f>
        <v>11.925662218941099</v>
      </c>
      <c r="O18" s="13">
        <f>N18*VLOOKUP('Données projet'!$B$9,Paramètres!$A$1:$I$89,3,0)*VLOOKUP('Données projet'!$B$9,Paramètres!$A$1:$I$89,5,0)</f>
        <v>6.6664451803880747</v>
      </c>
      <c r="P18" s="13">
        <f t="shared" si="33"/>
        <v>2.4634575280599917</v>
      </c>
      <c r="Q18" s="20">
        <f t="shared" si="2"/>
        <v>15.901247217213713</v>
      </c>
      <c r="R18" s="59">
        <f t="shared" si="0"/>
        <v>290.90124721721372</v>
      </c>
      <c r="S18" s="59">
        <f ca="1">AVERAGE(OFFSET($R$3,0,0,'Données projet'!$E$9+1,1))-AVERAGE(OFFSET($H$3,0,0,'Données projet'!$E$9+1,1))</f>
        <v>280.69347314340195</v>
      </c>
      <c r="T18" s="59">
        <f t="shared" si="34"/>
        <v>152.40533828556482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0</v>
      </c>
      <c r="AC18" s="22">
        <f t="shared" si="3"/>
        <v>0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2" t="e">
        <f>VLOOKUP(A18,'Données projet'!$A$61:$I$81,2,0)</f>
        <v>#N/A</v>
      </c>
      <c r="AG18" s="12" t="e">
        <f>VLOOKUP(A18,'Données projet'!$A$61:$I$81,9,0)</f>
        <v>#N/A</v>
      </c>
      <c r="AH18" s="12">
        <f t="array" ref="AH18">INDEX(AG:AG,MIN(IF(ISNUMBER(AG18:AG214),ROW(AG18:AG214),"")))</f>
        <v>6.2222222222222223</v>
      </c>
      <c r="AI18" s="13">
        <f>IF('Données projet'!$A$62&gt;35,AI17+AH18-AQ17,IF(A18&lt;'Données projet'!$A$62,$AF$205^A18,IF(A18='Données projet'!$A$62,'Données projet'!$B$62,AI17+AH18-AQ17)))</f>
        <v>51.013096442350388</v>
      </c>
      <c r="AJ18" s="13">
        <f>AI18*VLOOKUP('Données projet'!$B$10,Paramètres!$A$1:$I$89,3,0)*VLOOKUP('Données projet'!$B$10,Paramètres!$A$1:$I$89,5,0)</f>
        <v>31.832172180026642</v>
      </c>
      <c r="AK18" s="13">
        <f t="shared" si="35"/>
        <v>9.8058378099430179</v>
      </c>
      <c r="AL18" s="20">
        <f t="shared" si="4"/>
        <v>72.519534065863823</v>
      </c>
      <c r="AM18" s="59">
        <f t="shared" si="5"/>
        <v>347.51953406586381</v>
      </c>
      <c r="AN18" s="59">
        <f ca="1">AVERAGE(OFFSET($AM$3,0,0,'Données projet'!$E$10+1,1))-AVERAGE(OFFSET($H$3,0,0,'Données projet'!$E$10+1,1))</f>
        <v>179.4725256147085</v>
      </c>
      <c r="AO18" s="59">
        <f t="shared" si="36"/>
        <v>282.16750121151176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0</v>
      </c>
      <c r="AW18" s="21">
        <f>EXP(-LN(2)/2)*AW17+(1-EXP(-LN(2)/2))/(LN(2)/2)*AQ18*AT18*VLOOKUP('Données projet'!$B$10,Paramètres!$A$1:$I$89,3,0)*0.475*44/12</f>
        <v>0</v>
      </c>
      <c r="AX18" s="21">
        <f t="shared" si="6"/>
        <v>0</v>
      </c>
      <c r="AY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2" t="e">
        <f>VLOOKUP(A18,'Données projet'!$A$87:$I$107,2,0)</f>
        <v>#N/A</v>
      </c>
      <c r="BB18" s="12" t="e">
        <f>VLOOKUP(A18,'Données projet'!$A$87:$I$107,9,0)</f>
        <v>#N/A</v>
      </c>
      <c r="BC18" s="12">
        <f t="array" ref="BC18">INDEX(BB:BB,MIN(IF(ISNUMBER(BB18:BB214),ROW(BB18:BB214),"")))</f>
        <v>5.3214035087719296</v>
      </c>
      <c r="BD18" s="12">
        <f>IF('Données projet'!$A$88&gt;35,BD17+BC18-BL17,IF(A18&lt;'Données projet'!$A$88,$BA$205^A18,IF(A18='Données projet'!$A$88,'Données projet'!$B$88,BD17+BC18-BL17)))</f>
        <v>79.821052631578965</v>
      </c>
      <c r="BE18" s="13">
        <f>BD18*VLOOKUP('Données projet'!$B$11,Paramètres!$A$1:$I$89,3,0)*VLOOKUP('Données projet'!$B$11,Paramètres!$A$1:$I$89,5,0)</f>
        <v>68.486463157894761</v>
      </c>
      <c r="BF18" s="13">
        <f t="shared" si="37"/>
        <v>19.297116192732112</v>
      </c>
      <c r="BG18" s="20">
        <f t="shared" si="7"/>
        <v>152.8897340356751</v>
      </c>
      <c r="BH18" s="59">
        <f t="shared" si="8"/>
        <v>427.88973403567513</v>
      </c>
      <c r="BI18" s="59">
        <f ca="1">AVERAGE(OFFSET($BH$3,0,0,'Données projet'!$E$11+1,1))-AVERAGE(OFFSET($H$3,0,0,'Données projet'!$E$11+1,1))</f>
        <v>312.89478437044261</v>
      </c>
      <c r="BJ18" s="59">
        <f t="shared" si="38"/>
        <v>276.16555507854571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>
        <f>EXP(-LN(2)/35)*BP17+(1-EXP(-LN(2)/35))/(LN(2)/35)*BL18*BM18*VLOOKUP('Données projet'!$B$11,Paramètres!$A$1:$I$89,3,0)*0.475*44/12</f>
        <v>0</v>
      </c>
      <c r="BQ18" s="21">
        <f>EXP(-LN(2)/25)*BQ17+(1-EXP(-LN(2)/25))/(LN(2)/25)*Calculateur!BL18*Calculateur!BN18*VLOOKUP('Données projet'!$B$11,Paramètres!$A$1:$I$89,3,0)*0.475*44/12</f>
        <v>0</v>
      </c>
      <c r="BR18" s="21">
        <f>EXP(-LN(2)/2)*BR17+(1-EXP(-LN(2)/2))/(LN(2)/2)*BL18*BO18*VLOOKUP('Données projet'!$B$11,Paramètres!$A$1:$I$89,3,0)*0.475*44/12</f>
        <v>0</v>
      </c>
      <c r="BS18" s="22">
        <f t="shared" si="9"/>
        <v>0</v>
      </c>
      <c r="BT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2" t="e">
        <f>VLOOKUP(A18,'Données projet'!$A$113:$I$133,2,0)</f>
        <v>#N/A</v>
      </c>
      <c r="BW18" s="12" t="e">
        <f>VLOOKUP(A18,'Données projet'!$A$113:$I$133,9,0)</f>
        <v>#N/A</v>
      </c>
      <c r="BX18" s="12">
        <f t="array" ref="BX18">INDEX(BW:BW,MIN(IF(ISNUMBER(BW18:BW214),ROW(BW18:BW214),"")))</f>
        <v>0</v>
      </c>
      <c r="BY18" s="12">
        <f>IF('Données projet'!$A$114&gt;35,BY17+BX18-CG17,IF(A18&lt;'Données projet'!$A$114,$BV$205^A18,IF(A18='Données projet'!$A$114,'Données projet'!$B$114,BY17+BX18-CG17)))</f>
        <v>0</v>
      </c>
      <c r="BZ18" s="13" t="e">
        <f>BY18*VLOOKUP('Données projet'!$B$12,Paramètres!$A$1:$I$89,3,0)*VLOOKUP('Données projet'!$B$12,Paramètres!$A$1:$I$89,5,0)</f>
        <v>#N/A</v>
      </c>
      <c r="CA18" s="13" t="e">
        <f t="shared" si="39"/>
        <v>#N/A</v>
      </c>
      <c r="CB18" s="20" t="e">
        <f t="shared" si="10"/>
        <v>#N/A</v>
      </c>
      <c r="CC18" s="59" t="e">
        <f t="shared" si="11"/>
        <v>#N/A</v>
      </c>
      <c r="CD18" s="59" t="e">
        <f ca="1">AVERAGE(OFFSET($CC$3,0,0,'Données projet'!$E$12+1,1))-AVERAGE(OFFSET($H$3,0,0,'Données projet'!$E$12+1,1))</f>
        <v>#N/A</v>
      </c>
      <c r="CE18" s="59" t="e">
        <f t="shared" si="40"/>
        <v>#N/A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 t="e">
        <f>EXP(-LN(2)/35)*CK17+(1-EXP(-LN(2)/35))/(LN(2)/35)*CG18*CH18*VLOOKUP('Données projet'!$B$12,Paramètres!$A$1:$I$89,3,0)*0.475*44/12</f>
        <v>#N/A</v>
      </c>
      <c r="CL18" s="21" t="e">
        <f>EXP(-LN(2)/25)*CL17+(1-EXP(-LN(2)/25))/(LN(2)/25)*Calculateur!CG18*Calculateur!CI18*VLOOKUP('Données projet'!$B$12,Paramètres!$A$1:$I$89,3,0)*0.475*44/12</f>
        <v>#N/A</v>
      </c>
      <c r="CM18" s="21" t="e">
        <f>EXP(-LN(2)/2)*CM17+(1-EXP(-LN(2)/2))/(LN(2)/2)*CG18*CJ18*VLOOKUP('Données projet'!$B$12,Paramètres!$A$1:$I$89,3,0)*0.475*44/12</f>
        <v>#N/A</v>
      </c>
      <c r="CN18" s="22" t="e">
        <f t="shared" si="12"/>
        <v>#N/A</v>
      </c>
      <c r="CO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0</v>
      </c>
      <c r="CT18" s="12">
        <f>IF('Données projet'!$A$140&gt;35,CT17+CS18-DB17,IF(A18&lt;'Données projet'!$A$140,$CQ$205^A18,IF(A18='Données projet'!$A$140,'Données projet'!$B$140,CT17+CS18-DB17)))</f>
        <v>0</v>
      </c>
      <c r="CU18" s="17" t="e">
        <f>CT18*VLOOKUP('Données projet'!$B$13,Paramètres!$A$1:$I$89,3,0)*VLOOKUP('Données projet'!$B$13,Paramètres!$A$1:$I$89,5,0)</f>
        <v>#N/A</v>
      </c>
      <c r="CV18" s="13" t="e">
        <f t="shared" si="41"/>
        <v>#N/A</v>
      </c>
      <c r="CW18" s="20" t="e">
        <f t="shared" si="13"/>
        <v>#N/A</v>
      </c>
      <c r="CX18" s="59" t="e">
        <f t="shared" si="14"/>
        <v>#N/A</v>
      </c>
      <c r="CY18" s="59" t="e">
        <f ca="1">AVERAGE(OFFSET($CX$3,0,0,'Données projet'!$E$13+1,1))-AVERAGE(OFFSET($H$3,0,0,'Données projet'!$E$13+1,1))</f>
        <v>#N/A</v>
      </c>
      <c r="CZ18" s="59" t="e">
        <f t="shared" si="42"/>
        <v>#N/A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 t="e">
        <f>EXP(-LN(2)/35)*DF17+(1-EXP(-LN(2)/35))/(LN(2)/35)*DB18*DC18*VLOOKUP('Données projet'!$B$13,Paramètres!$A$1:$I$89,3,0)*0.475*44/12</f>
        <v>#N/A</v>
      </c>
      <c r="DG18" s="21" t="e">
        <f>EXP(-LN(2)/25)*DG17+(1-EXP(-LN(2)/25))/(LN(2)/25)*Calculateur!DB18*Calculateur!DD18*VLOOKUP('Données projet'!$B$13,Paramètres!$A$1:$I$89,3,0)*0.475*44/12</f>
        <v>#N/A</v>
      </c>
      <c r="DH18" s="21" t="e">
        <f>EXP(-LN(2)/2)*DH17+(1-EXP(-LN(2)/2))/(LN(2)/2)*DB18*DE18*VLOOKUP('Données projet'!$B$13,Paramètres!$A$1:$I$89,3,0)*0.475*44/12</f>
        <v>#N/A</v>
      </c>
      <c r="DI18" s="22" t="e">
        <f t="shared" si="15"/>
        <v>#N/A</v>
      </c>
      <c r="DJ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0</v>
      </c>
      <c r="DO18" s="12">
        <f>IF('Données projet'!$A$166&gt;35,DO17+DN18-DW17,IF(A18&lt;'Données projet'!$A$166,$DL$205^A18,IF(A18='Données projet'!$A$166,'Données projet'!$B$166,DO17+DN18-DW17)))</f>
        <v>0</v>
      </c>
      <c r="DP18" s="17" t="e">
        <f>DO18*VLOOKUP('Données projet'!$B$14,Paramètres!$A$1:$I$89,3,0)*VLOOKUP('Données projet'!$B$14,Paramètres!$A$1:$I$89,5,0)</f>
        <v>#N/A</v>
      </c>
      <c r="DQ18" s="13" t="e">
        <f t="shared" si="43"/>
        <v>#N/A</v>
      </c>
      <c r="DR18" s="20" t="e">
        <f t="shared" si="16"/>
        <v>#N/A</v>
      </c>
      <c r="DS18" s="59" t="e">
        <f t="shared" si="17"/>
        <v>#N/A</v>
      </c>
      <c r="DT18" s="59" t="e">
        <f ca="1">AVERAGE(OFFSET($DS$3,0,0,'Données projet'!$E$14+1,1))-AVERAGE(OFFSET($H$3,0,0,'Données projet'!$E$14+1,1))</f>
        <v>#N/A</v>
      </c>
      <c r="DU18" s="59" t="e">
        <f t="shared" si="44"/>
        <v>#N/A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 t="e">
        <f>EXP(-LN(2)/35)*EA17+(1-EXP(-LN(2)/35))/(LN(2)/35)*DW18*DX18*VLOOKUP('Données projet'!$B$14,Paramètres!$A$1:$I$89,3,0)*0.475*44/12</f>
        <v>#N/A</v>
      </c>
      <c r="EB18" s="21" t="e">
        <f>EXP(-LN(2)/25)*EB17+(1-EXP(-LN(2)/25))/(LN(2)/25)*Calculateur!DW18*Calculateur!DY18*VLOOKUP('Données projet'!$B$14,Paramètres!$A$1:$I$89,3,0)*0.475*44/12</f>
        <v>#N/A</v>
      </c>
      <c r="EC18" s="21" t="e">
        <f>EXP(-LN(2)/2)*EC17+(1-EXP(-LN(2)/2))/(LN(2)/2)*DW18*DZ18*VLOOKUP('Données projet'!$B$14,Paramètres!$A$1:$I$89,3,0)*0.475*44/12</f>
        <v>#N/A</v>
      </c>
      <c r="ED18" s="22" t="e">
        <f t="shared" si="18"/>
        <v>#N/A</v>
      </c>
      <c r="EE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0</v>
      </c>
      <c r="EJ18" s="12">
        <f>IF('Données projet'!$A$192&gt;35,EJ17+EI18-ER17,IF(A18&lt;'Données projet'!$A$192,$EG$205^A18,IF(A18='Données projet'!$A$192,'Données projet'!$B$192,EJ17+EI18-ER17)))</f>
        <v>0</v>
      </c>
      <c r="EK18" s="17" t="e">
        <f>EJ18*VLOOKUP('Données projet'!$B$15,Paramètres!$A$1:$I$89,3,0)*VLOOKUP('Données projet'!$B$15,Paramètres!$A$1:$I$89,5,0)</f>
        <v>#N/A</v>
      </c>
      <c r="EL18" s="13" t="e">
        <f t="shared" si="45"/>
        <v>#N/A</v>
      </c>
      <c r="EM18" s="20" t="e">
        <f t="shared" si="19"/>
        <v>#N/A</v>
      </c>
      <c r="EN18" s="59" t="e">
        <f t="shared" si="20"/>
        <v>#N/A</v>
      </c>
      <c r="EO18" s="59" t="e">
        <f ca="1">AVERAGE(OFFSET($EN$3,0,0,'Données projet'!$E$15+1,1))-AVERAGE(OFFSET($H$3,0,0,'Données projet'!$E$15+1,1))</f>
        <v>#N/A</v>
      </c>
      <c r="EP18" s="59" t="e">
        <f t="shared" si="46"/>
        <v>#N/A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 t="e">
        <f>EXP(-LN(2)/35)*EV17+(1-EXP(-LN(2)/35))/(LN(2)/35)*ER18*ES18*VLOOKUP('Données projet'!$B$15,Paramètres!$A$1:$I$89,3,0)*0.475*44/12</f>
        <v>#N/A</v>
      </c>
      <c r="EW18" s="21" t="e">
        <f>EXP(-LN(2)/25)*EW17+(1-EXP(-LN(2)/25))/(LN(2)/25)*Calculateur!ER18*Calculateur!ET18*VLOOKUP('Données projet'!$B$15,Paramètres!$A$1:$I$89,3,0)*0.475*44/12</f>
        <v>#N/A</v>
      </c>
      <c r="EX18" s="21" t="e">
        <f>EXP(-LN(2)/2)*EX17+(1-EXP(-LN(2)/2))/(LN(2)/2)*ER18*EU18*VLOOKUP('Données projet'!$B$15,Paramètres!$A$1:$I$89,3,0)*0.475*44/12</f>
        <v>#N/A</v>
      </c>
      <c r="EY18" s="22" t="e">
        <f t="shared" si="21"/>
        <v>#N/A</v>
      </c>
      <c r="EZ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45">
      <c r="A19" s="10">
        <f t="shared" si="31"/>
        <v>16</v>
      </c>
      <c r="B19" s="73">
        <f>'Scénario référence'!$B$16*5+'Scénario référence'!$B$17*0+'Scénario référence'!$B$18*5</f>
        <v>0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14.227200000000003</v>
      </c>
      <c r="D19" s="11">
        <f t="shared" si="32"/>
        <v>4.81336060460516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">
        <f>IF(OR('Scénario référence'!$F$8&gt;0,'Scénario référence'!$F$9&gt;0),('Scénario référence'!$F$8+'Scénario référence'!$F$9)*10,0)</f>
        <v>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146.97976607063634</v>
      </c>
      <c r="H19" s="67">
        <f t="shared" si="1"/>
        <v>289.82897638635399</v>
      </c>
      <c r="I19" s="7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2" t="e">
        <f>VLOOKUP(A19,'Données projet'!$A$35:$I$55,2,0)</f>
        <v>#N/A</v>
      </c>
      <c r="L19" s="12" t="e">
        <f>VLOOKUP(A19,'Données projet'!$A$35:$I$55,9,0)</f>
        <v>#N/A</v>
      </c>
      <c r="M19" s="12">
        <f t="array" ref="M19">INDEX(L:L,MIN(IF(ISNUMBER(L19:L215),ROW(L19:L215),"")))</f>
        <v>8.1011764705882356</v>
      </c>
      <c r="N19" s="13">
        <f>IF('Données projet'!$A$36&gt;35,N18+M19-V18,IF(A19&lt;'Données projet'!$A$36,$K$205^A19,IF(A19='Données projet'!$A$36,'Données projet'!$B$36,N18+M19-V18)))</f>
        <v>14.068506791319869</v>
      </c>
      <c r="O19" s="13">
        <f>N19*VLOOKUP('Données projet'!$B$9,Paramètres!$A$1:$I$89,3,0)*VLOOKUP('Données projet'!$B$9,Paramètres!$A$1:$I$89,5,0)</f>
        <v>7.864295296347807</v>
      </c>
      <c r="P19" s="13">
        <f t="shared" si="33"/>
        <v>2.8507364921440894</v>
      </c>
      <c r="Q19" s="20">
        <f t="shared" si="2"/>
        <v>18.66201369829005</v>
      </c>
      <c r="R19" s="59">
        <f t="shared" si="0"/>
        <v>294.88423592051225</v>
      </c>
      <c r="S19" s="59">
        <f ca="1">AVERAGE(OFFSET($R$3,0,0,'Données projet'!$E$9+1,1))-AVERAGE(OFFSET($H$3,0,0,'Données projet'!$E$9+1,1))</f>
        <v>280.69347314340195</v>
      </c>
      <c r="T19" s="59">
        <f t="shared" si="34"/>
        <v>152.40533828556482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</v>
      </c>
      <c r="AB19" s="21">
        <f>EXP(-LN(2)/2)*AB18+(1-EXP(-LN(2)/2))/(LN(2)/2)*V19*Y19*VLOOKUP('Données projet'!$B$9,Paramètres!$A$1:$I$89,3,0)*0.475*44/12</f>
        <v>0</v>
      </c>
      <c r="AC19" s="22">
        <f t="shared" si="3"/>
        <v>0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6.2222222222222223</v>
      </c>
      <c r="AI19" s="13">
        <f>IF('Données projet'!$A$62&gt;35,AI18+AH19-AQ18,IF(A19&lt;'Données projet'!$A$62,$AF$205^A19,IF(A19='Données projet'!$A$62,'Données projet'!$B$62,AI18+AH19-AQ18)))</f>
        <v>66.302076663695672</v>
      </c>
      <c r="AJ19" s="13">
        <f>AI19*VLOOKUP('Données projet'!$B$10,Paramètres!$A$1:$I$89,3,0)*VLOOKUP('Données projet'!$B$10,Paramètres!$A$1:$I$89,5,0)</f>
        <v>41.372495838146101</v>
      </c>
      <c r="AK19" s="13">
        <f t="shared" si="35"/>
        <v>12.361709728704412</v>
      </c>
      <c r="AL19" s="20">
        <f t="shared" si="4"/>
        <v>93.587074695597963</v>
      </c>
      <c r="AM19" s="59">
        <f t="shared" si="5"/>
        <v>369.80929691782018</v>
      </c>
      <c r="AN19" s="59">
        <f ca="1">AVERAGE(OFFSET($AM$3,0,0,'Données projet'!$E$10+1,1))-AVERAGE(OFFSET($H$3,0,0,'Données projet'!$E$10+1,1))</f>
        <v>179.4725256147085</v>
      </c>
      <c r="AO19" s="59">
        <f t="shared" si="36"/>
        <v>282.16750121151176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0</v>
      </c>
      <c r="AW19" s="21">
        <f>EXP(-LN(2)/2)*AW18+(1-EXP(-LN(2)/2))/(LN(2)/2)*AQ19*AT19*VLOOKUP('Données projet'!$B$10,Paramètres!$A$1:$I$89,3,0)*0.475*44/12</f>
        <v>0</v>
      </c>
      <c r="AX19" s="21">
        <f t="shared" si="6"/>
        <v>0</v>
      </c>
      <c r="AY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5.3214035087719296</v>
      </c>
      <c r="BD19" s="12">
        <f>IF('Données projet'!$A$88&gt;35,BD18+BC19-BL18,IF(A19&lt;'Données projet'!$A$88,$BA$205^A19,IF(A19='Données projet'!$A$88,'Données projet'!$B$88,BD18+BC19-BL18)))</f>
        <v>85.142456140350902</v>
      </c>
      <c r="BE19" s="13">
        <f>BD19*VLOOKUP('Données projet'!$B$11,Paramètres!$A$1:$I$89,3,0)*VLOOKUP('Données projet'!$B$11,Paramètres!$A$1:$I$89,5,0)</f>
        <v>73.052227368421086</v>
      </c>
      <c r="BF19" s="13">
        <f t="shared" si="37"/>
        <v>20.429540189789396</v>
      </c>
      <c r="BG19" s="20">
        <f t="shared" si="7"/>
        <v>162.81407849721657</v>
      </c>
      <c r="BH19" s="59">
        <f t="shared" si="8"/>
        <v>439.03630071943883</v>
      </c>
      <c r="BI19" s="59">
        <f ca="1">AVERAGE(OFFSET($BH$3,0,0,'Données projet'!$E$11+1,1))-AVERAGE(OFFSET($H$3,0,0,'Données projet'!$E$11+1,1))</f>
        <v>312.89478437044261</v>
      </c>
      <c r="BJ19" s="59">
        <f t="shared" si="38"/>
        <v>276.16555507854571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>
        <f>EXP(-LN(2)/35)*BP18+(1-EXP(-LN(2)/35))/(LN(2)/35)*BL19*BM19*VLOOKUP('Données projet'!$B$11,Paramètres!$A$1:$I$89,3,0)*0.475*44/12</f>
        <v>0</v>
      </c>
      <c r="BQ19" s="21">
        <f>EXP(-LN(2)/25)*BQ18+(1-EXP(-LN(2)/25))/(LN(2)/25)*Calculateur!BL19*Calculateur!BN19*VLOOKUP('Données projet'!$B$11,Paramètres!$A$1:$I$89,3,0)*0.475*44/12</f>
        <v>0</v>
      </c>
      <c r="BR19" s="21">
        <f>EXP(-LN(2)/2)*BR18+(1-EXP(-LN(2)/2))/(LN(2)/2)*BL19*BO19*VLOOKUP('Données projet'!$B$11,Paramètres!$A$1:$I$89,3,0)*0.475*44/12</f>
        <v>0</v>
      </c>
      <c r="BS19" s="22">
        <f t="shared" si="9"/>
        <v>0</v>
      </c>
      <c r="BT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0</v>
      </c>
      <c r="BY19" s="12">
        <f>IF('Données projet'!$A$114&gt;35,BY18+BX19-CG18,IF(A19&lt;'Données projet'!$A$114,$BV$205^A19,IF(A19='Données projet'!$A$114,'Données projet'!$B$114,BY18+BX19-CG18)))</f>
        <v>0</v>
      </c>
      <c r="BZ19" s="13" t="e">
        <f>BY19*VLOOKUP('Données projet'!$B$12,Paramètres!$A$1:$I$89,3,0)*VLOOKUP('Données projet'!$B$12,Paramètres!$A$1:$I$89,5,0)</f>
        <v>#N/A</v>
      </c>
      <c r="CA19" s="13" t="e">
        <f t="shared" si="39"/>
        <v>#N/A</v>
      </c>
      <c r="CB19" s="20" t="e">
        <f t="shared" si="10"/>
        <v>#N/A</v>
      </c>
      <c r="CC19" s="59" t="e">
        <f t="shared" si="11"/>
        <v>#N/A</v>
      </c>
      <c r="CD19" s="59" t="e">
        <f ca="1">AVERAGE(OFFSET($CC$3,0,0,'Données projet'!$E$12+1,1))-AVERAGE(OFFSET($H$3,0,0,'Données projet'!$E$12+1,1))</f>
        <v>#N/A</v>
      </c>
      <c r="CE19" s="59" t="e">
        <f t="shared" si="40"/>
        <v>#N/A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 t="e">
        <f>EXP(-LN(2)/35)*CK18+(1-EXP(-LN(2)/35))/(LN(2)/35)*CG19*CH19*VLOOKUP('Données projet'!$B$12,Paramètres!$A$1:$I$89,3,0)*0.475*44/12</f>
        <v>#N/A</v>
      </c>
      <c r="CL19" s="21" t="e">
        <f>EXP(-LN(2)/25)*CL18+(1-EXP(-LN(2)/25))/(LN(2)/25)*Calculateur!CG19*Calculateur!CI19*VLOOKUP('Données projet'!$B$12,Paramètres!$A$1:$I$89,3,0)*0.475*44/12</f>
        <v>#N/A</v>
      </c>
      <c r="CM19" s="21" t="e">
        <f>EXP(-LN(2)/2)*CM18+(1-EXP(-LN(2)/2))/(LN(2)/2)*CG19*CJ19*VLOOKUP('Données projet'!$B$12,Paramètres!$A$1:$I$89,3,0)*0.475*44/12</f>
        <v>#N/A</v>
      </c>
      <c r="CN19" s="22" t="e">
        <f t="shared" si="12"/>
        <v>#N/A</v>
      </c>
      <c r="CO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0</v>
      </c>
      <c r="CT19" s="12">
        <f>IF('Données projet'!$A$140&gt;35,CT18+CS19-DB18,IF(A19&lt;'Données projet'!$A$140,$CQ$205^A19,IF(A19='Données projet'!$A$140,'Données projet'!$B$140,CT18+CS19-DB18)))</f>
        <v>0</v>
      </c>
      <c r="CU19" s="17" t="e">
        <f>CT19*VLOOKUP('Données projet'!$B$13,Paramètres!$A$1:$I$89,3,0)*VLOOKUP('Données projet'!$B$13,Paramètres!$A$1:$I$89,5,0)</f>
        <v>#N/A</v>
      </c>
      <c r="CV19" s="13" t="e">
        <f t="shared" si="41"/>
        <v>#N/A</v>
      </c>
      <c r="CW19" s="20" t="e">
        <f t="shared" si="13"/>
        <v>#N/A</v>
      </c>
      <c r="CX19" s="59" t="e">
        <f t="shared" si="14"/>
        <v>#N/A</v>
      </c>
      <c r="CY19" s="59" t="e">
        <f ca="1">AVERAGE(OFFSET($CX$3,0,0,'Données projet'!$E$13+1,1))-AVERAGE(OFFSET($H$3,0,0,'Données projet'!$E$13+1,1))</f>
        <v>#N/A</v>
      </c>
      <c r="CZ19" s="59" t="e">
        <f t="shared" si="42"/>
        <v>#N/A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 t="e">
        <f>EXP(-LN(2)/35)*DF18+(1-EXP(-LN(2)/35))/(LN(2)/35)*DB19*DC19*VLOOKUP('Données projet'!$B$13,Paramètres!$A$1:$I$89,3,0)*0.475*44/12</f>
        <v>#N/A</v>
      </c>
      <c r="DG19" s="21" t="e">
        <f>EXP(-LN(2)/25)*DG18+(1-EXP(-LN(2)/25))/(LN(2)/25)*Calculateur!DB19*Calculateur!DD19*VLOOKUP('Données projet'!$B$13,Paramètres!$A$1:$I$89,3,0)*0.475*44/12</f>
        <v>#N/A</v>
      </c>
      <c r="DH19" s="21" t="e">
        <f>EXP(-LN(2)/2)*DH18+(1-EXP(-LN(2)/2))/(LN(2)/2)*DB19*DE19*VLOOKUP('Données projet'!$B$13,Paramètres!$A$1:$I$89,3,0)*0.475*44/12</f>
        <v>#N/A</v>
      </c>
      <c r="DI19" s="22" t="e">
        <f t="shared" si="15"/>
        <v>#N/A</v>
      </c>
      <c r="DJ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0</v>
      </c>
      <c r="DO19" s="12">
        <f>IF('Données projet'!$A$166&gt;35,DO18+DN19-DW18,IF(A19&lt;'Données projet'!$A$166,$DL$205^A19,IF(A19='Données projet'!$A$166,'Données projet'!$B$166,DO18+DN19-DW18)))</f>
        <v>0</v>
      </c>
      <c r="DP19" s="17" t="e">
        <f>DO19*VLOOKUP('Données projet'!$B$14,Paramètres!$A$1:$I$89,3,0)*VLOOKUP('Données projet'!$B$14,Paramètres!$A$1:$I$89,5,0)</f>
        <v>#N/A</v>
      </c>
      <c r="DQ19" s="13" t="e">
        <f t="shared" si="43"/>
        <v>#N/A</v>
      </c>
      <c r="DR19" s="20" t="e">
        <f t="shared" si="16"/>
        <v>#N/A</v>
      </c>
      <c r="DS19" s="59" t="e">
        <f t="shared" si="17"/>
        <v>#N/A</v>
      </c>
      <c r="DT19" s="59" t="e">
        <f ca="1">AVERAGE(OFFSET($DS$3,0,0,'Données projet'!$E$14+1,1))-AVERAGE(OFFSET($H$3,0,0,'Données projet'!$E$14+1,1))</f>
        <v>#N/A</v>
      </c>
      <c r="DU19" s="59" t="e">
        <f t="shared" si="44"/>
        <v>#N/A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 t="e">
        <f>EXP(-LN(2)/35)*EA18+(1-EXP(-LN(2)/35))/(LN(2)/35)*DW19*DX19*VLOOKUP('Données projet'!$B$14,Paramètres!$A$1:$I$89,3,0)*0.475*44/12</f>
        <v>#N/A</v>
      </c>
      <c r="EB19" s="21" t="e">
        <f>EXP(-LN(2)/25)*EB18+(1-EXP(-LN(2)/25))/(LN(2)/25)*Calculateur!DW19*Calculateur!DY19*VLOOKUP('Données projet'!$B$14,Paramètres!$A$1:$I$89,3,0)*0.475*44/12</f>
        <v>#N/A</v>
      </c>
      <c r="EC19" s="21" t="e">
        <f>EXP(-LN(2)/2)*EC18+(1-EXP(-LN(2)/2))/(LN(2)/2)*DW19*DZ19*VLOOKUP('Données projet'!$B$14,Paramètres!$A$1:$I$89,3,0)*0.475*44/12</f>
        <v>#N/A</v>
      </c>
      <c r="ED19" s="22" t="e">
        <f t="shared" si="18"/>
        <v>#N/A</v>
      </c>
      <c r="EE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0</v>
      </c>
      <c r="EJ19" s="12">
        <f>IF('Données projet'!$A$192&gt;35,EJ18+EI19-ER18,IF(A19&lt;'Données projet'!$A$192,$EG$205^A19,IF(A19='Données projet'!$A$192,'Données projet'!$B$192,EJ18+EI19-ER18)))</f>
        <v>0</v>
      </c>
      <c r="EK19" s="17" t="e">
        <f>EJ19*VLOOKUP('Données projet'!$B$15,Paramètres!$A$1:$I$89,3,0)*VLOOKUP('Données projet'!$B$15,Paramètres!$A$1:$I$89,5,0)</f>
        <v>#N/A</v>
      </c>
      <c r="EL19" s="13" t="e">
        <f t="shared" si="45"/>
        <v>#N/A</v>
      </c>
      <c r="EM19" s="20" t="e">
        <f t="shared" si="19"/>
        <v>#N/A</v>
      </c>
      <c r="EN19" s="59" t="e">
        <f t="shared" si="20"/>
        <v>#N/A</v>
      </c>
      <c r="EO19" s="59" t="e">
        <f ca="1">AVERAGE(OFFSET($EN$3,0,0,'Données projet'!$E$15+1,1))-AVERAGE(OFFSET($H$3,0,0,'Données projet'!$E$15+1,1))</f>
        <v>#N/A</v>
      </c>
      <c r="EP19" s="59" t="e">
        <f t="shared" si="46"/>
        <v>#N/A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 t="e">
        <f>EXP(-LN(2)/35)*EV18+(1-EXP(-LN(2)/35))/(LN(2)/35)*ER19*ES19*VLOOKUP('Données projet'!$B$15,Paramètres!$A$1:$I$89,3,0)*0.475*44/12</f>
        <v>#N/A</v>
      </c>
      <c r="EW19" s="21" t="e">
        <f>EXP(-LN(2)/25)*EW18+(1-EXP(-LN(2)/25))/(LN(2)/25)*Calculateur!ER19*Calculateur!ET19*VLOOKUP('Données projet'!$B$15,Paramètres!$A$1:$I$89,3,0)*0.475*44/12</f>
        <v>#N/A</v>
      </c>
      <c r="EX19" s="21" t="e">
        <f>EXP(-LN(2)/2)*EX18+(1-EXP(-LN(2)/2))/(LN(2)/2)*ER19*EU19*VLOOKUP('Données projet'!$B$15,Paramètres!$A$1:$I$89,3,0)*0.475*44/12</f>
        <v>#N/A</v>
      </c>
      <c r="EY19" s="22" t="e">
        <f t="shared" si="21"/>
        <v>#N/A</v>
      </c>
      <c r="EZ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45">
      <c r="A20" s="10">
        <f t="shared" si="31"/>
        <v>17</v>
      </c>
      <c r="B20" s="73">
        <f>'Scénario référence'!$B$16*5+'Scénario référence'!$B$17*0+'Scénario référence'!$B$18*5</f>
        <v>0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15.116400000000004</v>
      </c>
      <c r="D20" s="11">
        <f t="shared" si="32"/>
        <v>5.0782333044806931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">
        <f>IF(OR('Scénario référence'!$F$8&gt;0,'Scénario référence'!$F$9&gt;0),('Scénario référence'!$F$8+'Scénario référence'!$F$9)*10,0)</f>
        <v>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155.8883974380966</v>
      </c>
      <c r="H20" s="67">
        <f t="shared" si="1"/>
        <v>291.83898633863726</v>
      </c>
      <c r="I20" s="7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2" t="e">
        <f>VLOOKUP(A20,'Données projet'!$A$35:$I$55,2,0)</f>
        <v>#N/A</v>
      </c>
      <c r="L20" s="12" t="e">
        <f>VLOOKUP(A20,'Données projet'!$A$35:$I$55,9,0)</f>
        <v>#N/A</v>
      </c>
      <c r="M20" s="12">
        <f t="array" ref="M20">INDEX(L:L,MIN(IF(ISNUMBER(L20:L216),ROW(L20:L216),"")))</f>
        <v>8.1011764705882356</v>
      </c>
      <c r="N20" s="13">
        <f>IF('Données projet'!$A$36&gt;35,N19+M20-V19,IF(A20&lt;'Données projet'!$A$36,$K$205^A20,IF(A20='Données projet'!$A$36,'Données projet'!$B$36,N19+M20-V19)))</f>
        <v>16.596385148579799</v>
      </c>
      <c r="O20" s="13">
        <f>N20*VLOOKUP('Données projet'!$B$9,Paramètres!$A$1:$I$89,3,0)*VLOOKUP('Données projet'!$B$9,Paramètres!$A$1:$I$89,5,0)</f>
        <v>9.2773792980561076</v>
      </c>
      <c r="P20" s="13">
        <f t="shared" si="33"/>
        <v>3.2988993944790606</v>
      </c>
      <c r="Q20" s="20">
        <f t="shared" si="2"/>
        <v>21.903685389498751</v>
      </c>
      <c r="R20" s="59">
        <f t="shared" si="0"/>
        <v>299.34812983394323</v>
      </c>
      <c r="S20" s="59">
        <f ca="1">AVERAGE(OFFSET($R$3,0,0,'Données projet'!$E$9+1,1))-AVERAGE(OFFSET($H$3,0,0,'Données projet'!$E$9+1,1))</f>
        <v>280.69347314340195</v>
      </c>
      <c r="T20" s="59">
        <f t="shared" si="34"/>
        <v>152.40533828556482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0</v>
      </c>
      <c r="AB20" s="21">
        <f>EXP(-LN(2)/2)*AB19+(1-EXP(-LN(2)/2))/(LN(2)/2)*V20*Y20*VLOOKUP('Données projet'!$B$9,Paramètres!$A$1:$I$89,3,0)*0.475*44/12</f>
        <v>0</v>
      </c>
      <c r="AC20" s="22">
        <f t="shared" si="3"/>
        <v>0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6.2222222222222223</v>
      </c>
      <c r="AI20" s="13">
        <f>IF('Données projet'!$A$62&gt;35,AI19+AH20-AQ19,IF(A20&lt;'Données projet'!$A$62,$AF$205^A20,IF(A20='Données projet'!$A$62,'Données projet'!$B$62,AI19+AH20-AQ19)))</f>
        <v>86.1732707185582</v>
      </c>
      <c r="AJ20" s="13">
        <f>AI20*VLOOKUP('Données projet'!$B$10,Paramètres!$A$1:$I$89,3,0)*VLOOKUP('Données projet'!$B$10,Paramètres!$A$1:$I$89,5,0)</f>
        <v>53.772120928380318</v>
      </c>
      <c r="AK20" s="13">
        <f t="shared" si="35"/>
        <v>15.583764526657339</v>
      </c>
      <c r="AL20" s="20">
        <f t="shared" si="4"/>
        <v>120.79483383419057</v>
      </c>
      <c r="AM20" s="59">
        <f t="shared" si="5"/>
        <v>398.23927827863503</v>
      </c>
      <c r="AN20" s="59">
        <f ca="1">AVERAGE(OFFSET($AM$3,0,0,'Données projet'!$E$10+1,1))-AVERAGE(OFFSET($H$3,0,0,'Données projet'!$E$10+1,1))</f>
        <v>179.4725256147085</v>
      </c>
      <c r="AO20" s="59">
        <f t="shared" si="36"/>
        <v>282.16750121151176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0</v>
      </c>
      <c r="AW20" s="21">
        <f>EXP(-LN(2)/2)*AW19+(1-EXP(-LN(2)/2))/(LN(2)/2)*AQ20*AT20*VLOOKUP('Données projet'!$B$10,Paramètres!$A$1:$I$89,3,0)*0.475*44/12</f>
        <v>0</v>
      </c>
      <c r="AX20" s="21">
        <f t="shared" si="6"/>
        <v>0</v>
      </c>
      <c r="AY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5.3214035087719296</v>
      </c>
      <c r="BD20" s="12">
        <f>IF('Données projet'!$A$88&gt;35,BD19+BC20-BL19,IF(A20&lt;'Données projet'!$A$88,$BA$205^A20,IF(A20='Données projet'!$A$88,'Données projet'!$B$88,BD19+BC20-BL19)))</f>
        <v>90.463859649122838</v>
      </c>
      <c r="BE20" s="13">
        <f>BD20*VLOOKUP('Données projet'!$B$11,Paramètres!$A$1:$I$89,3,0)*VLOOKUP('Données projet'!$B$11,Paramètres!$A$1:$I$89,5,0)</f>
        <v>77.617991578947397</v>
      </c>
      <c r="BF20" s="13">
        <f t="shared" si="37"/>
        <v>21.553750053082833</v>
      </c>
      <c r="BG20" s="20">
        <f t="shared" si="7"/>
        <v>172.72411667578595</v>
      </c>
      <c r="BH20" s="59">
        <f t="shared" si="8"/>
        <v>450.16856112023038</v>
      </c>
      <c r="BI20" s="59">
        <f ca="1">AVERAGE(OFFSET($BH$3,0,0,'Données projet'!$E$11+1,1))-AVERAGE(OFFSET($H$3,0,0,'Données projet'!$E$11+1,1))</f>
        <v>312.89478437044261</v>
      </c>
      <c r="BJ20" s="59">
        <f t="shared" si="38"/>
        <v>276.16555507854571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>
        <f>EXP(-LN(2)/35)*BP19+(1-EXP(-LN(2)/35))/(LN(2)/35)*BL20*BM20*VLOOKUP('Données projet'!$B$11,Paramètres!$A$1:$I$89,3,0)*0.475*44/12</f>
        <v>0</v>
      </c>
      <c r="BQ20" s="21">
        <f>EXP(-LN(2)/25)*BQ19+(1-EXP(-LN(2)/25))/(LN(2)/25)*Calculateur!BL20*Calculateur!BN20*VLOOKUP('Données projet'!$B$11,Paramètres!$A$1:$I$89,3,0)*0.475*44/12</f>
        <v>0</v>
      </c>
      <c r="BR20" s="21">
        <f>EXP(-LN(2)/2)*BR19+(1-EXP(-LN(2)/2))/(LN(2)/2)*BL20*BO20*VLOOKUP('Données projet'!$B$11,Paramètres!$A$1:$I$89,3,0)*0.475*44/12</f>
        <v>0</v>
      </c>
      <c r="BS20" s="22">
        <f t="shared" si="9"/>
        <v>0</v>
      </c>
      <c r="BT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0</v>
      </c>
      <c r="BY20" s="12">
        <f>IF('Données projet'!$A$114&gt;35,BY19+BX20-CG19,IF(A20&lt;'Données projet'!$A$114,$BV$205^A20,IF(A20='Données projet'!$A$114,'Données projet'!$B$114,BY19+BX20-CG19)))</f>
        <v>0</v>
      </c>
      <c r="BZ20" s="13" t="e">
        <f>BY20*VLOOKUP('Données projet'!$B$12,Paramètres!$A$1:$I$89,3,0)*VLOOKUP('Données projet'!$B$12,Paramètres!$A$1:$I$89,5,0)</f>
        <v>#N/A</v>
      </c>
      <c r="CA20" s="13" t="e">
        <f t="shared" si="39"/>
        <v>#N/A</v>
      </c>
      <c r="CB20" s="20" t="e">
        <f t="shared" si="10"/>
        <v>#N/A</v>
      </c>
      <c r="CC20" s="59" t="e">
        <f t="shared" si="11"/>
        <v>#N/A</v>
      </c>
      <c r="CD20" s="59" t="e">
        <f ca="1">AVERAGE(OFFSET($CC$3,0,0,'Données projet'!$E$12+1,1))-AVERAGE(OFFSET($H$3,0,0,'Données projet'!$E$12+1,1))</f>
        <v>#N/A</v>
      </c>
      <c r="CE20" s="59" t="e">
        <f t="shared" si="40"/>
        <v>#N/A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 t="e">
        <f>EXP(-LN(2)/35)*CK19+(1-EXP(-LN(2)/35))/(LN(2)/35)*CG20*CH20*VLOOKUP('Données projet'!$B$12,Paramètres!$A$1:$I$89,3,0)*0.475*44/12</f>
        <v>#N/A</v>
      </c>
      <c r="CL20" s="21" t="e">
        <f>EXP(-LN(2)/25)*CL19+(1-EXP(-LN(2)/25))/(LN(2)/25)*Calculateur!CG20*Calculateur!CI20*VLOOKUP('Données projet'!$B$12,Paramètres!$A$1:$I$89,3,0)*0.475*44/12</f>
        <v>#N/A</v>
      </c>
      <c r="CM20" s="21" t="e">
        <f>EXP(-LN(2)/2)*CM19+(1-EXP(-LN(2)/2))/(LN(2)/2)*CG20*CJ20*VLOOKUP('Données projet'!$B$12,Paramètres!$A$1:$I$89,3,0)*0.475*44/12</f>
        <v>#N/A</v>
      </c>
      <c r="CN20" s="22" t="e">
        <f t="shared" si="12"/>
        <v>#N/A</v>
      </c>
      <c r="CO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0</v>
      </c>
      <c r="CT20" s="12">
        <f>IF('Données projet'!$A$140&gt;35,CT19+CS20-DB19,IF(A20&lt;'Données projet'!$A$140,$CQ$205^A20,IF(A20='Données projet'!$A$140,'Données projet'!$B$140,CT19+CS20-DB19)))</f>
        <v>0</v>
      </c>
      <c r="CU20" s="17" t="e">
        <f>CT20*VLOOKUP('Données projet'!$B$13,Paramètres!$A$1:$I$89,3,0)*VLOOKUP('Données projet'!$B$13,Paramètres!$A$1:$I$89,5,0)</f>
        <v>#N/A</v>
      </c>
      <c r="CV20" s="13" t="e">
        <f t="shared" si="41"/>
        <v>#N/A</v>
      </c>
      <c r="CW20" s="20" t="e">
        <f t="shared" si="13"/>
        <v>#N/A</v>
      </c>
      <c r="CX20" s="59" t="e">
        <f t="shared" si="14"/>
        <v>#N/A</v>
      </c>
      <c r="CY20" s="59" t="e">
        <f ca="1">AVERAGE(OFFSET($CX$3,0,0,'Données projet'!$E$13+1,1))-AVERAGE(OFFSET($H$3,0,0,'Données projet'!$E$13+1,1))</f>
        <v>#N/A</v>
      </c>
      <c r="CZ20" s="59" t="e">
        <f t="shared" si="42"/>
        <v>#N/A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 t="e">
        <f>EXP(-LN(2)/35)*DF19+(1-EXP(-LN(2)/35))/(LN(2)/35)*DB20*DC20*VLOOKUP('Données projet'!$B$13,Paramètres!$A$1:$I$89,3,0)*0.475*44/12</f>
        <v>#N/A</v>
      </c>
      <c r="DG20" s="21" t="e">
        <f>EXP(-LN(2)/25)*DG19+(1-EXP(-LN(2)/25))/(LN(2)/25)*Calculateur!DB20*Calculateur!DD20*VLOOKUP('Données projet'!$B$13,Paramètres!$A$1:$I$89,3,0)*0.475*44/12</f>
        <v>#N/A</v>
      </c>
      <c r="DH20" s="21" t="e">
        <f>EXP(-LN(2)/2)*DH19+(1-EXP(-LN(2)/2))/(LN(2)/2)*DB20*DE20*VLOOKUP('Données projet'!$B$13,Paramètres!$A$1:$I$89,3,0)*0.475*44/12</f>
        <v>#N/A</v>
      </c>
      <c r="DI20" s="22" t="e">
        <f t="shared" si="15"/>
        <v>#N/A</v>
      </c>
      <c r="DJ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0</v>
      </c>
      <c r="DO20" s="12">
        <f>IF('Données projet'!$A$166&gt;35,DO19+DN20-DW19,IF(A20&lt;'Données projet'!$A$166,$DL$205^A20,IF(A20='Données projet'!$A$166,'Données projet'!$B$166,DO19+DN20-DW19)))</f>
        <v>0</v>
      </c>
      <c r="DP20" s="17" t="e">
        <f>DO20*VLOOKUP('Données projet'!$B$14,Paramètres!$A$1:$I$89,3,0)*VLOOKUP('Données projet'!$B$14,Paramètres!$A$1:$I$89,5,0)</f>
        <v>#N/A</v>
      </c>
      <c r="DQ20" s="13" t="e">
        <f t="shared" si="43"/>
        <v>#N/A</v>
      </c>
      <c r="DR20" s="20" t="e">
        <f t="shared" si="16"/>
        <v>#N/A</v>
      </c>
      <c r="DS20" s="59" t="e">
        <f t="shared" si="17"/>
        <v>#N/A</v>
      </c>
      <c r="DT20" s="59" t="e">
        <f ca="1">AVERAGE(OFFSET($DS$3,0,0,'Données projet'!$E$14+1,1))-AVERAGE(OFFSET($H$3,0,0,'Données projet'!$E$14+1,1))</f>
        <v>#N/A</v>
      </c>
      <c r="DU20" s="59" t="e">
        <f t="shared" si="44"/>
        <v>#N/A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 t="e">
        <f>EXP(-LN(2)/35)*EA19+(1-EXP(-LN(2)/35))/(LN(2)/35)*DW20*DX20*VLOOKUP('Données projet'!$B$14,Paramètres!$A$1:$I$89,3,0)*0.475*44/12</f>
        <v>#N/A</v>
      </c>
      <c r="EB20" s="21" t="e">
        <f>EXP(-LN(2)/25)*EB19+(1-EXP(-LN(2)/25))/(LN(2)/25)*Calculateur!DW20*Calculateur!DY20*VLOOKUP('Données projet'!$B$14,Paramètres!$A$1:$I$89,3,0)*0.475*44/12</f>
        <v>#N/A</v>
      </c>
      <c r="EC20" s="21" t="e">
        <f>EXP(-LN(2)/2)*EC19+(1-EXP(-LN(2)/2))/(LN(2)/2)*DW20*DZ20*VLOOKUP('Données projet'!$B$14,Paramètres!$A$1:$I$89,3,0)*0.475*44/12</f>
        <v>#N/A</v>
      </c>
      <c r="ED20" s="22" t="e">
        <f t="shared" si="18"/>
        <v>#N/A</v>
      </c>
      <c r="EE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0</v>
      </c>
      <c r="EJ20" s="12">
        <f>IF('Données projet'!$A$192&gt;35,EJ19+EI20-ER19,IF(A20&lt;'Données projet'!$A$192,$EG$205^A20,IF(A20='Données projet'!$A$192,'Données projet'!$B$192,EJ19+EI20-ER19)))</f>
        <v>0</v>
      </c>
      <c r="EK20" s="17" t="e">
        <f>EJ20*VLOOKUP('Données projet'!$B$15,Paramètres!$A$1:$I$89,3,0)*VLOOKUP('Données projet'!$B$15,Paramètres!$A$1:$I$89,5,0)</f>
        <v>#N/A</v>
      </c>
      <c r="EL20" s="13" t="e">
        <f t="shared" si="45"/>
        <v>#N/A</v>
      </c>
      <c r="EM20" s="20" t="e">
        <f t="shared" si="19"/>
        <v>#N/A</v>
      </c>
      <c r="EN20" s="59" t="e">
        <f t="shared" si="20"/>
        <v>#N/A</v>
      </c>
      <c r="EO20" s="59" t="e">
        <f ca="1">AVERAGE(OFFSET($EN$3,0,0,'Données projet'!$E$15+1,1))-AVERAGE(OFFSET($H$3,0,0,'Données projet'!$E$15+1,1))</f>
        <v>#N/A</v>
      </c>
      <c r="EP20" s="59" t="e">
        <f t="shared" si="46"/>
        <v>#N/A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 t="e">
        <f>EXP(-LN(2)/35)*EV19+(1-EXP(-LN(2)/35))/(LN(2)/35)*ER20*ES20*VLOOKUP('Données projet'!$B$15,Paramètres!$A$1:$I$89,3,0)*0.475*44/12</f>
        <v>#N/A</v>
      </c>
      <c r="EW20" s="21" t="e">
        <f>EXP(-LN(2)/25)*EW19+(1-EXP(-LN(2)/25))/(LN(2)/25)*Calculateur!ER20*Calculateur!ET20*VLOOKUP('Données projet'!$B$15,Paramètres!$A$1:$I$89,3,0)*0.475*44/12</f>
        <v>#N/A</v>
      </c>
      <c r="EX20" s="21" t="e">
        <f>EXP(-LN(2)/2)*EX19+(1-EXP(-LN(2)/2))/(LN(2)/2)*ER20*EU20*VLOOKUP('Données projet'!$B$15,Paramètres!$A$1:$I$89,3,0)*0.475*44/12</f>
        <v>#N/A</v>
      </c>
      <c r="EY20" s="22" t="e">
        <f t="shared" si="21"/>
        <v>#N/A</v>
      </c>
      <c r="EZ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45">
      <c r="A21" s="10">
        <f t="shared" si="31"/>
        <v>18</v>
      </c>
      <c r="B21" s="73">
        <f>'Scénario référence'!$B$16*5+'Scénario référence'!$B$17*0+'Scénario référence'!$B$18*5</f>
        <v>0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16.005600000000005</v>
      </c>
      <c r="D21" s="11">
        <f t="shared" si="32"/>
        <v>5.3412974993444182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">
        <f>IF(OR('Scénario référence'!$F$8&gt;0,'Scénario référence'!$F$9&gt;0),('Scénario référence'!$F$8+'Scénario référence'!$F$9)*10,0)</f>
        <v>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164.78306841599206</v>
      </c>
      <c r="H21" s="67">
        <f t="shared" si="1"/>
        <v>293.8458464780249</v>
      </c>
      <c r="I21" s="7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2" t="e">
        <f>VLOOKUP(A21,'Données projet'!$A$35:$I$55,2,0)</f>
        <v>#N/A</v>
      </c>
      <c r="L21" s="12" t="e">
        <f>VLOOKUP(A21,'Données projet'!$A$35:$I$55,9,0)</f>
        <v>#N/A</v>
      </c>
      <c r="M21" s="12">
        <f t="array" ref="M21">INDEX(L:L,MIN(IF(ISNUMBER(L21:L217),ROW(L21:L217),"")))</f>
        <v>8.1011764705882356</v>
      </c>
      <c r="N21" s="13">
        <f>IF('Données projet'!$A$36&gt;35,N20+M21-V20,IF(A21&lt;'Données projet'!$A$36,$K$205^A21,IF(A21='Données projet'!$A$36,'Données projet'!$B$36,N20+M21-V20)))</f>
        <v>19.57848150380422</v>
      </c>
      <c r="O21" s="13">
        <f>N21*VLOOKUP('Données projet'!$B$9,Paramètres!$A$1:$I$89,3,0)*VLOOKUP('Données projet'!$B$9,Paramètres!$A$1:$I$89,5,0)</f>
        <v>10.944371160626559</v>
      </c>
      <c r="P21" s="13">
        <f t="shared" si="33"/>
        <v>3.8175177694902325</v>
      </c>
      <c r="Q21" s="20">
        <f t="shared" si="2"/>
        <v>25.710289886620075</v>
      </c>
      <c r="R21" s="59">
        <f t="shared" si="0"/>
        <v>304.37695655328673</v>
      </c>
      <c r="S21" s="59">
        <f ca="1">AVERAGE(OFFSET($R$3,0,0,'Données projet'!$E$9+1,1))-AVERAGE(OFFSET($H$3,0,0,'Données projet'!$E$9+1,1))</f>
        <v>280.69347314340195</v>
      </c>
      <c r="T21" s="59">
        <f t="shared" si="34"/>
        <v>152.40533828556482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0</v>
      </c>
      <c r="AB21" s="21">
        <f>EXP(-LN(2)/2)*AB20+(1-EXP(-LN(2)/2))/(LN(2)/2)*V21*Y21*VLOOKUP('Données projet'!$B$9,Paramètres!$A$1:$I$89,3,0)*0.475*44/12</f>
        <v>0</v>
      </c>
      <c r="AC21" s="22">
        <f t="shared" si="3"/>
        <v>0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2">
        <f>VLOOKUP(A21,'Données projet'!$A$61:$I$81,2,0)</f>
        <v>112</v>
      </c>
      <c r="AG21" s="12">
        <f>VLOOKUP(A21,'Données projet'!$A$61:$I$81,9,0)</f>
        <v>6.2222222222222223</v>
      </c>
      <c r="AH21" s="12">
        <f t="array" ref="AH21">INDEX(AG:AG,MIN(IF(ISNUMBER(AG21:AG217),ROW(AG21:AG217),"")))</f>
        <v>6.2222222222222223</v>
      </c>
      <c r="AI21" s="13">
        <f>IF('Données projet'!$A$62&gt;35,AI20+AH21-AQ20,IF(A21&lt;'Données projet'!$A$62,$AF$205^A21,IF(A21='Données projet'!$A$62,'Données projet'!$B$62,AI20+AH21-AQ20)))</f>
        <v>112</v>
      </c>
      <c r="AJ21" s="13">
        <f>AI21*VLOOKUP('Données projet'!$B$10,Paramètres!$A$1:$I$89,3,0)*VLOOKUP('Données projet'!$B$10,Paramètres!$A$1:$I$89,5,0)</f>
        <v>69.888000000000005</v>
      </c>
      <c r="AK21" s="13">
        <f t="shared" si="35"/>
        <v>19.645641432461961</v>
      </c>
      <c r="AL21" s="20">
        <f t="shared" si="4"/>
        <v>155.93775882820458</v>
      </c>
      <c r="AM21" s="59">
        <f t="shared" si="5"/>
        <v>434.60442549487129</v>
      </c>
      <c r="AN21" s="59">
        <f ca="1">AVERAGE(OFFSET($AM$3,0,0,'Données projet'!$E$10+1,1))-AVERAGE(OFFSET($H$3,0,0,'Données projet'!$E$10+1,1))</f>
        <v>179.4725256147085</v>
      </c>
      <c r="AO21" s="59">
        <f t="shared" si="36"/>
        <v>282.16750121151176</v>
      </c>
      <c r="AP21" s="15">
        <f>IF(ISNA(VLOOKUP(A21,'Données projet'!$A$61:$I$81,3,0)),0,VLOOKUP(A21,'Données projet'!$A$61:$I$81,3,0))</f>
        <v>1</v>
      </c>
      <c r="AQ21" s="15">
        <f>IF(ISNA(VLOOKUP(A21,'Données projet'!$A$61:$I$81,4,0)),0,VLOOKUP(A21,'Données projet'!$A$61:$I$81,4,0))</f>
        <v>20</v>
      </c>
      <c r="AR21" s="16">
        <f>IF(ISNA(VLOOKUP(A21,'Données projet'!$A$61:$I$81,5,0)),0%,VLOOKUP(A21,'Données projet'!$A$61:$I$81,5,0)*VLOOKUP('Données projet'!$B$10,Paramètres!$A$1:$I$89,7,0))</f>
        <v>0.15</v>
      </c>
      <c r="AS21" s="16">
        <f>IF(ISNA(VLOOKUP(A21,'Données projet'!$A$61:$I$81,6,0)),0%,VLOOKUP(A21,'Données projet'!$A$61:$I$81,6,0)*VLOOKUP('Données projet'!$B$10,Paramètres!$A$1:$I$89,7,0))</f>
        <v>0.222</v>
      </c>
      <c r="AT21" s="16">
        <f>IF(ISNA(VLOOKUP(A21,'Données projet'!$A$61:$I$81,7,0)),0%,VLOOKUP(A21,'Données projet'!$A$61:$I$81,7,0))</f>
        <v>0.38</v>
      </c>
      <c r="AU21" s="21">
        <f>EXP(-LN(2)/35)*AU20+(1-EXP(-LN(2)/35))/(LN(2)/35)*AQ21*AR21*VLOOKUP('Données projet'!$B$10,Paramètres!$A$1:$I$89,3,0)*0.475*44/12</f>
        <v>2.4833286605828189</v>
      </c>
      <c r="AV21" s="21">
        <f>EXP(-LN(2)/25)*AV20+(1-EXP(-LN(2)/25))/(LN(2)/25)*Calculateur!AQ21*Calculateur!AS21*VLOOKUP('Données projet'!$B$10,Paramètres!$A$1:$I$89,3,0)*0.475*44/12</f>
        <v>3.6608552571470789</v>
      </c>
      <c r="AW21" s="21">
        <f>EXP(-LN(2)/2)*AW20+(1-EXP(-LN(2)/2))/(LN(2)/2)*AQ21*AT21*VLOOKUP('Données projet'!$B$10,Paramètres!$A$1:$I$89,3,0)*0.475*44/12</f>
        <v>5.3694984477895114</v>
      </c>
      <c r="AX21" s="21">
        <f t="shared" si="6"/>
        <v>11.513682365519408</v>
      </c>
      <c r="AY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5.3214035087719296</v>
      </c>
      <c r="BD21" s="12">
        <f>IF('Données projet'!$A$88&gt;35,BD20+BC21-BL20,IF(A21&lt;'Données projet'!$A$88,$BA$205^A21,IF(A21='Données projet'!$A$88,'Données projet'!$B$88,BD20+BC21-BL20)))</f>
        <v>95.785263157894775</v>
      </c>
      <c r="BE21" s="13">
        <f>BD21*VLOOKUP('Données projet'!$B$11,Paramètres!$A$1:$I$89,3,0)*VLOOKUP('Données projet'!$B$11,Paramètres!$A$1:$I$89,5,0)</f>
        <v>82.183755789473722</v>
      </c>
      <c r="BF21" s="13">
        <f t="shared" si="37"/>
        <v>22.670284005748076</v>
      </c>
      <c r="BG21" s="20">
        <f t="shared" si="7"/>
        <v>182.62078597667798</v>
      </c>
      <c r="BH21" s="59">
        <f t="shared" si="8"/>
        <v>461.28745264334464</v>
      </c>
      <c r="BI21" s="59">
        <f ca="1">AVERAGE(OFFSET($BH$3,0,0,'Données projet'!$E$11+1,1))-AVERAGE(OFFSET($H$3,0,0,'Données projet'!$E$11+1,1))</f>
        <v>312.89478437044261</v>
      </c>
      <c r="BJ21" s="59">
        <f t="shared" si="38"/>
        <v>276.16555507854571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>
        <f>EXP(-LN(2)/35)*BP20+(1-EXP(-LN(2)/35))/(LN(2)/35)*BL21*BM21*VLOOKUP('Données projet'!$B$11,Paramètres!$A$1:$I$89,3,0)*0.475*44/12</f>
        <v>0</v>
      </c>
      <c r="BQ21" s="21">
        <f>EXP(-LN(2)/25)*BQ20+(1-EXP(-LN(2)/25))/(LN(2)/25)*Calculateur!BL21*Calculateur!BN21*VLOOKUP('Données projet'!$B$11,Paramètres!$A$1:$I$89,3,0)*0.475*44/12</f>
        <v>0</v>
      </c>
      <c r="BR21" s="21">
        <f>EXP(-LN(2)/2)*BR20+(1-EXP(-LN(2)/2))/(LN(2)/2)*BL21*BO21*VLOOKUP('Données projet'!$B$11,Paramètres!$A$1:$I$89,3,0)*0.475*44/12</f>
        <v>0</v>
      </c>
      <c r="BS21" s="22">
        <f t="shared" si="9"/>
        <v>0</v>
      </c>
      <c r="BT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0</v>
      </c>
      <c r="BY21" s="12">
        <f>IF('Données projet'!$A$114&gt;35,BY20+BX21-CG20,IF(A21&lt;'Données projet'!$A$114,$BV$205^A21,IF(A21='Données projet'!$A$114,'Données projet'!$B$114,BY20+BX21-CG20)))</f>
        <v>0</v>
      </c>
      <c r="BZ21" s="13" t="e">
        <f>BY21*VLOOKUP('Données projet'!$B$12,Paramètres!$A$1:$I$89,3,0)*VLOOKUP('Données projet'!$B$12,Paramètres!$A$1:$I$89,5,0)</f>
        <v>#N/A</v>
      </c>
      <c r="CA21" s="13" t="e">
        <f t="shared" si="39"/>
        <v>#N/A</v>
      </c>
      <c r="CB21" s="20" t="e">
        <f t="shared" si="10"/>
        <v>#N/A</v>
      </c>
      <c r="CC21" s="59" t="e">
        <f t="shared" si="11"/>
        <v>#N/A</v>
      </c>
      <c r="CD21" s="59" t="e">
        <f ca="1">AVERAGE(OFFSET($CC$3,0,0,'Données projet'!$E$12+1,1))-AVERAGE(OFFSET($H$3,0,0,'Données projet'!$E$12+1,1))</f>
        <v>#N/A</v>
      </c>
      <c r="CE21" s="59" t="e">
        <f t="shared" si="40"/>
        <v>#N/A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 t="e">
        <f>EXP(-LN(2)/35)*CK20+(1-EXP(-LN(2)/35))/(LN(2)/35)*CG21*CH21*VLOOKUP('Données projet'!$B$12,Paramètres!$A$1:$I$89,3,0)*0.475*44/12</f>
        <v>#N/A</v>
      </c>
      <c r="CL21" s="21" t="e">
        <f>EXP(-LN(2)/25)*CL20+(1-EXP(-LN(2)/25))/(LN(2)/25)*Calculateur!CG21*Calculateur!CI21*VLOOKUP('Données projet'!$B$12,Paramètres!$A$1:$I$89,3,0)*0.475*44/12</f>
        <v>#N/A</v>
      </c>
      <c r="CM21" s="21" t="e">
        <f>EXP(-LN(2)/2)*CM20+(1-EXP(-LN(2)/2))/(LN(2)/2)*CG21*CJ21*VLOOKUP('Données projet'!$B$12,Paramètres!$A$1:$I$89,3,0)*0.475*44/12</f>
        <v>#N/A</v>
      </c>
      <c r="CN21" s="22" t="e">
        <f t="shared" si="12"/>
        <v>#N/A</v>
      </c>
      <c r="CO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0</v>
      </c>
      <c r="CT21" s="12">
        <f>IF('Données projet'!$A$140&gt;35,CT20+CS21-DB20,IF(A21&lt;'Données projet'!$A$140,$CQ$205^A21,IF(A21='Données projet'!$A$140,'Données projet'!$B$140,CT20+CS21-DB20)))</f>
        <v>0</v>
      </c>
      <c r="CU21" s="17" t="e">
        <f>CT21*VLOOKUP('Données projet'!$B$13,Paramètres!$A$1:$I$89,3,0)*VLOOKUP('Données projet'!$B$13,Paramètres!$A$1:$I$89,5,0)</f>
        <v>#N/A</v>
      </c>
      <c r="CV21" s="13" t="e">
        <f t="shared" si="41"/>
        <v>#N/A</v>
      </c>
      <c r="CW21" s="20" t="e">
        <f t="shared" si="13"/>
        <v>#N/A</v>
      </c>
      <c r="CX21" s="59" t="e">
        <f t="shared" si="14"/>
        <v>#N/A</v>
      </c>
      <c r="CY21" s="59" t="e">
        <f ca="1">AVERAGE(OFFSET($CX$3,0,0,'Données projet'!$E$13+1,1))-AVERAGE(OFFSET($H$3,0,0,'Données projet'!$E$13+1,1))</f>
        <v>#N/A</v>
      </c>
      <c r="CZ21" s="59" t="e">
        <f t="shared" si="42"/>
        <v>#N/A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 t="e">
        <f>EXP(-LN(2)/35)*DF20+(1-EXP(-LN(2)/35))/(LN(2)/35)*DB21*DC21*VLOOKUP('Données projet'!$B$13,Paramètres!$A$1:$I$89,3,0)*0.475*44/12</f>
        <v>#N/A</v>
      </c>
      <c r="DG21" s="21" t="e">
        <f>EXP(-LN(2)/25)*DG20+(1-EXP(-LN(2)/25))/(LN(2)/25)*Calculateur!DB21*Calculateur!DD21*VLOOKUP('Données projet'!$B$13,Paramètres!$A$1:$I$89,3,0)*0.475*44/12</f>
        <v>#N/A</v>
      </c>
      <c r="DH21" s="21" t="e">
        <f>EXP(-LN(2)/2)*DH20+(1-EXP(-LN(2)/2))/(LN(2)/2)*DB21*DE21*VLOOKUP('Données projet'!$B$13,Paramètres!$A$1:$I$89,3,0)*0.475*44/12</f>
        <v>#N/A</v>
      </c>
      <c r="DI21" s="22" t="e">
        <f t="shared" si="15"/>
        <v>#N/A</v>
      </c>
      <c r="DJ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0</v>
      </c>
      <c r="DO21" s="12">
        <f>IF('Données projet'!$A$166&gt;35,DO20+DN21-DW20,IF(A21&lt;'Données projet'!$A$166,$DL$205^A21,IF(A21='Données projet'!$A$166,'Données projet'!$B$166,DO20+DN21-DW20)))</f>
        <v>0</v>
      </c>
      <c r="DP21" s="17" t="e">
        <f>DO21*VLOOKUP('Données projet'!$B$14,Paramètres!$A$1:$I$89,3,0)*VLOOKUP('Données projet'!$B$14,Paramètres!$A$1:$I$89,5,0)</f>
        <v>#N/A</v>
      </c>
      <c r="DQ21" s="13" t="e">
        <f t="shared" si="43"/>
        <v>#N/A</v>
      </c>
      <c r="DR21" s="20" t="e">
        <f t="shared" si="16"/>
        <v>#N/A</v>
      </c>
      <c r="DS21" s="59" t="e">
        <f t="shared" si="17"/>
        <v>#N/A</v>
      </c>
      <c r="DT21" s="59" t="e">
        <f ca="1">AVERAGE(OFFSET($DS$3,0,0,'Données projet'!$E$14+1,1))-AVERAGE(OFFSET($H$3,0,0,'Données projet'!$E$14+1,1))</f>
        <v>#N/A</v>
      </c>
      <c r="DU21" s="59" t="e">
        <f t="shared" si="44"/>
        <v>#N/A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 t="e">
        <f>EXP(-LN(2)/35)*EA20+(1-EXP(-LN(2)/35))/(LN(2)/35)*DW21*DX21*VLOOKUP('Données projet'!$B$14,Paramètres!$A$1:$I$89,3,0)*0.475*44/12</f>
        <v>#N/A</v>
      </c>
      <c r="EB21" s="21" t="e">
        <f>EXP(-LN(2)/25)*EB20+(1-EXP(-LN(2)/25))/(LN(2)/25)*Calculateur!DW21*Calculateur!DY21*VLOOKUP('Données projet'!$B$14,Paramètres!$A$1:$I$89,3,0)*0.475*44/12</f>
        <v>#N/A</v>
      </c>
      <c r="EC21" s="21" t="e">
        <f>EXP(-LN(2)/2)*EC20+(1-EXP(-LN(2)/2))/(LN(2)/2)*DW21*DZ21*VLOOKUP('Données projet'!$B$14,Paramètres!$A$1:$I$89,3,0)*0.475*44/12</f>
        <v>#N/A</v>
      </c>
      <c r="ED21" s="22" t="e">
        <f t="shared" si="18"/>
        <v>#N/A</v>
      </c>
      <c r="EE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0</v>
      </c>
      <c r="EJ21" s="12">
        <f>IF('Données projet'!$A$192&gt;35,EJ20+EI21-ER20,IF(A21&lt;'Données projet'!$A$192,$EG$205^A21,IF(A21='Données projet'!$A$192,'Données projet'!$B$192,EJ20+EI21-ER20)))</f>
        <v>0</v>
      </c>
      <c r="EK21" s="17" t="e">
        <f>EJ21*VLOOKUP('Données projet'!$B$15,Paramètres!$A$1:$I$89,3,0)*VLOOKUP('Données projet'!$B$15,Paramètres!$A$1:$I$89,5,0)</f>
        <v>#N/A</v>
      </c>
      <c r="EL21" s="13" t="e">
        <f t="shared" si="45"/>
        <v>#N/A</v>
      </c>
      <c r="EM21" s="20" t="e">
        <f t="shared" si="19"/>
        <v>#N/A</v>
      </c>
      <c r="EN21" s="59" t="e">
        <f t="shared" si="20"/>
        <v>#N/A</v>
      </c>
      <c r="EO21" s="59" t="e">
        <f ca="1">AVERAGE(OFFSET($EN$3,0,0,'Données projet'!$E$15+1,1))-AVERAGE(OFFSET($H$3,0,0,'Données projet'!$E$15+1,1))</f>
        <v>#N/A</v>
      </c>
      <c r="EP21" s="59" t="e">
        <f t="shared" si="46"/>
        <v>#N/A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 t="e">
        <f>EXP(-LN(2)/35)*EV20+(1-EXP(-LN(2)/35))/(LN(2)/35)*ER21*ES21*VLOOKUP('Données projet'!$B$15,Paramètres!$A$1:$I$89,3,0)*0.475*44/12</f>
        <v>#N/A</v>
      </c>
      <c r="EW21" s="21" t="e">
        <f>EXP(-LN(2)/25)*EW20+(1-EXP(-LN(2)/25))/(LN(2)/25)*Calculateur!ER21*Calculateur!ET21*VLOOKUP('Données projet'!$B$15,Paramètres!$A$1:$I$89,3,0)*0.475*44/12</f>
        <v>#N/A</v>
      </c>
      <c r="EX21" s="21" t="e">
        <f>EXP(-LN(2)/2)*EX20+(1-EXP(-LN(2)/2))/(LN(2)/2)*ER21*EU21*VLOOKUP('Données projet'!$B$15,Paramètres!$A$1:$I$89,3,0)*0.475*44/12</f>
        <v>#N/A</v>
      </c>
      <c r="EY21" s="22" t="e">
        <f t="shared" si="21"/>
        <v>#N/A</v>
      </c>
      <c r="EZ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45">
      <c r="A22" s="10">
        <f t="shared" si="31"/>
        <v>19</v>
      </c>
      <c r="B22" s="73">
        <f>'Scénario référence'!$B$16*5+'Scénario référence'!$B$17*0+'Scénario référence'!$B$18*5</f>
        <v>0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16.894800000000004</v>
      </c>
      <c r="D22" s="11">
        <f t="shared" si="32"/>
        <v>5.6026651130643481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">
        <f>IF(OR('Scénario référence'!$F$8&gt;0,'Scénario référence'!$F$9&gt;0),('Scénario référence'!$F$8+'Scénario référence'!$F$9)*10,0)</f>
        <v>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173.66464297804058</v>
      </c>
      <c r="H22" s="67">
        <f t="shared" si="1"/>
        <v>295.84975173858709</v>
      </c>
      <c r="I22" s="7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2" t="e">
        <f>VLOOKUP(A22,'Données projet'!$A$35:$I$55,2,0)</f>
        <v>#N/A</v>
      </c>
      <c r="L22" s="12" t="e">
        <f>VLOOKUP(A22,'Données projet'!$A$35:$I$55,9,0)</f>
        <v>#N/A</v>
      </c>
      <c r="M22" s="12">
        <f t="array" ref="M22">INDEX(L:L,MIN(IF(ISNUMBER(L22:L218),ROW(L22:L218),"")))</f>
        <v>8.1011764705882356</v>
      </c>
      <c r="N22" s="13">
        <f>IF('Données projet'!$A$36&gt;35,N21+M22-V21,IF(A22&lt;'Données projet'!$A$36,$K$205^A22,IF(A22='Données projet'!$A$36,'Données projet'!$B$36,N21+M22-V21)))</f>
        <v>23.096411330729183</v>
      </c>
      <c r="O22" s="13">
        <f>N22*VLOOKUP('Données projet'!$B$9,Paramètres!$A$1:$I$89,3,0)*VLOOKUP('Données projet'!$B$9,Paramètres!$A$1:$I$89,5,0)</f>
        <v>12.910893933877613</v>
      </c>
      <c r="P22" s="13">
        <f t="shared" si="33"/>
        <v>4.4176678878911408</v>
      </c>
      <c r="Q22" s="20">
        <f t="shared" si="2"/>
        <v>30.180578506247247</v>
      </c>
      <c r="R22" s="59">
        <f t="shared" si="0"/>
        <v>310.06946739513609</v>
      </c>
      <c r="S22" s="59">
        <f ca="1">AVERAGE(OFFSET($R$3,0,0,'Données projet'!$E$9+1,1))-AVERAGE(OFFSET($H$3,0,0,'Données projet'!$E$9+1,1))</f>
        <v>280.69347314340195</v>
      </c>
      <c r="T22" s="59">
        <f t="shared" si="34"/>
        <v>152.40533828556482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0</v>
      </c>
      <c r="AB22" s="21">
        <f>EXP(-LN(2)/2)*AB21+(1-EXP(-LN(2)/2))/(LN(2)/2)*V22*Y22*VLOOKUP('Données projet'!$B$9,Paramètres!$A$1:$I$89,3,0)*0.475*44/12</f>
        <v>0</v>
      </c>
      <c r="AC22" s="22">
        <f t="shared" si="3"/>
        <v>0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18</v>
      </c>
      <c r="AI22" s="13">
        <f>IF('Données projet'!$A$62&gt;35,AI21+AH22-AQ21,IF(A22&lt;'Données projet'!$A$62,$AF$205^A22,IF(A22='Données projet'!$A$62,'Données projet'!$B$62,AI21+AH22-AQ21)))</f>
        <v>110</v>
      </c>
      <c r="AJ22" s="13">
        <f>AI22*VLOOKUP('Données projet'!$B$10,Paramètres!$A$1:$I$89,3,0)*VLOOKUP('Données projet'!$B$10,Paramètres!$A$1:$I$89,5,0)</f>
        <v>68.64</v>
      </c>
      <c r="AK22" s="13">
        <f t="shared" si="35"/>
        <v>19.335336956640202</v>
      </c>
      <c r="AL22" s="20">
        <f t="shared" si="4"/>
        <v>153.22371186614836</v>
      </c>
      <c r="AM22" s="59">
        <f t="shared" si="5"/>
        <v>433.11260075503719</v>
      </c>
      <c r="AN22" s="59">
        <f ca="1">AVERAGE(OFFSET($AM$3,0,0,'Données projet'!$E$10+1,1))-AVERAGE(OFFSET($H$3,0,0,'Données projet'!$E$10+1,1))</f>
        <v>179.4725256147085</v>
      </c>
      <c r="AO22" s="59">
        <f t="shared" si="36"/>
        <v>282.16750121151176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2.4346321002297104</v>
      </c>
      <c r="AV22" s="21">
        <f>EXP(-LN(2)/25)*AV21+(1-EXP(-LN(2)/25))/(LN(2)/25)*Calculateur!AQ22*Calculateur!AS22*VLOOKUP('Données projet'!$B$10,Paramètres!$A$1:$I$89,3,0)*0.475*44/12</f>
        <v>3.5607489776243813</v>
      </c>
      <c r="AW22" s="21">
        <f>EXP(-LN(2)/2)*AW21+(1-EXP(-LN(2)/2))/(LN(2)/2)*AQ22*AT22*VLOOKUP('Données projet'!$B$10,Paramètres!$A$1:$I$89,3,0)*0.475*44/12</f>
        <v>3.7968087640026047</v>
      </c>
      <c r="AX22" s="21">
        <f t="shared" si="6"/>
        <v>9.7921898418566968</v>
      </c>
      <c r="AY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5.3214035087719296</v>
      </c>
      <c r="BD22" s="12">
        <f>IF('Données projet'!$A$88&gt;35,BD21+BC22-BL21,IF(A22&lt;'Données projet'!$A$88,$BA$205^A22,IF(A22='Données projet'!$A$88,'Données projet'!$B$88,BD21+BC22-BL21)))</f>
        <v>101.10666666666671</v>
      </c>
      <c r="BE22" s="13">
        <f>BD22*VLOOKUP('Données projet'!$B$11,Paramètres!$A$1:$I$89,3,0)*VLOOKUP('Données projet'!$B$11,Paramètres!$A$1:$I$89,5,0)</f>
        <v>86.749520000000047</v>
      </c>
      <c r="BF22" s="13">
        <f t="shared" si="37"/>
        <v>23.779617090763978</v>
      </c>
      <c r="BG22" s="20">
        <f t="shared" si="7"/>
        <v>192.50491376641401</v>
      </c>
      <c r="BH22" s="59">
        <f t="shared" si="8"/>
        <v>472.39380265530286</v>
      </c>
      <c r="BI22" s="59">
        <f ca="1">AVERAGE(OFFSET($BH$3,0,0,'Données projet'!$E$11+1,1))-AVERAGE(OFFSET($H$3,0,0,'Données projet'!$E$11+1,1))</f>
        <v>312.89478437044261</v>
      </c>
      <c r="BJ22" s="59">
        <f t="shared" si="38"/>
        <v>276.16555507854571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>
        <f>EXP(-LN(2)/35)*BP21+(1-EXP(-LN(2)/35))/(LN(2)/35)*BL22*BM22*VLOOKUP('Données projet'!$B$11,Paramètres!$A$1:$I$89,3,0)*0.475*44/12</f>
        <v>0</v>
      </c>
      <c r="BQ22" s="21">
        <f>EXP(-LN(2)/25)*BQ21+(1-EXP(-LN(2)/25))/(LN(2)/25)*Calculateur!BL22*Calculateur!BN22*VLOOKUP('Données projet'!$B$11,Paramètres!$A$1:$I$89,3,0)*0.475*44/12</f>
        <v>0</v>
      </c>
      <c r="BR22" s="21">
        <f>EXP(-LN(2)/2)*BR21+(1-EXP(-LN(2)/2))/(LN(2)/2)*BL22*BO22*VLOOKUP('Données projet'!$B$11,Paramètres!$A$1:$I$89,3,0)*0.475*44/12</f>
        <v>0</v>
      </c>
      <c r="BS22" s="22">
        <f t="shared" si="9"/>
        <v>0</v>
      </c>
      <c r="BT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0</v>
      </c>
      <c r="BY22" s="12">
        <f>IF('Données projet'!$A$114&gt;35,BY21+BX22-CG21,IF(A22&lt;'Données projet'!$A$114,$BV$205^A22,IF(A22='Données projet'!$A$114,'Données projet'!$B$114,BY21+BX22-CG21)))</f>
        <v>0</v>
      </c>
      <c r="BZ22" s="13" t="e">
        <f>BY22*VLOOKUP('Données projet'!$B$12,Paramètres!$A$1:$I$89,3,0)*VLOOKUP('Données projet'!$B$12,Paramètres!$A$1:$I$89,5,0)</f>
        <v>#N/A</v>
      </c>
      <c r="CA22" s="13" t="e">
        <f t="shared" si="39"/>
        <v>#N/A</v>
      </c>
      <c r="CB22" s="20" t="e">
        <f t="shared" si="10"/>
        <v>#N/A</v>
      </c>
      <c r="CC22" s="59" t="e">
        <f t="shared" si="11"/>
        <v>#N/A</v>
      </c>
      <c r="CD22" s="59" t="e">
        <f ca="1">AVERAGE(OFFSET($CC$3,0,0,'Données projet'!$E$12+1,1))-AVERAGE(OFFSET($H$3,0,0,'Données projet'!$E$12+1,1))</f>
        <v>#N/A</v>
      </c>
      <c r="CE22" s="59" t="e">
        <f t="shared" si="40"/>
        <v>#N/A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 t="e">
        <f>EXP(-LN(2)/35)*CK21+(1-EXP(-LN(2)/35))/(LN(2)/35)*CG22*CH22*VLOOKUP('Données projet'!$B$12,Paramètres!$A$1:$I$89,3,0)*0.475*44/12</f>
        <v>#N/A</v>
      </c>
      <c r="CL22" s="21" t="e">
        <f>EXP(-LN(2)/25)*CL21+(1-EXP(-LN(2)/25))/(LN(2)/25)*Calculateur!CG22*Calculateur!CI22*VLOOKUP('Données projet'!$B$12,Paramètres!$A$1:$I$89,3,0)*0.475*44/12</f>
        <v>#N/A</v>
      </c>
      <c r="CM22" s="21" t="e">
        <f>EXP(-LN(2)/2)*CM21+(1-EXP(-LN(2)/2))/(LN(2)/2)*CG22*CJ22*VLOOKUP('Données projet'!$B$12,Paramètres!$A$1:$I$89,3,0)*0.475*44/12</f>
        <v>#N/A</v>
      </c>
      <c r="CN22" s="22" t="e">
        <f t="shared" si="12"/>
        <v>#N/A</v>
      </c>
      <c r="CO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0</v>
      </c>
      <c r="CT22" s="12">
        <f>IF('Données projet'!$A$140&gt;35,CT21+CS22-DB21,IF(A22&lt;'Données projet'!$A$140,$CQ$205^A22,IF(A22='Données projet'!$A$140,'Données projet'!$B$140,CT21+CS22-DB21)))</f>
        <v>0</v>
      </c>
      <c r="CU22" s="17" t="e">
        <f>CT22*VLOOKUP('Données projet'!$B$13,Paramètres!$A$1:$I$89,3,0)*VLOOKUP('Données projet'!$B$13,Paramètres!$A$1:$I$89,5,0)</f>
        <v>#N/A</v>
      </c>
      <c r="CV22" s="13" t="e">
        <f t="shared" si="41"/>
        <v>#N/A</v>
      </c>
      <c r="CW22" s="20" t="e">
        <f t="shared" si="13"/>
        <v>#N/A</v>
      </c>
      <c r="CX22" s="59" t="e">
        <f t="shared" si="14"/>
        <v>#N/A</v>
      </c>
      <c r="CY22" s="59" t="e">
        <f ca="1">AVERAGE(OFFSET($CX$3,0,0,'Données projet'!$E$13+1,1))-AVERAGE(OFFSET($H$3,0,0,'Données projet'!$E$13+1,1))</f>
        <v>#N/A</v>
      </c>
      <c r="CZ22" s="59" t="e">
        <f t="shared" si="42"/>
        <v>#N/A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 t="e">
        <f>EXP(-LN(2)/35)*DF21+(1-EXP(-LN(2)/35))/(LN(2)/35)*DB22*DC22*VLOOKUP('Données projet'!$B$13,Paramètres!$A$1:$I$89,3,0)*0.475*44/12</f>
        <v>#N/A</v>
      </c>
      <c r="DG22" s="21" t="e">
        <f>EXP(-LN(2)/25)*DG21+(1-EXP(-LN(2)/25))/(LN(2)/25)*Calculateur!DB22*Calculateur!DD22*VLOOKUP('Données projet'!$B$13,Paramètres!$A$1:$I$89,3,0)*0.475*44/12</f>
        <v>#N/A</v>
      </c>
      <c r="DH22" s="21" t="e">
        <f>EXP(-LN(2)/2)*DH21+(1-EXP(-LN(2)/2))/(LN(2)/2)*DB22*DE22*VLOOKUP('Données projet'!$B$13,Paramètres!$A$1:$I$89,3,0)*0.475*44/12</f>
        <v>#N/A</v>
      </c>
      <c r="DI22" s="22" t="e">
        <f t="shared" si="15"/>
        <v>#N/A</v>
      </c>
      <c r="DJ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0</v>
      </c>
      <c r="DO22" s="12">
        <f>IF('Données projet'!$A$166&gt;35,DO21+DN22-DW21,IF(A22&lt;'Données projet'!$A$166,$DL$205^A22,IF(A22='Données projet'!$A$166,'Données projet'!$B$166,DO21+DN22-DW21)))</f>
        <v>0</v>
      </c>
      <c r="DP22" s="17" t="e">
        <f>DO22*VLOOKUP('Données projet'!$B$14,Paramètres!$A$1:$I$89,3,0)*VLOOKUP('Données projet'!$B$14,Paramètres!$A$1:$I$89,5,0)</f>
        <v>#N/A</v>
      </c>
      <c r="DQ22" s="13" t="e">
        <f t="shared" si="43"/>
        <v>#N/A</v>
      </c>
      <c r="DR22" s="20" t="e">
        <f t="shared" si="16"/>
        <v>#N/A</v>
      </c>
      <c r="DS22" s="59" t="e">
        <f t="shared" si="17"/>
        <v>#N/A</v>
      </c>
      <c r="DT22" s="59" t="e">
        <f ca="1">AVERAGE(OFFSET($DS$3,0,0,'Données projet'!$E$14+1,1))-AVERAGE(OFFSET($H$3,0,0,'Données projet'!$E$14+1,1))</f>
        <v>#N/A</v>
      </c>
      <c r="DU22" s="59" t="e">
        <f t="shared" si="44"/>
        <v>#N/A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 t="e">
        <f>EXP(-LN(2)/35)*EA21+(1-EXP(-LN(2)/35))/(LN(2)/35)*DW22*DX22*VLOOKUP('Données projet'!$B$14,Paramètres!$A$1:$I$89,3,0)*0.475*44/12</f>
        <v>#N/A</v>
      </c>
      <c r="EB22" s="21" t="e">
        <f>EXP(-LN(2)/25)*EB21+(1-EXP(-LN(2)/25))/(LN(2)/25)*Calculateur!DW22*Calculateur!DY22*VLOOKUP('Données projet'!$B$14,Paramètres!$A$1:$I$89,3,0)*0.475*44/12</f>
        <v>#N/A</v>
      </c>
      <c r="EC22" s="21" t="e">
        <f>EXP(-LN(2)/2)*EC21+(1-EXP(-LN(2)/2))/(LN(2)/2)*DW22*DZ22*VLOOKUP('Données projet'!$B$14,Paramètres!$A$1:$I$89,3,0)*0.475*44/12</f>
        <v>#N/A</v>
      </c>
      <c r="ED22" s="22" t="e">
        <f t="shared" si="18"/>
        <v>#N/A</v>
      </c>
      <c r="EE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0</v>
      </c>
      <c r="EJ22" s="12">
        <f>IF('Données projet'!$A$192&gt;35,EJ21+EI22-ER21,IF(A22&lt;'Données projet'!$A$192,$EG$205^A22,IF(A22='Données projet'!$A$192,'Données projet'!$B$192,EJ21+EI22-ER21)))</f>
        <v>0</v>
      </c>
      <c r="EK22" s="17" t="e">
        <f>EJ22*VLOOKUP('Données projet'!$B$15,Paramètres!$A$1:$I$89,3,0)*VLOOKUP('Données projet'!$B$15,Paramètres!$A$1:$I$89,5,0)</f>
        <v>#N/A</v>
      </c>
      <c r="EL22" s="13" t="e">
        <f t="shared" si="45"/>
        <v>#N/A</v>
      </c>
      <c r="EM22" s="20" t="e">
        <f t="shared" si="19"/>
        <v>#N/A</v>
      </c>
      <c r="EN22" s="59" t="e">
        <f t="shared" si="20"/>
        <v>#N/A</v>
      </c>
      <c r="EO22" s="59" t="e">
        <f ca="1">AVERAGE(OFFSET($EN$3,0,0,'Données projet'!$E$15+1,1))-AVERAGE(OFFSET($H$3,0,0,'Données projet'!$E$15+1,1))</f>
        <v>#N/A</v>
      </c>
      <c r="EP22" s="59" t="e">
        <f t="shared" si="46"/>
        <v>#N/A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 t="e">
        <f>EXP(-LN(2)/35)*EV21+(1-EXP(-LN(2)/35))/(LN(2)/35)*ER22*ES22*VLOOKUP('Données projet'!$B$15,Paramètres!$A$1:$I$89,3,0)*0.475*44/12</f>
        <v>#N/A</v>
      </c>
      <c r="EW22" s="21" t="e">
        <f>EXP(-LN(2)/25)*EW21+(1-EXP(-LN(2)/25))/(LN(2)/25)*Calculateur!ER22*Calculateur!ET22*VLOOKUP('Données projet'!$B$15,Paramètres!$A$1:$I$89,3,0)*0.475*44/12</f>
        <v>#N/A</v>
      </c>
      <c r="EX22" s="21" t="e">
        <f>EXP(-LN(2)/2)*EX21+(1-EXP(-LN(2)/2))/(LN(2)/2)*ER22*EU22*VLOOKUP('Données projet'!$B$15,Paramètres!$A$1:$I$89,3,0)*0.475*44/12</f>
        <v>#N/A</v>
      </c>
      <c r="EY22" s="22" t="e">
        <f t="shared" si="21"/>
        <v>#N/A</v>
      </c>
      <c r="EZ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45">
      <c r="A23" s="10">
        <f t="shared" si="31"/>
        <v>20</v>
      </c>
      <c r="B23" s="73">
        <f>'Scénario référence'!$B$16*5+'Scénario référence'!$B$17*0+'Scénario référence'!$B$18*5</f>
        <v>0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17.784000000000002</v>
      </c>
      <c r="D23" s="11">
        <f t="shared" si="32"/>
        <v>5.862435622634961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">
        <f>IF(OR('Scénario référence'!$F$8&gt;0,'Scénario référence'!$F$9&gt;0),('Scénario référence'!$F$8+'Scénario référence'!$F$9)*10,0)</f>
        <v>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182.5338890168313</v>
      </c>
      <c r="H23" s="67">
        <f t="shared" si="1"/>
        <v>297.85087537608922</v>
      </c>
      <c r="I23" s="7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2" t="e">
        <f>VLOOKUP(A23,'Données projet'!$A$35:$I$55,2,0)</f>
        <v>#N/A</v>
      </c>
      <c r="L23" s="12" t="e">
        <f>VLOOKUP(A23,'Données projet'!$A$35:$I$55,9,0)</f>
        <v>#N/A</v>
      </c>
      <c r="M23" s="12">
        <f t="array" ref="M23">INDEX(L:L,MIN(IF(ISNUMBER(L23:L219),ROW(L23:L219),"")))</f>
        <v>8.1011764705882356</v>
      </c>
      <c r="N23" s="13">
        <f>IF('Données projet'!$A$36&gt;35,N22+M23-V22,IF(A23&lt;'Données projet'!$A$36,$K$205^A23,IF(A23='Données projet'!$A$36,'Données projet'!$B$36,N22+M23-V22)))</f>
        <v>27.246455056005431</v>
      </c>
      <c r="O23" s="13">
        <f>N23*VLOOKUP('Données projet'!$B$9,Paramètres!$A$1:$I$89,3,0)*VLOOKUP('Données projet'!$B$9,Paramètres!$A$1:$I$89,5,0)</f>
        <v>15.230768376307037</v>
      </c>
      <c r="P23" s="13">
        <f t="shared" si="33"/>
        <v>5.1121673155461425</v>
      </c>
      <c r="Q23" s="20">
        <f t="shared" si="2"/>
        <v>35.430612996644278</v>
      </c>
      <c r="R23" s="59">
        <f t="shared" si="0"/>
        <v>316.54172410775544</v>
      </c>
      <c r="S23" s="59">
        <f ca="1">AVERAGE(OFFSET($R$3,0,0,'Données projet'!$E$9+1,1))-AVERAGE(OFFSET($H$3,0,0,'Données projet'!$E$9+1,1))</f>
        <v>280.69347314340195</v>
      </c>
      <c r="T23" s="59">
        <f t="shared" si="34"/>
        <v>152.40533828556482</v>
      </c>
      <c r="U23" s="15">
        <f>IF(ISNA(VLOOKUP(A23,'Données projet'!$A$35:$I$55,3,0)),0,VLOOKUP(A23,'Données projet'!$A$35:$I$55,3,0))</f>
        <v>0</v>
      </c>
      <c r="V23" s="15">
        <f>IF(ISNA(VLOOKUP(A23,'Données projet'!$A$35:$I$55,4,0)),0,VLOOKUP(A23,'Données projet'!$A$35:$I$55,4,0))</f>
        <v>0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</v>
      </c>
      <c r="Y23" s="16">
        <f>IF(ISNA(VLOOKUP(A23,'Données projet'!$A$35:$I$55,7,0)),0%,VLOOKUP(A23,'Données projet'!$A$35:$I$55,7,0))</f>
        <v>0</v>
      </c>
      <c r="Z23" s="21">
        <f>EXP(-LN(2)/35)*Z22+(1-EXP(-LN(2)/35))/(LN(2)/35)*V23*W23*VLOOKUP('Données projet'!$B$9,Paramètres!$A$1:$I$89,3,0)*0.475*44/12</f>
        <v>0</v>
      </c>
      <c r="AA23" s="21">
        <f>EXP(-LN(2)/25)*AA22+(1-EXP(-LN(2)/25))/(LN(2)/25)*Calculateur!V23*Calculateur!X23*VLOOKUP('Données projet'!$B$9,Paramètres!$A$1:$I$89,3,0)*0.475*44/12</f>
        <v>0</v>
      </c>
      <c r="AB23" s="21">
        <f>EXP(-LN(2)/2)*AB22+(1-EXP(-LN(2)/2))/(LN(2)/2)*V23*Y23*VLOOKUP('Données projet'!$B$9,Paramètres!$A$1:$I$89,3,0)*0.475*44/12</f>
        <v>0</v>
      </c>
      <c r="AC23" s="22">
        <f t="shared" si="3"/>
        <v>0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2" t="e">
        <f>VLOOKUP(A23,'Données projet'!$A$61:$I$81,2,0)</f>
        <v>#N/A</v>
      </c>
      <c r="AG23" s="12" t="e">
        <f>VLOOKUP(A23,'Données projet'!$A$61:$I$81,9,0)</f>
        <v>#N/A</v>
      </c>
      <c r="AH23" s="12">
        <f t="array" ref="AH23">INDEX(AG:AG,MIN(IF(ISNUMBER(AG23:AG219),ROW(AG23:AG219),"")))</f>
        <v>18</v>
      </c>
      <c r="AI23" s="13">
        <f>IF('Données projet'!$A$62&gt;35,AI22+AH23-AQ22,IF(A23&lt;'Données projet'!$A$62,$AF$205^A23,IF(A23='Données projet'!$A$62,'Données projet'!$B$62,AI22+AH23-AQ22)))</f>
        <v>128</v>
      </c>
      <c r="AJ23" s="13">
        <f>AI23*VLOOKUP('Données projet'!$B$10,Paramètres!$A$1:$I$89,3,0)*VLOOKUP('Données projet'!$B$10,Paramètres!$A$1:$I$89,5,0)</f>
        <v>79.872</v>
      </c>
      <c r="AK23" s="13">
        <f t="shared" si="35"/>
        <v>22.105884547145418</v>
      </c>
      <c r="AL23" s="20">
        <f t="shared" si="4"/>
        <v>177.61148225294494</v>
      </c>
      <c r="AM23" s="59">
        <f t="shared" si="5"/>
        <v>458.72259336405608</v>
      </c>
      <c r="AN23" s="59">
        <f ca="1">AVERAGE(OFFSET($AM$3,0,0,'Données projet'!$E$10+1,1))-AVERAGE(OFFSET($H$3,0,0,'Données projet'!$E$10+1,1))</f>
        <v>179.4725256147085</v>
      </c>
      <c r="AO23" s="59">
        <f t="shared" si="36"/>
        <v>282.16750121151176</v>
      </c>
      <c r="AP23" s="15">
        <f>IF(ISNA(VLOOKUP(A23,'Données projet'!$A$61:$I$81,3,0)),0,VLOOKUP(A23,'Données projet'!$A$61:$I$81,3,0))</f>
        <v>0</v>
      </c>
      <c r="AQ23" s="15">
        <f>IF(ISNA(VLOOKUP(A23,'Données projet'!$A$61:$I$81,4,0)),0,VLOOKUP(A23,'Données projet'!$A$61:$I$81,4,0))</f>
        <v>0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</v>
      </c>
      <c r="AT23" s="16">
        <f>IF(ISNA(VLOOKUP(A23,'Données projet'!$A$61:$I$81,7,0)),0%,VLOOKUP(A23,'Données projet'!$A$61:$I$81,7,0))</f>
        <v>0</v>
      </c>
      <c r="AU23" s="21">
        <f>EXP(-LN(2)/35)*AU22+(1-EXP(-LN(2)/35))/(LN(2)/35)*AQ23*AR23*VLOOKUP('Données projet'!$B$10,Paramètres!$A$1:$I$89,3,0)*0.475*44/12</f>
        <v>2.3868904497231576</v>
      </c>
      <c r="AV23" s="21">
        <f>EXP(-LN(2)/25)*AV22+(1-EXP(-LN(2)/25))/(LN(2)/25)*Calculateur!AQ23*Calculateur!AS23*VLOOKUP('Données projet'!$B$10,Paramètres!$A$1:$I$89,3,0)*0.475*44/12</f>
        <v>3.463380109579592</v>
      </c>
      <c r="AW23" s="21">
        <f>EXP(-LN(2)/2)*AW22+(1-EXP(-LN(2)/2))/(LN(2)/2)*AQ23*AT23*VLOOKUP('Données projet'!$B$10,Paramètres!$A$1:$I$89,3,0)*0.475*44/12</f>
        <v>2.6847492238947561</v>
      </c>
      <c r="AX23" s="21">
        <f t="shared" si="6"/>
        <v>8.5350197831975052</v>
      </c>
      <c r="AY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2" t="e">
        <f>VLOOKUP(A23,'Données projet'!$A$87:$I$107,2,0)</f>
        <v>#N/A</v>
      </c>
      <c r="BB23" s="12" t="e">
        <f>VLOOKUP(A23,'Données projet'!$A$87:$I$107,9,0)</f>
        <v>#N/A</v>
      </c>
      <c r="BC23" s="12">
        <f t="array" ref="BC23">INDEX(BB:BB,MIN(IF(ISNUMBER(BB23:BB219),ROW(BB23:BB219),"")))</f>
        <v>5.3214035087719296</v>
      </c>
      <c r="BD23" s="12">
        <f>IF('Données projet'!$A$88&gt;35,BD22+BC23-BL22,IF(A23&lt;'Données projet'!$A$88,$BA$205^A23,IF(A23='Données projet'!$A$88,'Données projet'!$B$88,BD22+BC23-BL22)))</f>
        <v>106.42807017543865</v>
      </c>
      <c r="BE23" s="13">
        <f>BD23*VLOOKUP('Données projet'!$B$11,Paramètres!$A$1:$I$89,3,0)*VLOOKUP('Données projet'!$B$11,Paramètres!$A$1:$I$89,5,0)</f>
        <v>91.315284210526372</v>
      </c>
      <c r="BF23" s="13">
        <f t="shared" si="37"/>
        <v>24.88217152234294</v>
      </c>
      <c r="BG23" s="20">
        <f t="shared" si="7"/>
        <v>202.37723540141405</v>
      </c>
      <c r="BH23" s="59">
        <f t="shared" si="8"/>
        <v>483.4883465125252</v>
      </c>
      <c r="BI23" s="59">
        <f ca="1">AVERAGE(OFFSET($BH$3,0,0,'Données projet'!$E$11+1,1))-AVERAGE(OFFSET($H$3,0,0,'Données projet'!$E$11+1,1))</f>
        <v>312.89478437044261</v>
      </c>
      <c r="BJ23" s="59">
        <f t="shared" si="38"/>
        <v>276.16555507854571</v>
      </c>
      <c r="BK23" s="15">
        <f>IF(ISNA(VLOOKUP(A23,'Données projet'!$A$87:$I$107,3,0)),0,VLOOKUP(A23,'Données projet'!$A$87:$I$107,3,0))</f>
        <v>0</v>
      </c>
      <c r="BL23" s="15">
        <f>IF(ISNA(VLOOKUP(A23,'Données projet'!$A$87:$I$107,4,0)),0,VLOOKUP(A23,'Données projet'!$A$87:$I$107,4,0))</f>
        <v>0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</v>
      </c>
      <c r="BO23" s="16">
        <f>IF(ISNA(VLOOKUP(A23,'Données projet'!$A$87:$I$107,7,0)),0%,VLOOKUP(A23,'Données projet'!$A$87:$I$107,7,0))</f>
        <v>0</v>
      </c>
      <c r="BP23" s="21">
        <f>EXP(-LN(2)/35)*BP22+(1-EXP(-LN(2)/35))/(LN(2)/35)*BL23*BM23*VLOOKUP('Données projet'!$B$11,Paramètres!$A$1:$I$89,3,0)*0.475*44/12</f>
        <v>0</v>
      </c>
      <c r="BQ23" s="21">
        <f>EXP(-LN(2)/25)*BQ22+(1-EXP(-LN(2)/25))/(LN(2)/25)*Calculateur!BL23*Calculateur!BN23*VLOOKUP('Données projet'!$B$11,Paramètres!$A$1:$I$89,3,0)*0.475*44/12</f>
        <v>0</v>
      </c>
      <c r="BR23" s="21">
        <f>EXP(-LN(2)/2)*BR22+(1-EXP(-LN(2)/2))/(LN(2)/2)*BL23*BO23*VLOOKUP('Données projet'!$B$11,Paramètres!$A$1:$I$89,3,0)*0.475*44/12</f>
        <v>0</v>
      </c>
      <c r="BS23" s="22">
        <f t="shared" si="9"/>
        <v>0</v>
      </c>
      <c r="BT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2" t="e">
        <f>VLOOKUP(A23,'Données projet'!$A$113:$I$133,2,0)</f>
        <v>#N/A</v>
      </c>
      <c r="BW23" s="12" t="e">
        <f>VLOOKUP(A23,'Données projet'!$A$113:$I$133,9,0)</f>
        <v>#N/A</v>
      </c>
      <c r="BX23" s="12">
        <f t="array" ref="BX23">INDEX(BW:BW,MIN(IF(ISNUMBER(BW23:BW219),ROW(BW23:BW219),"")))</f>
        <v>0</v>
      </c>
      <c r="BY23" s="12">
        <f>IF('Données projet'!$A$114&gt;35,BY22+BX23-CG22,IF(A23&lt;'Données projet'!$A$114,$BV$205^A23,IF(A23='Données projet'!$A$114,'Données projet'!$B$114,BY22+BX23-CG22)))</f>
        <v>0</v>
      </c>
      <c r="BZ23" s="13" t="e">
        <f>BY23*VLOOKUP('Données projet'!$B$12,Paramètres!$A$1:$I$89,3,0)*VLOOKUP('Données projet'!$B$12,Paramètres!$A$1:$I$89,5,0)</f>
        <v>#N/A</v>
      </c>
      <c r="CA23" s="13" t="e">
        <f t="shared" si="39"/>
        <v>#N/A</v>
      </c>
      <c r="CB23" s="20" t="e">
        <f t="shared" si="10"/>
        <v>#N/A</v>
      </c>
      <c r="CC23" s="59" t="e">
        <f t="shared" si="11"/>
        <v>#N/A</v>
      </c>
      <c r="CD23" s="59" t="e">
        <f ca="1">AVERAGE(OFFSET($CC$3,0,0,'Données projet'!$E$12+1,1))-AVERAGE(OFFSET($H$3,0,0,'Données projet'!$E$12+1,1))</f>
        <v>#N/A</v>
      </c>
      <c r="CE23" s="59" t="e">
        <f t="shared" si="40"/>
        <v>#N/A</v>
      </c>
      <c r="CF23" s="15">
        <f>IF(ISNA(VLOOKUP(A23,'Données projet'!$A$113:$I$133,3,0)),0,VLOOKUP(A23,'Données projet'!$A$113:$I$133,3,0))</f>
        <v>0</v>
      </c>
      <c r="CG23" s="15">
        <f>IF(ISNA(VLOOKUP(A23,'Données projet'!$A$113:$I$133,4,0)),0,VLOOKUP(A23,'Données projet'!$A$113:$I$133,4,0))</f>
        <v>0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 t="e">
        <f>EXP(-LN(2)/35)*CK22+(1-EXP(-LN(2)/35))/(LN(2)/35)*CG23*CH23*VLOOKUP('Données projet'!$B$12,Paramètres!$A$1:$I$89,3,0)*0.475*44/12</f>
        <v>#N/A</v>
      </c>
      <c r="CL23" s="21" t="e">
        <f>EXP(-LN(2)/25)*CL22+(1-EXP(-LN(2)/25))/(LN(2)/25)*Calculateur!CG23*Calculateur!CI23*VLOOKUP('Données projet'!$B$12,Paramètres!$A$1:$I$89,3,0)*0.475*44/12</f>
        <v>#N/A</v>
      </c>
      <c r="CM23" s="21" t="e">
        <f>EXP(-LN(2)/2)*CM22+(1-EXP(-LN(2)/2))/(LN(2)/2)*CG23*CJ23*VLOOKUP('Données projet'!$B$12,Paramètres!$A$1:$I$89,3,0)*0.475*44/12</f>
        <v>#N/A</v>
      </c>
      <c r="CN23" s="22" t="e">
        <f t="shared" si="12"/>
        <v>#N/A</v>
      </c>
      <c r="CO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2" t="e">
        <f>VLOOKUP(A23,'Données projet'!$A$139:$I$159,2,0)</f>
        <v>#N/A</v>
      </c>
      <c r="CR23" s="12" t="e">
        <f>VLOOKUP(A23,'Données projet'!$A$139:$I$159,9,0)</f>
        <v>#N/A</v>
      </c>
      <c r="CS23" s="12">
        <f t="array" ref="CS23">INDEX(CR:CR,MIN(IF(ISNUMBER(CR23:CR219),ROW(CR23:CR219),"")))</f>
        <v>0</v>
      </c>
      <c r="CT23" s="12">
        <f>IF('Données projet'!$A$140&gt;35,CT22+CS23-DB22,IF(A23&lt;'Données projet'!$A$140,$CQ$205^A23,IF(A23='Données projet'!$A$140,'Données projet'!$B$140,CT22+CS23-DB22)))</f>
        <v>0</v>
      </c>
      <c r="CU23" s="17" t="e">
        <f>CT23*VLOOKUP('Données projet'!$B$13,Paramètres!$A$1:$I$89,3,0)*VLOOKUP('Données projet'!$B$13,Paramètres!$A$1:$I$89,5,0)</f>
        <v>#N/A</v>
      </c>
      <c r="CV23" s="13" t="e">
        <f t="shared" si="41"/>
        <v>#N/A</v>
      </c>
      <c r="CW23" s="20" t="e">
        <f t="shared" si="13"/>
        <v>#N/A</v>
      </c>
      <c r="CX23" s="59" t="e">
        <f t="shared" si="14"/>
        <v>#N/A</v>
      </c>
      <c r="CY23" s="59" t="e">
        <f ca="1">AVERAGE(OFFSET($CX$3,0,0,'Données projet'!$E$13+1,1))-AVERAGE(OFFSET($H$3,0,0,'Données projet'!$E$13+1,1))</f>
        <v>#N/A</v>
      </c>
      <c r="CZ23" s="59" t="e">
        <f t="shared" si="42"/>
        <v>#N/A</v>
      </c>
      <c r="DA23" s="15">
        <f>IF(ISNA(VLOOKUP(A23,'Données projet'!$A$139:$I$159,3,0)),0,VLOOKUP(A23,'Données projet'!$A$139:$I$159,3,0))</f>
        <v>0</v>
      </c>
      <c r="DB23" s="15">
        <f>IF(ISNA(VLOOKUP(A23,'Données projet'!$A$139:$I$159,4,0)),0,VLOOKUP(A23,'Données projet'!$A$139:$I$159,4,0))</f>
        <v>0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 t="e">
        <f>EXP(-LN(2)/35)*DF22+(1-EXP(-LN(2)/35))/(LN(2)/35)*DB23*DC23*VLOOKUP('Données projet'!$B$13,Paramètres!$A$1:$I$89,3,0)*0.475*44/12</f>
        <v>#N/A</v>
      </c>
      <c r="DG23" s="21" t="e">
        <f>EXP(-LN(2)/25)*DG22+(1-EXP(-LN(2)/25))/(LN(2)/25)*Calculateur!DB23*Calculateur!DD23*VLOOKUP('Données projet'!$B$13,Paramètres!$A$1:$I$89,3,0)*0.475*44/12</f>
        <v>#N/A</v>
      </c>
      <c r="DH23" s="21" t="e">
        <f>EXP(-LN(2)/2)*DH22+(1-EXP(-LN(2)/2))/(LN(2)/2)*DB23*DE23*VLOOKUP('Données projet'!$B$13,Paramètres!$A$1:$I$89,3,0)*0.475*44/12</f>
        <v>#N/A</v>
      </c>
      <c r="DI23" s="22" t="e">
        <f t="shared" si="15"/>
        <v>#N/A</v>
      </c>
      <c r="DJ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2" t="e">
        <f>VLOOKUP(A23,'Données projet'!$A$165:$I$185,2,0)</f>
        <v>#N/A</v>
      </c>
      <c r="DM23" s="12" t="e">
        <f>VLOOKUP(A23,'Données projet'!$A$165:$I$185,9,0)</f>
        <v>#N/A</v>
      </c>
      <c r="DN23" s="12">
        <f t="array" ref="DN23">INDEX(DM:DM,MIN(IF(ISNUMBER(DM23:DM219),ROW(DM23:DM219),"")))</f>
        <v>0</v>
      </c>
      <c r="DO23" s="12">
        <f>IF('Données projet'!$A$166&gt;35,DO22+DN23-DW22,IF(A23&lt;'Données projet'!$A$166,$DL$205^A23,IF(A23='Données projet'!$A$166,'Données projet'!$B$166,DO22+DN23-DW22)))</f>
        <v>0</v>
      </c>
      <c r="DP23" s="17" t="e">
        <f>DO23*VLOOKUP('Données projet'!$B$14,Paramètres!$A$1:$I$89,3,0)*VLOOKUP('Données projet'!$B$14,Paramètres!$A$1:$I$89,5,0)</f>
        <v>#N/A</v>
      </c>
      <c r="DQ23" s="13" t="e">
        <f t="shared" si="43"/>
        <v>#N/A</v>
      </c>
      <c r="DR23" s="20" t="e">
        <f t="shared" si="16"/>
        <v>#N/A</v>
      </c>
      <c r="DS23" s="59" t="e">
        <f t="shared" si="17"/>
        <v>#N/A</v>
      </c>
      <c r="DT23" s="59" t="e">
        <f ca="1">AVERAGE(OFFSET($DS$3,0,0,'Données projet'!$E$14+1,1))-AVERAGE(OFFSET($H$3,0,0,'Données projet'!$E$14+1,1))</f>
        <v>#N/A</v>
      </c>
      <c r="DU23" s="59" t="e">
        <f t="shared" si="44"/>
        <v>#N/A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 t="e">
        <f>EXP(-LN(2)/35)*EA22+(1-EXP(-LN(2)/35))/(LN(2)/35)*DW23*DX23*VLOOKUP('Données projet'!$B$14,Paramètres!$A$1:$I$89,3,0)*0.475*44/12</f>
        <v>#N/A</v>
      </c>
      <c r="EB23" s="21" t="e">
        <f>EXP(-LN(2)/25)*EB22+(1-EXP(-LN(2)/25))/(LN(2)/25)*Calculateur!DW23*Calculateur!DY23*VLOOKUP('Données projet'!$B$14,Paramètres!$A$1:$I$89,3,0)*0.475*44/12</f>
        <v>#N/A</v>
      </c>
      <c r="EC23" s="21" t="e">
        <f>EXP(-LN(2)/2)*EC22+(1-EXP(-LN(2)/2))/(LN(2)/2)*DW23*DZ23*VLOOKUP('Données projet'!$B$14,Paramètres!$A$1:$I$89,3,0)*0.475*44/12</f>
        <v>#N/A</v>
      </c>
      <c r="ED23" s="22" t="e">
        <f t="shared" si="18"/>
        <v>#N/A</v>
      </c>
      <c r="EE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0</v>
      </c>
      <c r="EJ23" s="12">
        <f>IF('Données projet'!$A$192&gt;35,EJ22+EI23-ER22,IF(A23&lt;'Données projet'!$A$192,$EG$205^A23,IF(A23='Données projet'!$A$192,'Données projet'!$B$192,EJ22+EI23-ER22)))</f>
        <v>0</v>
      </c>
      <c r="EK23" s="17" t="e">
        <f>EJ23*VLOOKUP('Données projet'!$B$15,Paramètres!$A$1:$I$89,3,0)*VLOOKUP('Données projet'!$B$15,Paramètres!$A$1:$I$89,5,0)</f>
        <v>#N/A</v>
      </c>
      <c r="EL23" s="13" t="e">
        <f t="shared" si="45"/>
        <v>#N/A</v>
      </c>
      <c r="EM23" s="20" t="e">
        <f t="shared" si="19"/>
        <v>#N/A</v>
      </c>
      <c r="EN23" s="59" t="e">
        <f t="shared" si="20"/>
        <v>#N/A</v>
      </c>
      <c r="EO23" s="59" t="e">
        <f ca="1">AVERAGE(OFFSET($EN$3,0,0,'Données projet'!$E$15+1,1))-AVERAGE(OFFSET($H$3,0,0,'Données projet'!$E$15+1,1))</f>
        <v>#N/A</v>
      </c>
      <c r="EP23" s="59" t="e">
        <f t="shared" si="46"/>
        <v>#N/A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 t="e">
        <f>EXP(-LN(2)/35)*EV22+(1-EXP(-LN(2)/35))/(LN(2)/35)*ER23*ES23*VLOOKUP('Données projet'!$B$15,Paramètres!$A$1:$I$89,3,0)*0.475*44/12</f>
        <v>#N/A</v>
      </c>
      <c r="EW23" s="21" t="e">
        <f>EXP(-LN(2)/25)*EW22+(1-EXP(-LN(2)/25))/(LN(2)/25)*Calculateur!ER23*Calculateur!ET23*VLOOKUP('Données projet'!$B$15,Paramètres!$A$1:$I$89,3,0)*0.475*44/12</f>
        <v>#N/A</v>
      </c>
      <c r="EX23" s="21" t="e">
        <f>EXP(-LN(2)/2)*EX22+(1-EXP(-LN(2)/2))/(LN(2)/2)*ER23*EU23*VLOOKUP('Données projet'!$B$15,Paramètres!$A$1:$I$89,3,0)*0.475*44/12</f>
        <v>#N/A</v>
      </c>
      <c r="EY23" s="22" t="e">
        <f t="shared" si="21"/>
        <v>#N/A</v>
      </c>
      <c r="EZ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45">
      <c r="A24" s="10">
        <f t="shared" si="31"/>
        <v>21</v>
      </c>
      <c r="B24" s="73">
        <f>'Scénario référence'!$B$16*5+'Scénario référence'!$B$17*0+'Scénario référence'!$B$18*5</f>
        <v>0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18.673200000000001</v>
      </c>
      <c r="D24" s="11">
        <f t="shared" si="32"/>
        <v>6.1206979954107776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">
        <f>IF(OR('Scénario référence'!$F$8&gt;0,'Scénario référence'!$F$9&gt;0),('Scénario référence'!$F$8+'Scénario référence'!$F$9)*10,0)</f>
        <v>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191.3914932979078</v>
      </c>
      <c r="H24" s="67">
        <f t="shared" si="1"/>
        <v>299.84937234200714</v>
      </c>
      <c r="I24" s="7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8.1011764705882356</v>
      </c>
      <c r="N24" s="13">
        <f>IF('Données projet'!$A$36&gt;35,N23+M24-V23,IF(A24&lt;'Données projet'!$A$36,$K$205^A24,IF(A24='Données projet'!$A$36,'Données projet'!$B$36,N23+M24-V23)))</f>
        <v>32.142193109074938</v>
      </c>
      <c r="O24" s="13">
        <f>N24*VLOOKUP('Données projet'!$B$9,Paramètres!$A$1:$I$89,3,0)*VLOOKUP('Données projet'!$B$9,Paramètres!$A$1:$I$89,5,0)</f>
        <v>17.967485947972889</v>
      </c>
      <c r="P24" s="13">
        <f t="shared" si="33"/>
        <v>5.9158486616371526</v>
      </c>
      <c r="Q24" s="20">
        <f t="shared" si="2"/>
        <v>41.596807778404155</v>
      </c>
      <c r="R24" s="59">
        <f t="shared" si="0"/>
        <v>323.9301411117375</v>
      </c>
      <c r="S24" s="59">
        <f ca="1">AVERAGE(OFFSET($R$3,0,0,'Données projet'!$E$9+1,1))-AVERAGE(OFFSET($H$3,0,0,'Données projet'!$E$9+1,1))</f>
        <v>280.69347314340195</v>
      </c>
      <c r="T24" s="59">
        <f t="shared" si="34"/>
        <v>152.40533828556482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0</v>
      </c>
      <c r="AA24" s="21">
        <f>EXP(-LN(2)/25)*AA23+(1-EXP(-LN(2)/25))/(LN(2)/25)*Calculateur!V24*Calculateur!X24*VLOOKUP('Données projet'!$B$9,Paramètres!$A$1:$I$89,3,0)*0.475*44/12</f>
        <v>0</v>
      </c>
      <c r="AB24" s="21">
        <f>EXP(-LN(2)/2)*AB23+(1-EXP(-LN(2)/2))/(LN(2)/2)*V24*Y24*VLOOKUP('Données projet'!$B$9,Paramètres!$A$1:$I$89,3,0)*0.475*44/12</f>
        <v>0</v>
      </c>
      <c r="AC24" s="22">
        <f t="shared" si="3"/>
        <v>0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2">
        <f>VLOOKUP(A24,'Données projet'!$A$61:$I$81,2,0)</f>
        <v>146</v>
      </c>
      <c r="AG24" s="12">
        <f>VLOOKUP(A24,'Données projet'!$A$61:$I$81,9,0)</f>
        <v>18</v>
      </c>
      <c r="AH24" s="12">
        <f t="array" ref="AH24">INDEX(AG:AG,MIN(IF(ISNUMBER(AG24:AG220),ROW(AG24:AG220),"")))</f>
        <v>18</v>
      </c>
      <c r="AI24" s="13">
        <f>IF('Données projet'!$A$62&gt;35,AI23+AH24-AQ23,IF(A24&lt;'Données projet'!$A$62,$AF$205^A24,IF(A24='Données projet'!$A$62,'Données projet'!$B$62,AI23+AH24-AQ23)))</f>
        <v>146</v>
      </c>
      <c r="AJ24" s="13">
        <f>AI24*VLOOKUP('Données projet'!$B$10,Paramètres!$A$1:$I$89,3,0)*VLOOKUP('Données projet'!$B$10,Paramètres!$A$1:$I$89,5,0)</f>
        <v>91.103999999999999</v>
      </c>
      <c r="AK24" s="13">
        <f t="shared" si="35"/>
        <v>24.831293984707884</v>
      </c>
      <c r="AL24" s="20">
        <f t="shared" si="4"/>
        <v>201.92063702336623</v>
      </c>
      <c r="AM24" s="59">
        <f t="shared" si="5"/>
        <v>484.25397035669954</v>
      </c>
      <c r="AN24" s="59">
        <f ca="1">AVERAGE(OFFSET($AM$3,0,0,'Données projet'!$E$10+1,1))-AVERAGE(OFFSET($H$3,0,0,'Données projet'!$E$10+1,1))</f>
        <v>179.4725256147085</v>
      </c>
      <c r="AO24" s="59">
        <f t="shared" si="36"/>
        <v>282.16750121151176</v>
      </c>
      <c r="AP24" s="15">
        <f>IF(ISNA(VLOOKUP(A24,'Données projet'!$A$61:$I$81,3,0)),0,VLOOKUP(A24,'Données projet'!$A$61:$I$81,3,0))</f>
        <v>2</v>
      </c>
      <c r="AQ24" s="15">
        <f>IF(ISNA(VLOOKUP(A24,'Données projet'!$A$61:$I$81,4,0)),0,VLOOKUP(A24,'Données projet'!$A$61:$I$81,4,0))</f>
        <v>26</v>
      </c>
      <c r="AR24" s="16">
        <f>IF(ISNA(VLOOKUP(A24,'Données projet'!$A$61:$I$81,5,0)),0%,VLOOKUP(A24,'Données projet'!$A$61:$I$81,5,0)*VLOOKUP('Données projet'!$B$10,Paramètres!$A$1:$I$89,7,0))</f>
        <v>0.15</v>
      </c>
      <c r="AS24" s="16">
        <f>IF(ISNA(VLOOKUP(A24,'Données projet'!$A$61:$I$81,6,0)),0%,VLOOKUP(A24,'Données projet'!$A$61:$I$81,6,0)*VLOOKUP('Données projet'!$B$10,Paramètres!$A$1:$I$89,7,0))</f>
        <v>0.222</v>
      </c>
      <c r="AT24" s="16">
        <f>IF(ISNA(VLOOKUP(A24,'Données projet'!$A$61:$I$81,7,0)),0%,VLOOKUP(A24,'Données projet'!$A$61:$I$81,7,0))</f>
        <v>0.38</v>
      </c>
      <c r="AU24" s="21">
        <f>EXP(-LN(2)/35)*AU23+(1-EXP(-LN(2)/35))/(LN(2)/35)*AQ24*AR24*VLOOKUP('Données projet'!$B$10,Paramètres!$A$1:$I$89,3,0)*0.475*44/12</f>
        <v>5.5684122426211715</v>
      </c>
      <c r="AV24" s="21">
        <f>EXP(-LN(2)/25)*AV23+(1-EXP(-LN(2)/25))/(LN(2)/25)*Calculateur!AQ24*Calculateur!AS24*VLOOKUP('Données projet'!$B$10,Paramètres!$A$1:$I$89,3,0)*0.475*44/12</f>
        <v>8.1277856326430964</v>
      </c>
      <c r="AW24" s="21">
        <f>EXP(-LN(2)/2)*AW23+(1-EXP(-LN(2)/2))/(LN(2)/2)*AQ24*AT24*VLOOKUP('Données projet'!$B$10,Paramètres!$A$1:$I$89,3,0)*0.475*44/12</f>
        <v>8.8787523641276671</v>
      </c>
      <c r="AX24" s="21">
        <f t="shared" si="6"/>
        <v>22.574950239391935</v>
      </c>
      <c r="AY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5.3214035087719296</v>
      </c>
      <c r="BD24" s="12">
        <f>IF('Données projet'!$A$88&gt;35,BD23+BC24-BL23,IF(A24&lt;'Données projet'!$A$88,$BA$205^A24,IF(A24='Données projet'!$A$88,'Données projet'!$B$88,BD23+BC24-BL23)))</f>
        <v>111.74947368421059</v>
      </c>
      <c r="BE24" s="13">
        <f>BD24*VLOOKUP('Données projet'!$B$11,Paramètres!$A$1:$I$89,3,0)*VLOOKUP('Données projet'!$B$11,Paramètres!$A$1:$I$89,5,0)</f>
        <v>95.881048421052697</v>
      </c>
      <c r="BF24" s="13">
        <f t="shared" si="37"/>
        <v>25.978324908209359</v>
      </c>
      <c r="BG24" s="20">
        <f t="shared" si="7"/>
        <v>212.23840854846472</v>
      </c>
      <c r="BH24" s="59">
        <f t="shared" si="8"/>
        <v>494.57174188179806</v>
      </c>
      <c r="BI24" s="59">
        <f ca="1">AVERAGE(OFFSET($BH$3,0,0,'Données projet'!$E$11+1,1))-AVERAGE(OFFSET($H$3,0,0,'Données projet'!$E$11+1,1))</f>
        <v>312.89478437044261</v>
      </c>
      <c r="BJ24" s="59">
        <f t="shared" si="38"/>
        <v>276.16555507854571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>
        <f>EXP(-LN(2)/35)*BP23+(1-EXP(-LN(2)/35))/(LN(2)/35)*BL24*BM24*VLOOKUP('Données projet'!$B$11,Paramètres!$A$1:$I$89,3,0)*0.475*44/12</f>
        <v>0</v>
      </c>
      <c r="BQ24" s="21">
        <f>EXP(-LN(2)/25)*BQ23+(1-EXP(-LN(2)/25))/(LN(2)/25)*Calculateur!BL24*Calculateur!BN24*VLOOKUP('Données projet'!$B$11,Paramètres!$A$1:$I$89,3,0)*0.475*44/12</f>
        <v>0</v>
      </c>
      <c r="BR24" s="21">
        <f>EXP(-LN(2)/2)*BR23+(1-EXP(-LN(2)/2))/(LN(2)/2)*BL24*BO24*VLOOKUP('Données projet'!$B$11,Paramètres!$A$1:$I$89,3,0)*0.475*44/12</f>
        <v>0</v>
      </c>
      <c r="BS24" s="22">
        <f t="shared" si="9"/>
        <v>0</v>
      </c>
      <c r="BT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0</v>
      </c>
      <c r="BY24" s="12">
        <f>IF('Données projet'!$A$114&gt;35,BY23+BX24-CG23,IF(A24&lt;'Données projet'!$A$114,$BV$205^A24,IF(A24='Données projet'!$A$114,'Données projet'!$B$114,BY23+BX24-CG23)))</f>
        <v>0</v>
      </c>
      <c r="BZ24" s="13" t="e">
        <f>BY24*VLOOKUP('Données projet'!$B$12,Paramètres!$A$1:$I$89,3,0)*VLOOKUP('Données projet'!$B$12,Paramètres!$A$1:$I$89,5,0)</f>
        <v>#N/A</v>
      </c>
      <c r="CA24" s="13" t="e">
        <f t="shared" si="39"/>
        <v>#N/A</v>
      </c>
      <c r="CB24" s="20" t="e">
        <f t="shared" si="10"/>
        <v>#N/A</v>
      </c>
      <c r="CC24" s="59" t="e">
        <f t="shared" si="11"/>
        <v>#N/A</v>
      </c>
      <c r="CD24" s="59" t="e">
        <f ca="1">AVERAGE(OFFSET($CC$3,0,0,'Données projet'!$E$12+1,1))-AVERAGE(OFFSET($H$3,0,0,'Données projet'!$E$12+1,1))</f>
        <v>#N/A</v>
      </c>
      <c r="CE24" s="59" t="e">
        <f t="shared" si="40"/>
        <v>#N/A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 t="e">
        <f>EXP(-LN(2)/35)*CK23+(1-EXP(-LN(2)/35))/(LN(2)/35)*CG24*CH24*VLOOKUP('Données projet'!$B$12,Paramètres!$A$1:$I$89,3,0)*0.475*44/12</f>
        <v>#N/A</v>
      </c>
      <c r="CL24" s="21" t="e">
        <f>EXP(-LN(2)/25)*CL23+(1-EXP(-LN(2)/25))/(LN(2)/25)*Calculateur!CG24*Calculateur!CI24*VLOOKUP('Données projet'!$B$12,Paramètres!$A$1:$I$89,3,0)*0.475*44/12</f>
        <v>#N/A</v>
      </c>
      <c r="CM24" s="21" t="e">
        <f>EXP(-LN(2)/2)*CM23+(1-EXP(-LN(2)/2))/(LN(2)/2)*CG24*CJ24*VLOOKUP('Données projet'!$B$12,Paramètres!$A$1:$I$89,3,0)*0.475*44/12</f>
        <v>#N/A</v>
      </c>
      <c r="CN24" s="22" t="e">
        <f t="shared" si="12"/>
        <v>#N/A</v>
      </c>
      <c r="CO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0</v>
      </c>
      <c r="CT24" s="12">
        <f>IF('Données projet'!$A$140&gt;35,CT23+CS24-DB23,IF(A24&lt;'Données projet'!$A$140,$CQ$205^A24,IF(A24='Données projet'!$A$140,'Données projet'!$B$140,CT23+CS24-DB23)))</f>
        <v>0</v>
      </c>
      <c r="CU24" s="17" t="e">
        <f>CT24*VLOOKUP('Données projet'!$B$13,Paramètres!$A$1:$I$89,3,0)*VLOOKUP('Données projet'!$B$13,Paramètres!$A$1:$I$89,5,0)</f>
        <v>#N/A</v>
      </c>
      <c r="CV24" s="13" t="e">
        <f t="shared" si="41"/>
        <v>#N/A</v>
      </c>
      <c r="CW24" s="20" t="e">
        <f t="shared" si="13"/>
        <v>#N/A</v>
      </c>
      <c r="CX24" s="59" t="e">
        <f t="shared" si="14"/>
        <v>#N/A</v>
      </c>
      <c r="CY24" s="59" t="e">
        <f ca="1">AVERAGE(OFFSET($CX$3,0,0,'Données projet'!$E$13+1,1))-AVERAGE(OFFSET($H$3,0,0,'Données projet'!$E$13+1,1))</f>
        <v>#N/A</v>
      </c>
      <c r="CZ24" s="59" t="e">
        <f t="shared" si="42"/>
        <v>#N/A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 t="e">
        <f>EXP(-LN(2)/35)*DF23+(1-EXP(-LN(2)/35))/(LN(2)/35)*DB24*DC24*VLOOKUP('Données projet'!$B$13,Paramètres!$A$1:$I$89,3,0)*0.475*44/12</f>
        <v>#N/A</v>
      </c>
      <c r="DG24" s="21" t="e">
        <f>EXP(-LN(2)/25)*DG23+(1-EXP(-LN(2)/25))/(LN(2)/25)*Calculateur!DB24*Calculateur!DD24*VLOOKUP('Données projet'!$B$13,Paramètres!$A$1:$I$89,3,0)*0.475*44/12</f>
        <v>#N/A</v>
      </c>
      <c r="DH24" s="21" t="e">
        <f>EXP(-LN(2)/2)*DH23+(1-EXP(-LN(2)/2))/(LN(2)/2)*DB24*DE24*VLOOKUP('Données projet'!$B$13,Paramètres!$A$1:$I$89,3,0)*0.475*44/12</f>
        <v>#N/A</v>
      </c>
      <c r="DI24" s="22" t="e">
        <f t="shared" si="15"/>
        <v>#N/A</v>
      </c>
      <c r="DJ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0</v>
      </c>
      <c r="DO24" s="12">
        <f>IF('Données projet'!$A$166&gt;35,DO23+DN24-DW23,IF(A24&lt;'Données projet'!$A$166,$DL$205^A24,IF(A24='Données projet'!$A$166,'Données projet'!$B$166,DO23+DN24-DW23)))</f>
        <v>0</v>
      </c>
      <c r="DP24" s="17" t="e">
        <f>DO24*VLOOKUP('Données projet'!$B$14,Paramètres!$A$1:$I$89,3,0)*VLOOKUP('Données projet'!$B$14,Paramètres!$A$1:$I$89,5,0)</f>
        <v>#N/A</v>
      </c>
      <c r="DQ24" s="13" t="e">
        <f t="shared" si="43"/>
        <v>#N/A</v>
      </c>
      <c r="DR24" s="20" t="e">
        <f t="shared" si="16"/>
        <v>#N/A</v>
      </c>
      <c r="DS24" s="59" t="e">
        <f t="shared" si="17"/>
        <v>#N/A</v>
      </c>
      <c r="DT24" s="59" t="e">
        <f ca="1">AVERAGE(OFFSET($DS$3,0,0,'Données projet'!$E$14+1,1))-AVERAGE(OFFSET($H$3,0,0,'Données projet'!$E$14+1,1))</f>
        <v>#N/A</v>
      </c>
      <c r="DU24" s="59" t="e">
        <f t="shared" si="44"/>
        <v>#N/A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 t="e">
        <f>EXP(-LN(2)/35)*EA23+(1-EXP(-LN(2)/35))/(LN(2)/35)*DW24*DX24*VLOOKUP('Données projet'!$B$14,Paramètres!$A$1:$I$89,3,0)*0.475*44/12</f>
        <v>#N/A</v>
      </c>
      <c r="EB24" s="21" t="e">
        <f>EXP(-LN(2)/25)*EB23+(1-EXP(-LN(2)/25))/(LN(2)/25)*Calculateur!DW24*Calculateur!DY24*VLOOKUP('Données projet'!$B$14,Paramètres!$A$1:$I$89,3,0)*0.475*44/12</f>
        <v>#N/A</v>
      </c>
      <c r="EC24" s="21" t="e">
        <f>EXP(-LN(2)/2)*EC23+(1-EXP(-LN(2)/2))/(LN(2)/2)*DW24*DZ24*VLOOKUP('Données projet'!$B$14,Paramètres!$A$1:$I$89,3,0)*0.475*44/12</f>
        <v>#N/A</v>
      </c>
      <c r="ED24" s="22" t="e">
        <f t="shared" si="18"/>
        <v>#N/A</v>
      </c>
      <c r="EE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0</v>
      </c>
      <c r="EJ24" s="12">
        <f>IF('Données projet'!$A$192&gt;35,EJ23+EI24-ER23,IF(A24&lt;'Données projet'!$A$192,$EG$205^A24,IF(A24='Données projet'!$A$192,'Données projet'!$B$192,EJ23+EI24-ER23)))</f>
        <v>0</v>
      </c>
      <c r="EK24" s="17" t="e">
        <f>EJ24*VLOOKUP('Données projet'!$B$15,Paramètres!$A$1:$I$89,3,0)*VLOOKUP('Données projet'!$B$15,Paramètres!$A$1:$I$89,5,0)</f>
        <v>#N/A</v>
      </c>
      <c r="EL24" s="13" t="e">
        <f t="shared" si="45"/>
        <v>#N/A</v>
      </c>
      <c r="EM24" s="20" t="e">
        <f t="shared" si="19"/>
        <v>#N/A</v>
      </c>
      <c r="EN24" s="59" t="e">
        <f t="shared" si="20"/>
        <v>#N/A</v>
      </c>
      <c r="EO24" s="59" t="e">
        <f ca="1">AVERAGE(OFFSET($EN$3,0,0,'Données projet'!$E$15+1,1))-AVERAGE(OFFSET($H$3,0,0,'Données projet'!$E$15+1,1))</f>
        <v>#N/A</v>
      </c>
      <c r="EP24" s="59" t="e">
        <f t="shared" si="46"/>
        <v>#N/A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 t="e">
        <f>EXP(-LN(2)/35)*EV23+(1-EXP(-LN(2)/35))/(LN(2)/35)*ER24*ES24*VLOOKUP('Données projet'!$B$15,Paramètres!$A$1:$I$89,3,0)*0.475*44/12</f>
        <v>#N/A</v>
      </c>
      <c r="EW24" s="21" t="e">
        <f>EXP(-LN(2)/25)*EW23+(1-EXP(-LN(2)/25))/(LN(2)/25)*Calculateur!ER24*Calculateur!ET24*VLOOKUP('Données projet'!$B$15,Paramètres!$A$1:$I$89,3,0)*0.475*44/12</f>
        <v>#N/A</v>
      </c>
      <c r="EX24" s="21" t="e">
        <f>EXP(-LN(2)/2)*EX23+(1-EXP(-LN(2)/2))/(LN(2)/2)*ER24*EU24*VLOOKUP('Données projet'!$B$15,Paramètres!$A$1:$I$89,3,0)*0.475*44/12</f>
        <v>#N/A</v>
      </c>
      <c r="EY24" s="22" t="e">
        <f t="shared" si="21"/>
        <v>#N/A</v>
      </c>
      <c r="EZ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45">
      <c r="A25" s="10">
        <f t="shared" si="31"/>
        <v>22</v>
      </c>
      <c r="B25" s="73">
        <f>'Scénario référence'!$B$16*5+'Scénario référence'!$B$17*0+'Scénario référence'!$B$18*5</f>
        <v>0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19.5624</v>
      </c>
      <c r="D25" s="11">
        <f t="shared" si="32"/>
        <v>6.3775322468881095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">
        <f>IF(OR('Scénario référence'!$F$8&gt;0,'Scénario référence'!$F$9&gt;0),('Scénario référence'!$F$8+'Scénario référence'!$F$9)*10,0)</f>
        <v>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200.23807348475032</v>
      </c>
      <c r="H25" s="67">
        <f t="shared" si="1"/>
        <v>301.84538199666349</v>
      </c>
      <c r="I25" s="7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8.1011764705882356</v>
      </c>
      <c r="N25" s="13">
        <f>IF('Données projet'!$A$36&gt;35,N24+M25-V24,IF(A25&lt;'Données projet'!$A$36,$K$205^A25,IF(A25='Données projet'!$A$36,'Données projet'!$B$36,N24+M25-V24)))</f>
        <v>37.917614446997689</v>
      </c>
      <c r="O25" s="13">
        <f>N25*VLOOKUP('Données projet'!$B$9,Paramètres!$A$1:$I$89,3,0)*VLOOKUP('Données projet'!$B$9,Paramètres!$A$1:$I$89,5,0)</f>
        <v>21.195946475871708</v>
      </c>
      <c r="P25" s="13">
        <f t="shared" si="33"/>
        <v>6.8458763626470418</v>
      </c>
      <c r="Q25" s="20">
        <f t="shared" si="2"/>
        <v>48.839508110420148</v>
      </c>
      <c r="R25" s="59">
        <f t="shared" si="0"/>
        <v>332.39506366597567</v>
      </c>
      <c r="S25" s="59">
        <f ca="1">AVERAGE(OFFSET($R$3,0,0,'Données projet'!$E$9+1,1))-AVERAGE(OFFSET($H$3,0,0,'Données projet'!$E$9+1,1))</f>
        <v>280.69347314340195</v>
      </c>
      <c r="T25" s="59">
        <f t="shared" si="34"/>
        <v>152.40533828556482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0</v>
      </c>
      <c r="AA25" s="21">
        <f>EXP(-LN(2)/25)*AA24+(1-EXP(-LN(2)/25))/(LN(2)/25)*Calculateur!V25*Calculateur!X25*VLOOKUP('Données projet'!$B$9,Paramètres!$A$1:$I$89,3,0)*0.475*44/12</f>
        <v>0</v>
      </c>
      <c r="AB25" s="21">
        <f>EXP(-LN(2)/2)*AB24+(1-EXP(-LN(2)/2))/(LN(2)/2)*V25*Y25*VLOOKUP('Données projet'!$B$9,Paramètres!$A$1:$I$89,3,0)*0.475*44/12</f>
        <v>0</v>
      </c>
      <c r="AC25" s="22">
        <f t="shared" si="3"/>
        <v>0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16</v>
      </c>
      <c r="AI25" s="13">
        <f>IF('Données projet'!$A$62&gt;35,AI24+AH25-AQ24,IF(A25&lt;'Données projet'!$A$62,$AF$205^A25,IF(A25='Données projet'!$A$62,'Données projet'!$B$62,AI24+AH25-AQ24)))</f>
        <v>136</v>
      </c>
      <c r="AJ25" s="13">
        <f>AI25*VLOOKUP('Données projet'!$B$10,Paramètres!$A$1:$I$89,3,0)*VLOOKUP('Données projet'!$B$10,Paramètres!$A$1:$I$89,5,0)</f>
        <v>84.864000000000004</v>
      </c>
      <c r="AK25" s="13">
        <f t="shared" si="35"/>
        <v>23.322341364766192</v>
      </c>
      <c r="AL25" s="20">
        <f t="shared" si="4"/>
        <v>188.42454454363443</v>
      </c>
      <c r="AM25" s="59">
        <f t="shared" si="5"/>
        <v>471.98010009918994</v>
      </c>
      <c r="AN25" s="59">
        <f ca="1">AVERAGE(OFFSET($AM$3,0,0,'Données projet'!$E$10+1,1))-AVERAGE(OFFSET($H$3,0,0,'Données projet'!$E$10+1,1))</f>
        <v>179.4725256147085</v>
      </c>
      <c r="AO25" s="59">
        <f t="shared" si="36"/>
        <v>282.16750121151176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5.4592190749394724</v>
      </c>
      <c r="AV25" s="21">
        <f>EXP(-LN(2)/25)*AV24+(1-EXP(-LN(2)/25))/(LN(2)/25)*Calculateur!AQ25*Calculateur!AS25*VLOOKUP('Données projet'!$B$10,Paramètres!$A$1:$I$89,3,0)*0.475*44/12</f>
        <v>7.905530907096801</v>
      </c>
      <c r="AW25" s="21">
        <f>EXP(-LN(2)/2)*AW24+(1-EXP(-LN(2)/2))/(LN(2)/2)*AQ25*AT25*VLOOKUP('Données projet'!$B$10,Paramètres!$A$1:$I$89,3,0)*0.475*44/12</f>
        <v>6.2782260051507643</v>
      </c>
      <c r="AX25" s="21">
        <f t="shared" si="6"/>
        <v>19.642975987187036</v>
      </c>
      <c r="AY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5.3214035087719296</v>
      </c>
      <c r="BD25" s="12">
        <f>IF('Données projet'!$A$88&gt;35,BD24+BC25-BL24,IF(A25&lt;'Données projet'!$A$88,$BA$205^A25,IF(A25='Données projet'!$A$88,'Données projet'!$B$88,BD24+BC25-BL24)))</f>
        <v>117.07087719298252</v>
      </c>
      <c r="BE25" s="13">
        <f>BD25*VLOOKUP('Données projet'!$B$11,Paramètres!$A$1:$I$89,3,0)*VLOOKUP('Données projet'!$B$11,Paramètres!$A$1:$I$89,5,0)</f>
        <v>100.44681263157902</v>
      </c>
      <c r="BF25" s="13">
        <f t="shared" si="37"/>
        <v>27.068416861355463</v>
      </c>
      <c r="BG25" s="20">
        <f t="shared" si="7"/>
        <v>222.08902470019424</v>
      </c>
      <c r="BH25" s="59">
        <f t="shared" si="8"/>
        <v>505.64458025574982</v>
      </c>
      <c r="BI25" s="59">
        <f ca="1">AVERAGE(OFFSET($BH$3,0,0,'Données projet'!$E$11+1,1))-AVERAGE(OFFSET($H$3,0,0,'Données projet'!$E$11+1,1))</f>
        <v>312.89478437044261</v>
      </c>
      <c r="BJ25" s="59">
        <f t="shared" si="38"/>
        <v>276.16555507854571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>
        <f>EXP(-LN(2)/35)*BP24+(1-EXP(-LN(2)/35))/(LN(2)/35)*BL25*BM25*VLOOKUP('Données projet'!$B$11,Paramètres!$A$1:$I$89,3,0)*0.475*44/12</f>
        <v>0</v>
      </c>
      <c r="BQ25" s="21">
        <f>EXP(-LN(2)/25)*BQ24+(1-EXP(-LN(2)/25))/(LN(2)/25)*Calculateur!BL25*Calculateur!BN25*VLOOKUP('Données projet'!$B$11,Paramètres!$A$1:$I$89,3,0)*0.475*44/12</f>
        <v>0</v>
      </c>
      <c r="BR25" s="21">
        <f>EXP(-LN(2)/2)*BR24+(1-EXP(-LN(2)/2))/(LN(2)/2)*BL25*BO25*VLOOKUP('Données projet'!$B$11,Paramètres!$A$1:$I$89,3,0)*0.475*44/12</f>
        <v>0</v>
      </c>
      <c r="BS25" s="22">
        <f t="shared" si="9"/>
        <v>0</v>
      </c>
      <c r="BT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0</v>
      </c>
      <c r="BY25" s="12">
        <f>IF('Données projet'!$A$114&gt;35,BY24+BX25-CG24,IF(A25&lt;'Données projet'!$A$114,$BV$205^A25,IF(A25='Données projet'!$A$114,'Données projet'!$B$114,BY24+BX25-CG24)))</f>
        <v>0</v>
      </c>
      <c r="BZ25" s="13" t="e">
        <f>BY25*VLOOKUP('Données projet'!$B$12,Paramètres!$A$1:$I$89,3,0)*VLOOKUP('Données projet'!$B$12,Paramètres!$A$1:$I$89,5,0)</f>
        <v>#N/A</v>
      </c>
      <c r="CA25" s="13" t="e">
        <f t="shared" si="39"/>
        <v>#N/A</v>
      </c>
      <c r="CB25" s="20" t="e">
        <f t="shared" si="10"/>
        <v>#N/A</v>
      </c>
      <c r="CC25" s="59" t="e">
        <f t="shared" si="11"/>
        <v>#N/A</v>
      </c>
      <c r="CD25" s="59" t="e">
        <f ca="1">AVERAGE(OFFSET($CC$3,0,0,'Données projet'!$E$12+1,1))-AVERAGE(OFFSET($H$3,0,0,'Données projet'!$E$12+1,1))</f>
        <v>#N/A</v>
      </c>
      <c r="CE25" s="59" t="e">
        <f t="shared" si="40"/>
        <v>#N/A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 t="e">
        <f>EXP(-LN(2)/35)*CK24+(1-EXP(-LN(2)/35))/(LN(2)/35)*CG25*CH25*VLOOKUP('Données projet'!$B$12,Paramètres!$A$1:$I$89,3,0)*0.475*44/12</f>
        <v>#N/A</v>
      </c>
      <c r="CL25" s="21" t="e">
        <f>EXP(-LN(2)/25)*CL24+(1-EXP(-LN(2)/25))/(LN(2)/25)*Calculateur!CG25*Calculateur!CI25*VLOOKUP('Données projet'!$B$12,Paramètres!$A$1:$I$89,3,0)*0.475*44/12</f>
        <v>#N/A</v>
      </c>
      <c r="CM25" s="21" t="e">
        <f>EXP(-LN(2)/2)*CM24+(1-EXP(-LN(2)/2))/(LN(2)/2)*CG25*CJ25*VLOOKUP('Données projet'!$B$12,Paramètres!$A$1:$I$89,3,0)*0.475*44/12</f>
        <v>#N/A</v>
      </c>
      <c r="CN25" s="22" t="e">
        <f t="shared" si="12"/>
        <v>#N/A</v>
      </c>
      <c r="CO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0</v>
      </c>
      <c r="CT25" s="12">
        <f>IF('Données projet'!$A$140&gt;35,CT24+CS25-DB24,IF(A25&lt;'Données projet'!$A$140,$CQ$205^A25,IF(A25='Données projet'!$A$140,'Données projet'!$B$140,CT24+CS25-DB24)))</f>
        <v>0</v>
      </c>
      <c r="CU25" s="17" t="e">
        <f>CT25*VLOOKUP('Données projet'!$B$13,Paramètres!$A$1:$I$89,3,0)*VLOOKUP('Données projet'!$B$13,Paramètres!$A$1:$I$89,5,0)</f>
        <v>#N/A</v>
      </c>
      <c r="CV25" s="13" t="e">
        <f t="shared" si="41"/>
        <v>#N/A</v>
      </c>
      <c r="CW25" s="20" t="e">
        <f t="shared" si="13"/>
        <v>#N/A</v>
      </c>
      <c r="CX25" s="59" t="e">
        <f t="shared" si="14"/>
        <v>#N/A</v>
      </c>
      <c r="CY25" s="59" t="e">
        <f ca="1">AVERAGE(OFFSET($CX$3,0,0,'Données projet'!$E$13+1,1))-AVERAGE(OFFSET($H$3,0,0,'Données projet'!$E$13+1,1))</f>
        <v>#N/A</v>
      </c>
      <c r="CZ25" s="59" t="e">
        <f t="shared" si="42"/>
        <v>#N/A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 t="e">
        <f>EXP(-LN(2)/35)*DF24+(1-EXP(-LN(2)/35))/(LN(2)/35)*DB25*DC25*VLOOKUP('Données projet'!$B$13,Paramètres!$A$1:$I$89,3,0)*0.475*44/12</f>
        <v>#N/A</v>
      </c>
      <c r="DG25" s="21" t="e">
        <f>EXP(-LN(2)/25)*DG24+(1-EXP(-LN(2)/25))/(LN(2)/25)*Calculateur!DB25*Calculateur!DD25*VLOOKUP('Données projet'!$B$13,Paramètres!$A$1:$I$89,3,0)*0.475*44/12</f>
        <v>#N/A</v>
      </c>
      <c r="DH25" s="21" t="e">
        <f>EXP(-LN(2)/2)*DH24+(1-EXP(-LN(2)/2))/(LN(2)/2)*DB25*DE25*VLOOKUP('Données projet'!$B$13,Paramètres!$A$1:$I$89,3,0)*0.475*44/12</f>
        <v>#N/A</v>
      </c>
      <c r="DI25" s="22" t="e">
        <f t="shared" si="15"/>
        <v>#N/A</v>
      </c>
      <c r="DJ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0</v>
      </c>
      <c r="DO25" s="12">
        <f>IF('Données projet'!$A$166&gt;35,DO24+DN25-DW24,IF(A25&lt;'Données projet'!$A$166,$DL$205^A25,IF(A25='Données projet'!$A$166,'Données projet'!$B$166,DO24+DN25-DW24)))</f>
        <v>0</v>
      </c>
      <c r="DP25" s="17" t="e">
        <f>DO25*VLOOKUP('Données projet'!$B$14,Paramètres!$A$1:$I$89,3,0)*VLOOKUP('Données projet'!$B$14,Paramètres!$A$1:$I$89,5,0)</f>
        <v>#N/A</v>
      </c>
      <c r="DQ25" s="13" t="e">
        <f t="shared" si="43"/>
        <v>#N/A</v>
      </c>
      <c r="DR25" s="20" t="e">
        <f t="shared" si="16"/>
        <v>#N/A</v>
      </c>
      <c r="DS25" s="59" t="e">
        <f t="shared" si="17"/>
        <v>#N/A</v>
      </c>
      <c r="DT25" s="59" t="e">
        <f ca="1">AVERAGE(OFFSET($DS$3,0,0,'Données projet'!$E$14+1,1))-AVERAGE(OFFSET($H$3,0,0,'Données projet'!$E$14+1,1))</f>
        <v>#N/A</v>
      </c>
      <c r="DU25" s="59" t="e">
        <f t="shared" si="44"/>
        <v>#N/A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 t="e">
        <f>EXP(-LN(2)/35)*EA24+(1-EXP(-LN(2)/35))/(LN(2)/35)*DW25*DX25*VLOOKUP('Données projet'!$B$14,Paramètres!$A$1:$I$89,3,0)*0.475*44/12</f>
        <v>#N/A</v>
      </c>
      <c r="EB25" s="21" t="e">
        <f>EXP(-LN(2)/25)*EB24+(1-EXP(-LN(2)/25))/(LN(2)/25)*Calculateur!DW25*Calculateur!DY25*VLOOKUP('Données projet'!$B$14,Paramètres!$A$1:$I$89,3,0)*0.475*44/12</f>
        <v>#N/A</v>
      </c>
      <c r="EC25" s="21" t="e">
        <f>EXP(-LN(2)/2)*EC24+(1-EXP(-LN(2)/2))/(LN(2)/2)*DW25*DZ25*VLOOKUP('Données projet'!$B$14,Paramètres!$A$1:$I$89,3,0)*0.475*44/12</f>
        <v>#N/A</v>
      </c>
      <c r="ED25" s="22" t="e">
        <f t="shared" si="18"/>
        <v>#N/A</v>
      </c>
      <c r="EE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0</v>
      </c>
      <c r="EJ25" s="12">
        <f>IF('Données projet'!$A$192&gt;35,EJ24+EI25-ER24,IF(A25&lt;'Données projet'!$A$192,$EG$205^A25,IF(A25='Données projet'!$A$192,'Données projet'!$B$192,EJ24+EI25-ER24)))</f>
        <v>0</v>
      </c>
      <c r="EK25" s="17" t="e">
        <f>EJ25*VLOOKUP('Données projet'!$B$15,Paramètres!$A$1:$I$89,3,0)*VLOOKUP('Données projet'!$B$15,Paramètres!$A$1:$I$89,5,0)</f>
        <v>#N/A</v>
      </c>
      <c r="EL25" s="13" t="e">
        <f t="shared" si="45"/>
        <v>#N/A</v>
      </c>
      <c r="EM25" s="20" t="e">
        <f t="shared" si="19"/>
        <v>#N/A</v>
      </c>
      <c r="EN25" s="59" t="e">
        <f t="shared" si="20"/>
        <v>#N/A</v>
      </c>
      <c r="EO25" s="59" t="e">
        <f ca="1">AVERAGE(OFFSET($EN$3,0,0,'Données projet'!$E$15+1,1))-AVERAGE(OFFSET($H$3,0,0,'Données projet'!$E$15+1,1))</f>
        <v>#N/A</v>
      </c>
      <c r="EP25" s="59" t="e">
        <f t="shared" si="46"/>
        <v>#N/A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 t="e">
        <f>EXP(-LN(2)/35)*EV24+(1-EXP(-LN(2)/35))/(LN(2)/35)*ER25*ES25*VLOOKUP('Données projet'!$B$15,Paramètres!$A$1:$I$89,3,0)*0.475*44/12</f>
        <v>#N/A</v>
      </c>
      <c r="EW25" s="21" t="e">
        <f>EXP(-LN(2)/25)*EW24+(1-EXP(-LN(2)/25))/(LN(2)/25)*Calculateur!ER25*Calculateur!ET25*VLOOKUP('Données projet'!$B$15,Paramètres!$A$1:$I$89,3,0)*0.475*44/12</f>
        <v>#N/A</v>
      </c>
      <c r="EX25" s="21" t="e">
        <f>EXP(-LN(2)/2)*EX24+(1-EXP(-LN(2)/2))/(LN(2)/2)*ER25*EU25*VLOOKUP('Données projet'!$B$15,Paramètres!$A$1:$I$89,3,0)*0.475*44/12</f>
        <v>#N/A</v>
      </c>
      <c r="EY25" s="22" t="e">
        <f t="shared" si="21"/>
        <v>#N/A</v>
      </c>
      <c r="EZ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45">
      <c r="A26" s="10">
        <f t="shared" si="31"/>
        <v>23</v>
      </c>
      <c r="B26" s="73">
        <f>'Scénario référence'!$B$16*5+'Scénario référence'!$B$17*0+'Scénario référence'!$B$18*5</f>
        <v>0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20.451599999999999</v>
      </c>
      <c r="D26" s="11">
        <f t="shared" si="32"/>
        <v>6.6330107072474558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">
        <f>IF(OR('Scénario référence'!$F$8&gt;0,'Scénario référence'!$F$9&gt;0),('Scénario référence'!$F$8+'Scénario référence'!$F$9)*10,0)</f>
        <v>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209.07418791559442</v>
      </c>
      <c r="H26" s="67">
        <f t="shared" si="1"/>
        <v>303.83903031512267</v>
      </c>
      <c r="I26" s="7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8.1011764705882356</v>
      </c>
      <c r="N26" s="13">
        <f>IF('Données projet'!$A$36&gt;35,N25+M26-V25,IF(A26&lt;'Données projet'!$A$36,$K$205^A26,IF(A26='Données projet'!$A$36,'Données projet'!$B$36,N25+M26-V25)))</f>
        <v>44.730783629858735</v>
      </c>
      <c r="O26" s="13">
        <f>N26*VLOOKUP('Données projet'!$B$9,Paramètres!$A$1:$I$89,3,0)*VLOOKUP('Données projet'!$B$9,Paramètres!$A$1:$I$89,5,0)</f>
        <v>25.004508049091033</v>
      </c>
      <c r="P26" s="13">
        <f t="shared" si="33"/>
        <v>7.9221132677994763</v>
      </c>
      <c r="Q26" s="20">
        <f t="shared" si="2"/>
        <v>57.347198793584305</v>
      </c>
      <c r="R26" s="59">
        <f t="shared" si="0"/>
        <v>342.12497657136208</v>
      </c>
      <c r="S26" s="59">
        <f ca="1">AVERAGE(OFFSET($R$3,0,0,'Données projet'!$E$9+1,1))-AVERAGE(OFFSET($H$3,0,0,'Données projet'!$E$9+1,1))</f>
        <v>280.69347314340195</v>
      </c>
      <c r="T26" s="59">
        <f t="shared" si="34"/>
        <v>152.40533828556482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0</v>
      </c>
      <c r="AA26" s="21">
        <f>EXP(-LN(2)/25)*AA25+(1-EXP(-LN(2)/25))/(LN(2)/25)*Calculateur!V26*Calculateur!X26*VLOOKUP('Données projet'!$B$9,Paramètres!$A$1:$I$89,3,0)*0.475*44/12</f>
        <v>0</v>
      </c>
      <c r="AB26" s="21">
        <f>EXP(-LN(2)/2)*AB25+(1-EXP(-LN(2)/2))/(LN(2)/2)*V26*Y26*VLOOKUP('Données projet'!$B$9,Paramètres!$A$1:$I$89,3,0)*0.475*44/12</f>
        <v>0</v>
      </c>
      <c r="AC26" s="22">
        <f t="shared" si="3"/>
        <v>0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16</v>
      </c>
      <c r="AI26" s="13">
        <f>IF('Données projet'!$A$62&gt;35,AI25+AH26-AQ25,IF(A26&lt;'Données projet'!$A$62,$AF$205^A26,IF(A26='Données projet'!$A$62,'Données projet'!$B$62,AI25+AH26-AQ25)))</f>
        <v>152</v>
      </c>
      <c r="AJ26" s="13">
        <f>AI26*VLOOKUP('Données projet'!$B$10,Paramètres!$A$1:$I$89,3,0)*VLOOKUP('Données projet'!$B$10,Paramètres!$A$1:$I$89,5,0)</f>
        <v>94.847999999999999</v>
      </c>
      <c r="AK26" s="13">
        <f t="shared" si="35"/>
        <v>25.730851751939202</v>
      </c>
      <c r="AL26" s="20">
        <f t="shared" si="4"/>
        <v>210.0081668012941</v>
      </c>
      <c r="AM26" s="59">
        <f t="shared" si="5"/>
        <v>494.78594457907184</v>
      </c>
      <c r="AN26" s="59">
        <f ca="1">AVERAGE(OFFSET($AM$3,0,0,'Données projet'!$E$10+1,1))-AVERAGE(OFFSET($H$3,0,0,'Données projet'!$E$10+1,1))</f>
        <v>179.4725256147085</v>
      </c>
      <c r="AO26" s="59">
        <f t="shared" si="36"/>
        <v>282.16750121151176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5.352167118674755</v>
      </c>
      <c r="AV26" s="21">
        <f>EXP(-LN(2)/25)*AV25+(1-EXP(-LN(2)/25))/(LN(2)/25)*Calculateur!AQ26*Calculateur!AS26*VLOOKUP('Données projet'!$B$10,Paramètres!$A$1:$I$89,3,0)*0.475*44/12</f>
        <v>7.6893537487084371</v>
      </c>
      <c r="AW26" s="21">
        <f>EXP(-LN(2)/2)*AW25+(1-EXP(-LN(2)/2))/(LN(2)/2)*AQ26*AT26*VLOOKUP('Données projet'!$B$10,Paramètres!$A$1:$I$89,3,0)*0.475*44/12</f>
        <v>4.4393761820638344</v>
      </c>
      <c r="AX26" s="21">
        <f t="shared" si="6"/>
        <v>17.480897049447027</v>
      </c>
      <c r="AY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5.3214035087719296</v>
      </c>
      <c r="BD26" s="12">
        <f>IF('Données projet'!$A$88&gt;35,BD25+BC26-BL25,IF(A26&lt;'Données projet'!$A$88,$BA$205^A26,IF(A26='Données projet'!$A$88,'Données projet'!$B$88,BD25+BC26-BL25)))</f>
        <v>122.39228070175446</v>
      </c>
      <c r="BE26" s="13">
        <f>BD26*VLOOKUP('Données projet'!$B$11,Paramètres!$A$1:$I$89,3,0)*VLOOKUP('Données projet'!$B$11,Paramètres!$A$1:$I$89,5,0)</f>
        <v>105.01257684210533</v>
      </c>
      <c r="BF26" s="13">
        <f t="shared" si="37"/>
        <v>28.152754375678239</v>
      </c>
      <c r="BG26" s="20">
        <f t="shared" si="7"/>
        <v>231.92961853763973</v>
      </c>
      <c r="BH26" s="59">
        <f t="shared" si="8"/>
        <v>516.70739631541755</v>
      </c>
      <c r="BI26" s="59">
        <f ca="1">AVERAGE(OFFSET($BH$3,0,0,'Données projet'!$E$11+1,1))-AVERAGE(OFFSET($H$3,0,0,'Données projet'!$E$11+1,1))</f>
        <v>312.89478437044261</v>
      </c>
      <c r="BJ26" s="59">
        <f t="shared" si="38"/>
        <v>276.16555507854571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>
        <f>EXP(-LN(2)/35)*BP25+(1-EXP(-LN(2)/35))/(LN(2)/35)*BL26*BM26*VLOOKUP('Données projet'!$B$11,Paramètres!$A$1:$I$89,3,0)*0.475*44/12</f>
        <v>0</v>
      </c>
      <c r="BQ26" s="21">
        <f>EXP(-LN(2)/25)*BQ25+(1-EXP(-LN(2)/25))/(LN(2)/25)*Calculateur!BL26*Calculateur!BN26*VLOOKUP('Données projet'!$B$11,Paramètres!$A$1:$I$89,3,0)*0.475*44/12</f>
        <v>0</v>
      </c>
      <c r="BR26" s="21">
        <f>EXP(-LN(2)/2)*BR25+(1-EXP(-LN(2)/2))/(LN(2)/2)*BL26*BO26*VLOOKUP('Données projet'!$B$11,Paramètres!$A$1:$I$89,3,0)*0.475*44/12</f>
        <v>0</v>
      </c>
      <c r="BS26" s="22">
        <f t="shared" si="9"/>
        <v>0</v>
      </c>
      <c r="BT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0</v>
      </c>
      <c r="BY26" s="12">
        <f>IF('Données projet'!$A$114&gt;35,BY25+BX26-CG25,IF(A26&lt;'Données projet'!$A$114,$BV$205^A26,IF(A26='Données projet'!$A$114,'Données projet'!$B$114,BY25+BX26-CG25)))</f>
        <v>0</v>
      </c>
      <c r="BZ26" s="13" t="e">
        <f>BY26*VLOOKUP('Données projet'!$B$12,Paramètres!$A$1:$I$89,3,0)*VLOOKUP('Données projet'!$B$12,Paramètres!$A$1:$I$89,5,0)</f>
        <v>#N/A</v>
      </c>
      <c r="CA26" s="13" t="e">
        <f t="shared" si="39"/>
        <v>#N/A</v>
      </c>
      <c r="CB26" s="20" t="e">
        <f t="shared" si="10"/>
        <v>#N/A</v>
      </c>
      <c r="CC26" s="59" t="e">
        <f t="shared" si="11"/>
        <v>#N/A</v>
      </c>
      <c r="CD26" s="59" t="e">
        <f ca="1">AVERAGE(OFFSET($CC$3,0,0,'Données projet'!$E$12+1,1))-AVERAGE(OFFSET($H$3,0,0,'Données projet'!$E$12+1,1))</f>
        <v>#N/A</v>
      </c>
      <c r="CE26" s="59" t="e">
        <f t="shared" si="40"/>
        <v>#N/A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 t="e">
        <f>EXP(-LN(2)/35)*CK25+(1-EXP(-LN(2)/35))/(LN(2)/35)*CG26*CH26*VLOOKUP('Données projet'!$B$12,Paramètres!$A$1:$I$89,3,0)*0.475*44/12</f>
        <v>#N/A</v>
      </c>
      <c r="CL26" s="21" t="e">
        <f>EXP(-LN(2)/25)*CL25+(1-EXP(-LN(2)/25))/(LN(2)/25)*Calculateur!CG26*Calculateur!CI26*VLOOKUP('Données projet'!$B$12,Paramètres!$A$1:$I$89,3,0)*0.475*44/12</f>
        <v>#N/A</v>
      </c>
      <c r="CM26" s="21" t="e">
        <f>EXP(-LN(2)/2)*CM25+(1-EXP(-LN(2)/2))/(LN(2)/2)*CG26*CJ26*VLOOKUP('Données projet'!$B$12,Paramètres!$A$1:$I$89,3,0)*0.475*44/12</f>
        <v>#N/A</v>
      </c>
      <c r="CN26" s="22" t="e">
        <f t="shared" si="12"/>
        <v>#N/A</v>
      </c>
      <c r="CO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0</v>
      </c>
      <c r="CT26" s="12">
        <f>IF('Données projet'!$A$140&gt;35,CT25+CS26-DB25,IF(A26&lt;'Données projet'!$A$140,$CQ$205^A26,IF(A26='Données projet'!$A$140,'Données projet'!$B$140,CT25+CS26-DB25)))</f>
        <v>0</v>
      </c>
      <c r="CU26" s="17" t="e">
        <f>CT26*VLOOKUP('Données projet'!$B$13,Paramètres!$A$1:$I$89,3,0)*VLOOKUP('Données projet'!$B$13,Paramètres!$A$1:$I$89,5,0)</f>
        <v>#N/A</v>
      </c>
      <c r="CV26" s="13" t="e">
        <f t="shared" si="41"/>
        <v>#N/A</v>
      </c>
      <c r="CW26" s="20" t="e">
        <f t="shared" si="13"/>
        <v>#N/A</v>
      </c>
      <c r="CX26" s="59" t="e">
        <f t="shared" si="14"/>
        <v>#N/A</v>
      </c>
      <c r="CY26" s="59" t="e">
        <f ca="1">AVERAGE(OFFSET($CX$3,0,0,'Données projet'!$E$13+1,1))-AVERAGE(OFFSET($H$3,0,0,'Données projet'!$E$13+1,1))</f>
        <v>#N/A</v>
      </c>
      <c r="CZ26" s="59" t="e">
        <f t="shared" si="42"/>
        <v>#N/A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 t="e">
        <f>EXP(-LN(2)/35)*DF25+(1-EXP(-LN(2)/35))/(LN(2)/35)*DB26*DC26*VLOOKUP('Données projet'!$B$13,Paramètres!$A$1:$I$89,3,0)*0.475*44/12</f>
        <v>#N/A</v>
      </c>
      <c r="DG26" s="21" t="e">
        <f>EXP(-LN(2)/25)*DG25+(1-EXP(-LN(2)/25))/(LN(2)/25)*Calculateur!DB26*Calculateur!DD26*VLOOKUP('Données projet'!$B$13,Paramètres!$A$1:$I$89,3,0)*0.475*44/12</f>
        <v>#N/A</v>
      </c>
      <c r="DH26" s="21" t="e">
        <f>EXP(-LN(2)/2)*DH25+(1-EXP(-LN(2)/2))/(LN(2)/2)*DB26*DE26*VLOOKUP('Données projet'!$B$13,Paramètres!$A$1:$I$89,3,0)*0.475*44/12</f>
        <v>#N/A</v>
      </c>
      <c r="DI26" s="22" t="e">
        <f t="shared" si="15"/>
        <v>#N/A</v>
      </c>
      <c r="DJ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0</v>
      </c>
      <c r="DO26" s="12">
        <f>IF('Données projet'!$A$166&gt;35,DO25+DN26-DW25,IF(A26&lt;'Données projet'!$A$166,$DL$205^A26,IF(A26='Données projet'!$A$166,'Données projet'!$B$166,DO25+DN26-DW25)))</f>
        <v>0</v>
      </c>
      <c r="DP26" s="17" t="e">
        <f>DO26*VLOOKUP('Données projet'!$B$14,Paramètres!$A$1:$I$89,3,0)*VLOOKUP('Données projet'!$B$14,Paramètres!$A$1:$I$89,5,0)</f>
        <v>#N/A</v>
      </c>
      <c r="DQ26" s="13" t="e">
        <f t="shared" si="43"/>
        <v>#N/A</v>
      </c>
      <c r="DR26" s="20" t="e">
        <f t="shared" si="16"/>
        <v>#N/A</v>
      </c>
      <c r="DS26" s="59" t="e">
        <f t="shared" si="17"/>
        <v>#N/A</v>
      </c>
      <c r="DT26" s="59" t="e">
        <f ca="1">AVERAGE(OFFSET($DS$3,0,0,'Données projet'!$E$14+1,1))-AVERAGE(OFFSET($H$3,0,0,'Données projet'!$E$14+1,1))</f>
        <v>#N/A</v>
      </c>
      <c r="DU26" s="59" t="e">
        <f t="shared" si="44"/>
        <v>#N/A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 t="e">
        <f>EXP(-LN(2)/35)*EA25+(1-EXP(-LN(2)/35))/(LN(2)/35)*DW26*DX26*VLOOKUP('Données projet'!$B$14,Paramètres!$A$1:$I$89,3,0)*0.475*44/12</f>
        <v>#N/A</v>
      </c>
      <c r="EB26" s="21" t="e">
        <f>EXP(-LN(2)/25)*EB25+(1-EXP(-LN(2)/25))/(LN(2)/25)*Calculateur!DW26*Calculateur!DY26*VLOOKUP('Données projet'!$B$14,Paramètres!$A$1:$I$89,3,0)*0.475*44/12</f>
        <v>#N/A</v>
      </c>
      <c r="EC26" s="21" t="e">
        <f>EXP(-LN(2)/2)*EC25+(1-EXP(-LN(2)/2))/(LN(2)/2)*DW26*DZ26*VLOOKUP('Données projet'!$B$14,Paramètres!$A$1:$I$89,3,0)*0.475*44/12</f>
        <v>#N/A</v>
      </c>
      <c r="ED26" s="22" t="e">
        <f t="shared" si="18"/>
        <v>#N/A</v>
      </c>
      <c r="EE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0</v>
      </c>
      <c r="EJ26" s="12">
        <f>IF('Données projet'!$A$192&gt;35,EJ25+EI26-ER25,IF(A26&lt;'Données projet'!$A$192,$EG$205^A26,IF(A26='Données projet'!$A$192,'Données projet'!$B$192,EJ25+EI26-ER25)))</f>
        <v>0</v>
      </c>
      <c r="EK26" s="17" t="e">
        <f>EJ26*VLOOKUP('Données projet'!$B$15,Paramètres!$A$1:$I$89,3,0)*VLOOKUP('Données projet'!$B$15,Paramètres!$A$1:$I$89,5,0)</f>
        <v>#N/A</v>
      </c>
      <c r="EL26" s="13" t="e">
        <f t="shared" si="45"/>
        <v>#N/A</v>
      </c>
      <c r="EM26" s="20" t="e">
        <f t="shared" si="19"/>
        <v>#N/A</v>
      </c>
      <c r="EN26" s="59" t="e">
        <f t="shared" si="20"/>
        <v>#N/A</v>
      </c>
      <c r="EO26" s="59" t="e">
        <f ca="1">AVERAGE(OFFSET($EN$3,0,0,'Données projet'!$E$15+1,1))-AVERAGE(OFFSET($H$3,0,0,'Données projet'!$E$15+1,1))</f>
        <v>#N/A</v>
      </c>
      <c r="EP26" s="59" t="e">
        <f t="shared" si="46"/>
        <v>#N/A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 t="e">
        <f>EXP(-LN(2)/35)*EV25+(1-EXP(-LN(2)/35))/(LN(2)/35)*ER26*ES26*VLOOKUP('Données projet'!$B$15,Paramètres!$A$1:$I$89,3,0)*0.475*44/12</f>
        <v>#N/A</v>
      </c>
      <c r="EW26" s="21" t="e">
        <f>EXP(-LN(2)/25)*EW25+(1-EXP(-LN(2)/25))/(LN(2)/25)*Calculateur!ER26*Calculateur!ET26*VLOOKUP('Données projet'!$B$15,Paramètres!$A$1:$I$89,3,0)*0.475*44/12</f>
        <v>#N/A</v>
      </c>
      <c r="EX26" s="21" t="e">
        <f>EXP(-LN(2)/2)*EX25+(1-EXP(-LN(2)/2))/(LN(2)/2)*ER26*EU26*VLOOKUP('Données projet'!$B$15,Paramètres!$A$1:$I$89,3,0)*0.475*44/12</f>
        <v>#N/A</v>
      </c>
      <c r="EY26" s="22" t="e">
        <f t="shared" si="21"/>
        <v>#N/A</v>
      </c>
      <c r="EZ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45">
      <c r="A27" s="10">
        <f t="shared" si="31"/>
        <v>24</v>
      </c>
      <c r="B27" s="73">
        <f>'Scénario référence'!$B$16*5+'Scénario référence'!$B$17*0+'Scénario référence'!$B$18*5</f>
        <v>0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21.340799999999998</v>
      </c>
      <c r="D27" s="11">
        <f t="shared" si="32"/>
        <v>6.8871990614123195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">
        <f>IF(OR('Scénario référence'!$F$8&gt;0,'Scénario référence'!$F$9&gt;0),('Scénario référence'!$F$8+'Scénario référence'!$F$9)*10,0)</f>
        <v>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217.90034363195477</v>
      </c>
      <c r="H27" s="67">
        <f t="shared" si="1"/>
        <v>305.83043169862646</v>
      </c>
      <c r="I27" s="7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2" t="e">
        <f>VLOOKUP(A27,'Données projet'!$A$35:$I$55,2,0)</f>
        <v>#N/A</v>
      </c>
      <c r="L27" s="12" t="e">
        <f>VLOOKUP(A27,'Données projet'!$A$35:$I$55,9,0)</f>
        <v>#N/A</v>
      </c>
      <c r="M27" s="12">
        <f t="array" ref="M27">INDEX(L:L,MIN(IF(ISNUMBER(L27:L223),ROW(L27:L223),"")))</f>
        <v>8.1011764705882356</v>
      </c>
      <c r="N27" s="13">
        <f>IF('Données projet'!$A$36&gt;35,N26+M27-V26,IF(A27&lt;'Données projet'!$A$36,$K$205^A27,IF(A27='Données projet'!$A$36,'Données projet'!$B$36,N26+M27-V26)))</f>
        <v>52.76816680907163</v>
      </c>
      <c r="O27" s="13">
        <f>N27*VLOOKUP('Données projet'!$B$9,Paramètres!$A$1:$I$89,3,0)*VLOOKUP('Données projet'!$B$9,Paramètres!$A$1:$I$89,5,0)</f>
        <v>29.497405246271043</v>
      </c>
      <c r="P27" s="13">
        <f t="shared" si="33"/>
        <v>9.167544855218166</v>
      </c>
      <c r="Q27" s="20">
        <f t="shared" si="2"/>
        <v>67.341454760093711</v>
      </c>
      <c r="R27" s="59">
        <f t="shared" si="0"/>
        <v>353.34145476009371</v>
      </c>
      <c r="S27" s="59">
        <f ca="1">AVERAGE(OFFSET($R$3,0,0,'Données projet'!$E$9+1,1))-AVERAGE(OFFSET($H$3,0,0,'Données projet'!$E$9+1,1))</f>
        <v>280.69347314340195</v>
      </c>
      <c r="T27" s="59">
        <f t="shared" si="34"/>
        <v>152.40533828556482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0</v>
      </c>
      <c r="AA27" s="21">
        <f>EXP(-LN(2)/25)*AA26+(1-EXP(-LN(2)/25))/(LN(2)/25)*Calculateur!V27*Calculateur!X27*VLOOKUP('Données projet'!$B$9,Paramètres!$A$1:$I$89,3,0)*0.475*44/12</f>
        <v>0</v>
      </c>
      <c r="AB27" s="21">
        <f>EXP(-LN(2)/2)*AB26+(1-EXP(-LN(2)/2))/(LN(2)/2)*V27*Y27*VLOOKUP('Données projet'!$B$9,Paramètres!$A$1:$I$89,3,0)*0.475*44/12</f>
        <v>0</v>
      </c>
      <c r="AC27" s="22">
        <f t="shared" si="3"/>
        <v>0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2">
        <f>VLOOKUP(A27,'Données projet'!$A$61:$I$81,2,0)</f>
        <v>168</v>
      </c>
      <c r="AG27" s="12">
        <f>VLOOKUP(A27,'Données projet'!$A$61:$I$81,9,0)</f>
        <v>16</v>
      </c>
      <c r="AH27" s="12">
        <f t="array" ref="AH27">INDEX(AG:AG,MIN(IF(ISNUMBER(AG27:AG223),ROW(AG27:AG223),"")))</f>
        <v>16</v>
      </c>
      <c r="AI27" s="13">
        <f>IF('Données projet'!$A$62&gt;35,AI26+AH27-AQ26,IF(A27&lt;'Données projet'!$A$62,$AF$205^A27,IF(A27='Données projet'!$A$62,'Données projet'!$B$62,AI26+AH27-AQ26)))</f>
        <v>168</v>
      </c>
      <c r="AJ27" s="13">
        <f>AI27*VLOOKUP('Données projet'!$B$10,Paramètres!$A$1:$I$89,3,0)*VLOOKUP('Données projet'!$B$10,Paramètres!$A$1:$I$89,5,0)</f>
        <v>104.83200000000001</v>
      </c>
      <c r="AK27" s="13">
        <f t="shared" si="35"/>
        <v>28.109974371137717</v>
      </c>
      <c r="AL27" s="20">
        <f t="shared" si="4"/>
        <v>231.54060536306486</v>
      </c>
      <c r="AM27" s="59">
        <f t="shared" si="5"/>
        <v>517.54060536306486</v>
      </c>
      <c r="AN27" s="59">
        <f ca="1">AVERAGE(OFFSET($AM$3,0,0,'Données projet'!$E$10+1,1))-AVERAGE(OFFSET($H$3,0,0,'Données projet'!$E$10+1,1))</f>
        <v>179.4725256147085</v>
      </c>
      <c r="AO27" s="59">
        <f t="shared" si="36"/>
        <v>282.16750121151176</v>
      </c>
      <c r="AP27" s="15">
        <f>IF(ISNA(VLOOKUP(A27,'Données projet'!$A$61:$I$81,3,0)),0,VLOOKUP(A27,'Données projet'!$A$61:$I$81,3,0))</f>
        <v>3</v>
      </c>
      <c r="AQ27" s="15">
        <f>IF(ISNA(VLOOKUP(A27,'Données projet'!$A$61:$I$81,4,0)),0,VLOOKUP(A27,'Données projet'!$A$61:$I$81,4,0))</f>
        <v>29</v>
      </c>
      <c r="AR27" s="16">
        <f>IF(ISNA(VLOOKUP(A27,'Données projet'!$A$61:$I$81,5,0)),0%,VLOOKUP(A27,'Données projet'!$A$61:$I$81,5,0)*VLOOKUP('Données projet'!$B$10,Paramètres!$A$1:$I$89,7,0))</f>
        <v>0.15</v>
      </c>
      <c r="AS27" s="16">
        <f>IF(ISNA(VLOOKUP(A27,'Données projet'!$A$61:$I$81,6,0)),0%,VLOOKUP(A27,'Données projet'!$A$61:$I$81,6,0)*VLOOKUP('Données projet'!$B$10,Paramètres!$A$1:$I$89,7,0))</f>
        <v>0.222</v>
      </c>
      <c r="AT27" s="16">
        <f>IF(ISNA(VLOOKUP(A27,'Données projet'!$A$61:$I$81,7,0)),0%,VLOOKUP(A27,'Données projet'!$A$61:$I$81,7,0))</f>
        <v>0.38</v>
      </c>
      <c r="AU27" s="21">
        <f>EXP(-LN(2)/35)*AU26+(1-EXP(-LN(2)/35))/(LN(2)/35)*AQ27*AR27*VLOOKUP('Données projet'!$B$10,Paramètres!$A$1:$I$89,3,0)*0.475*44/12</f>
        <v>8.8480409438222303</v>
      </c>
      <c r="AV27" s="21">
        <f>EXP(-LN(2)/25)*AV26+(1-EXP(-LN(2)/25))/(LN(2)/25)*Calculateur!AQ27*Calculateur!AS27*VLOOKUP('Données projet'!$B$10,Paramètres!$A$1:$I$89,3,0)*0.475*44/12</f>
        <v>12.787328088947731</v>
      </c>
      <c r="AW27" s="21">
        <f>EXP(-LN(2)/2)*AW26+(1-EXP(-LN(2)/2))/(LN(2)/2)*AQ27*AT27*VLOOKUP('Données projet'!$B$10,Paramètres!$A$1:$I$89,3,0)*0.475*44/12</f>
        <v>10.924885751870173</v>
      </c>
      <c r="AX27" s="21">
        <f t="shared" si="6"/>
        <v>32.560254784640136</v>
      </c>
      <c r="AY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5.3214035087719296</v>
      </c>
      <c r="BD27" s="12">
        <f>IF('Données projet'!$A$88&gt;35,BD26+BC27-BL26,IF(A27&lt;'Données projet'!$A$88,$BA$205^A27,IF(A27='Données projet'!$A$88,'Données projet'!$B$88,BD26+BC27-BL26)))</f>
        <v>127.7136842105264</v>
      </c>
      <c r="BE27" s="13">
        <f>BD27*VLOOKUP('Données projet'!$B$11,Paramètres!$A$1:$I$89,3,0)*VLOOKUP('Données projet'!$B$11,Paramètres!$A$1:$I$89,5,0)</f>
        <v>109.57834105263166</v>
      </c>
      <c r="BF27" s="13">
        <f t="shared" si="37"/>
        <v>29.231616240342873</v>
      </c>
      <c r="BG27" s="20">
        <f t="shared" si="7"/>
        <v>241.76067561859728</v>
      </c>
      <c r="BH27" s="59">
        <f t="shared" si="8"/>
        <v>527.76067561859725</v>
      </c>
      <c r="BI27" s="59">
        <f ca="1">AVERAGE(OFFSET($BH$3,0,0,'Données projet'!$E$11+1,1))-AVERAGE(OFFSET($H$3,0,0,'Données projet'!$E$11+1,1))</f>
        <v>312.89478437044261</v>
      </c>
      <c r="BJ27" s="59">
        <f t="shared" si="38"/>
        <v>276.16555507854571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>
        <f>EXP(-LN(2)/35)*BP26+(1-EXP(-LN(2)/35))/(LN(2)/35)*BL27*BM27*VLOOKUP('Données projet'!$B$11,Paramètres!$A$1:$I$89,3,0)*0.475*44/12</f>
        <v>0</v>
      </c>
      <c r="BQ27" s="21">
        <f>EXP(-LN(2)/25)*BQ26+(1-EXP(-LN(2)/25))/(LN(2)/25)*Calculateur!BL27*Calculateur!BN27*VLOOKUP('Données projet'!$B$11,Paramètres!$A$1:$I$89,3,0)*0.475*44/12</f>
        <v>0</v>
      </c>
      <c r="BR27" s="21">
        <f>EXP(-LN(2)/2)*BR26+(1-EXP(-LN(2)/2))/(LN(2)/2)*BL27*BO27*VLOOKUP('Données projet'!$B$11,Paramètres!$A$1:$I$89,3,0)*0.475*44/12</f>
        <v>0</v>
      </c>
      <c r="BS27" s="22">
        <f t="shared" si="9"/>
        <v>0</v>
      </c>
      <c r="BT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0</v>
      </c>
      <c r="BY27" s="12">
        <f>IF('Données projet'!$A$114&gt;35,BY26+BX27-CG26,IF(A27&lt;'Données projet'!$A$114,$BV$205^A27,IF(A27='Données projet'!$A$114,'Données projet'!$B$114,BY26+BX27-CG26)))</f>
        <v>0</v>
      </c>
      <c r="BZ27" s="13" t="e">
        <f>BY27*VLOOKUP('Données projet'!$B$12,Paramètres!$A$1:$I$89,3,0)*VLOOKUP('Données projet'!$B$12,Paramètres!$A$1:$I$89,5,0)</f>
        <v>#N/A</v>
      </c>
      <c r="CA27" s="13" t="e">
        <f t="shared" si="39"/>
        <v>#N/A</v>
      </c>
      <c r="CB27" s="20" t="e">
        <f t="shared" si="10"/>
        <v>#N/A</v>
      </c>
      <c r="CC27" s="59" t="e">
        <f t="shared" si="11"/>
        <v>#N/A</v>
      </c>
      <c r="CD27" s="59" t="e">
        <f ca="1">AVERAGE(OFFSET($CC$3,0,0,'Données projet'!$E$12+1,1))-AVERAGE(OFFSET($H$3,0,0,'Données projet'!$E$12+1,1))</f>
        <v>#N/A</v>
      </c>
      <c r="CE27" s="59" t="e">
        <f t="shared" si="40"/>
        <v>#N/A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 t="e">
        <f>EXP(-LN(2)/35)*CK26+(1-EXP(-LN(2)/35))/(LN(2)/35)*CG27*CH27*VLOOKUP('Données projet'!$B$12,Paramètres!$A$1:$I$89,3,0)*0.475*44/12</f>
        <v>#N/A</v>
      </c>
      <c r="CL27" s="21" t="e">
        <f>EXP(-LN(2)/25)*CL26+(1-EXP(-LN(2)/25))/(LN(2)/25)*Calculateur!CG27*Calculateur!CI27*VLOOKUP('Données projet'!$B$12,Paramètres!$A$1:$I$89,3,0)*0.475*44/12</f>
        <v>#N/A</v>
      </c>
      <c r="CM27" s="21" t="e">
        <f>EXP(-LN(2)/2)*CM26+(1-EXP(-LN(2)/2))/(LN(2)/2)*CG27*CJ27*VLOOKUP('Données projet'!$B$12,Paramètres!$A$1:$I$89,3,0)*0.475*44/12</f>
        <v>#N/A</v>
      </c>
      <c r="CN27" s="22" t="e">
        <f t="shared" si="12"/>
        <v>#N/A</v>
      </c>
      <c r="CO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0</v>
      </c>
      <c r="CT27" s="12">
        <f>IF('Données projet'!$A$140&gt;35,CT26+CS27-DB26,IF(A27&lt;'Données projet'!$A$140,$CQ$205^A27,IF(A27='Données projet'!$A$140,'Données projet'!$B$140,CT26+CS27-DB26)))</f>
        <v>0</v>
      </c>
      <c r="CU27" s="17" t="e">
        <f>CT27*VLOOKUP('Données projet'!$B$13,Paramètres!$A$1:$I$89,3,0)*VLOOKUP('Données projet'!$B$13,Paramètres!$A$1:$I$89,5,0)</f>
        <v>#N/A</v>
      </c>
      <c r="CV27" s="13" t="e">
        <f t="shared" si="41"/>
        <v>#N/A</v>
      </c>
      <c r="CW27" s="20" t="e">
        <f t="shared" si="13"/>
        <v>#N/A</v>
      </c>
      <c r="CX27" s="59" t="e">
        <f t="shared" si="14"/>
        <v>#N/A</v>
      </c>
      <c r="CY27" s="59" t="e">
        <f ca="1">AVERAGE(OFFSET($CX$3,0,0,'Données projet'!$E$13+1,1))-AVERAGE(OFFSET($H$3,0,0,'Données projet'!$E$13+1,1))</f>
        <v>#N/A</v>
      </c>
      <c r="CZ27" s="59" t="e">
        <f t="shared" si="42"/>
        <v>#N/A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 t="e">
        <f>EXP(-LN(2)/35)*DF26+(1-EXP(-LN(2)/35))/(LN(2)/35)*DB27*DC27*VLOOKUP('Données projet'!$B$13,Paramètres!$A$1:$I$89,3,0)*0.475*44/12</f>
        <v>#N/A</v>
      </c>
      <c r="DG27" s="21" t="e">
        <f>EXP(-LN(2)/25)*DG26+(1-EXP(-LN(2)/25))/(LN(2)/25)*Calculateur!DB27*Calculateur!DD27*VLOOKUP('Données projet'!$B$13,Paramètres!$A$1:$I$89,3,0)*0.475*44/12</f>
        <v>#N/A</v>
      </c>
      <c r="DH27" s="21" t="e">
        <f>EXP(-LN(2)/2)*DH26+(1-EXP(-LN(2)/2))/(LN(2)/2)*DB27*DE27*VLOOKUP('Données projet'!$B$13,Paramètres!$A$1:$I$89,3,0)*0.475*44/12</f>
        <v>#N/A</v>
      </c>
      <c r="DI27" s="22" t="e">
        <f t="shared" si="15"/>
        <v>#N/A</v>
      </c>
      <c r="DJ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0</v>
      </c>
      <c r="DO27" s="12">
        <f>IF('Données projet'!$A$166&gt;35,DO26+DN27-DW26,IF(A27&lt;'Données projet'!$A$166,$DL$205^A27,IF(A27='Données projet'!$A$166,'Données projet'!$B$166,DO26+DN27-DW26)))</f>
        <v>0</v>
      </c>
      <c r="DP27" s="17" t="e">
        <f>DO27*VLOOKUP('Données projet'!$B$14,Paramètres!$A$1:$I$89,3,0)*VLOOKUP('Données projet'!$B$14,Paramètres!$A$1:$I$89,5,0)</f>
        <v>#N/A</v>
      </c>
      <c r="DQ27" s="13" t="e">
        <f t="shared" si="43"/>
        <v>#N/A</v>
      </c>
      <c r="DR27" s="20" t="e">
        <f t="shared" si="16"/>
        <v>#N/A</v>
      </c>
      <c r="DS27" s="59" t="e">
        <f t="shared" si="17"/>
        <v>#N/A</v>
      </c>
      <c r="DT27" s="59" t="e">
        <f ca="1">AVERAGE(OFFSET($DS$3,0,0,'Données projet'!$E$14+1,1))-AVERAGE(OFFSET($H$3,0,0,'Données projet'!$E$14+1,1))</f>
        <v>#N/A</v>
      </c>
      <c r="DU27" s="59" t="e">
        <f t="shared" si="44"/>
        <v>#N/A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 t="e">
        <f>EXP(-LN(2)/35)*EA26+(1-EXP(-LN(2)/35))/(LN(2)/35)*DW27*DX27*VLOOKUP('Données projet'!$B$14,Paramètres!$A$1:$I$89,3,0)*0.475*44/12</f>
        <v>#N/A</v>
      </c>
      <c r="EB27" s="21" t="e">
        <f>EXP(-LN(2)/25)*EB26+(1-EXP(-LN(2)/25))/(LN(2)/25)*Calculateur!DW27*Calculateur!DY27*VLOOKUP('Données projet'!$B$14,Paramètres!$A$1:$I$89,3,0)*0.475*44/12</f>
        <v>#N/A</v>
      </c>
      <c r="EC27" s="21" t="e">
        <f>EXP(-LN(2)/2)*EC26+(1-EXP(-LN(2)/2))/(LN(2)/2)*DW27*DZ27*VLOOKUP('Données projet'!$B$14,Paramètres!$A$1:$I$89,3,0)*0.475*44/12</f>
        <v>#N/A</v>
      </c>
      <c r="ED27" s="22" t="e">
        <f t="shared" si="18"/>
        <v>#N/A</v>
      </c>
      <c r="EE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0</v>
      </c>
      <c r="EJ27" s="12">
        <f>IF('Données projet'!$A$192&gt;35,EJ26+EI27-ER26,IF(A27&lt;'Données projet'!$A$192,$EG$205^A27,IF(A27='Données projet'!$A$192,'Données projet'!$B$192,EJ26+EI27-ER26)))</f>
        <v>0</v>
      </c>
      <c r="EK27" s="17" t="e">
        <f>EJ27*VLOOKUP('Données projet'!$B$15,Paramètres!$A$1:$I$89,3,0)*VLOOKUP('Données projet'!$B$15,Paramètres!$A$1:$I$89,5,0)</f>
        <v>#N/A</v>
      </c>
      <c r="EL27" s="13" t="e">
        <f t="shared" si="45"/>
        <v>#N/A</v>
      </c>
      <c r="EM27" s="20" t="e">
        <f t="shared" si="19"/>
        <v>#N/A</v>
      </c>
      <c r="EN27" s="59" t="e">
        <f t="shared" si="20"/>
        <v>#N/A</v>
      </c>
      <c r="EO27" s="59" t="e">
        <f ca="1">AVERAGE(OFFSET($EN$3,0,0,'Données projet'!$E$15+1,1))-AVERAGE(OFFSET($H$3,0,0,'Données projet'!$E$15+1,1))</f>
        <v>#N/A</v>
      </c>
      <c r="EP27" s="59" t="e">
        <f t="shared" si="46"/>
        <v>#N/A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 t="e">
        <f>EXP(-LN(2)/35)*EV26+(1-EXP(-LN(2)/35))/(LN(2)/35)*ER27*ES27*VLOOKUP('Données projet'!$B$15,Paramètres!$A$1:$I$89,3,0)*0.475*44/12</f>
        <v>#N/A</v>
      </c>
      <c r="EW27" s="21" t="e">
        <f>EXP(-LN(2)/25)*EW26+(1-EXP(-LN(2)/25))/(LN(2)/25)*Calculateur!ER27*Calculateur!ET27*VLOOKUP('Données projet'!$B$15,Paramètres!$A$1:$I$89,3,0)*0.475*44/12</f>
        <v>#N/A</v>
      </c>
      <c r="EX27" s="21" t="e">
        <f>EXP(-LN(2)/2)*EX26+(1-EXP(-LN(2)/2))/(LN(2)/2)*ER27*EU27*VLOOKUP('Données projet'!$B$15,Paramètres!$A$1:$I$89,3,0)*0.475*44/12</f>
        <v>#N/A</v>
      </c>
      <c r="EY27" s="22" t="e">
        <f t="shared" si="21"/>
        <v>#N/A</v>
      </c>
      <c r="EZ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45">
      <c r="A28" s="10">
        <f t="shared" si="31"/>
        <v>25</v>
      </c>
      <c r="B28" s="73">
        <f>'Scénario référence'!$B$16*5+'Scénario référence'!$B$17*0+'Scénario référence'!$B$18*5</f>
        <v>0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22.229999999999997</v>
      </c>
      <c r="D28" s="11">
        <f t="shared" si="32"/>
        <v>7.140157210880437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">
        <f>IF(OR('Scénario référence'!$F$8&gt;0,'Scénario référence'!$F$9&gt;0),('Scénario référence'!$F$8+'Scénario référence'!$F$9)*10,0)</f>
        <v>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226.71700303135776</v>
      </c>
      <c r="H28" s="67">
        <f t="shared" si="1"/>
        <v>307.81969047561677</v>
      </c>
      <c r="I28" s="7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2" t="e">
        <f>VLOOKUP(A28,'Données projet'!$A$35:$I$55,2,0)</f>
        <v>#N/A</v>
      </c>
      <c r="L28" s="12" t="e">
        <f>VLOOKUP(A28,'Données projet'!$A$35:$I$55,9,0)</f>
        <v>#N/A</v>
      </c>
      <c r="M28" s="12">
        <f t="array" ref="M28">INDEX(L:L,MIN(IF(ISNUMBER(L28:L224),ROW(L28:L224),"")))</f>
        <v>8.1011764705882356</v>
      </c>
      <c r="N28" s="13">
        <f>IF('Données projet'!$A$36&gt;35,N27+M28-V27,IF(A28&lt;'Données projet'!$A$36,$K$205^A28,IF(A28='Données projet'!$A$36,'Données projet'!$B$36,N27+M28-V27)))</f>
        <v>62.249735024344858</v>
      </c>
      <c r="O28" s="13">
        <f>N28*VLOOKUP('Données projet'!$B$9,Paramètres!$A$1:$I$89,3,0)*VLOOKUP('Données projet'!$B$9,Paramètres!$A$1:$I$89,5,0)</f>
        <v>34.797601878608781</v>
      </c>
      <c r="P28" s="13">
        <f t="shared" si="33"/>
        <v>10.608770138902839</v>
      </c>
      <c r="Q28" s="20">
        <f t="shared" si="2"/>
        <v>79.082764597166076</v>
      </c>
      <c r="R28" s="59">
        <f t="shared" si="0"/>
        <v>366.30498681938832</v>
      </c>
      <c r="S28" s="59">
        <f ca="1">AVERAGE(OFFSET($R$3,0,0,'Données projet'!$E$9+1,1))-AVERAGE(OFFSET($H$3,0,0,'Données projet'!$E$9+1,1))</f>
        <v>280.69347314340195</v>
      </c>
      <c r="T28" s="59">
        <f t="shared" si="34"/>
        <v>152.40533828556482</v>
      </c>
      <c r="U28" s="15">
        <f>IF(ISNA(VLOOKUP(A28,'Données projet'!$A$35:$I$55,3,0)),0,VLOOKUP(A28,'Données projet'!$A$35:$I$55,3,0))</f>
        <v>0</v>
      </c>
      <c r="V28" s="15">
        <f>IF(ISNA(VLOOKUP(A28,'Données projet'!$A$35:$I$55,4,0)),0,VLOOKUP(A28,'Données projet'!$A$35:$I$55,4,0))</f>
        <v>0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0</v>
      </c>
      <c r="AA28" s="21">
        <f>EXP(-LN(2)/25)*AA27+(1-EXP(-LN(2)/25))/(LN(2)/25)*Calculateur!V28*Calculateur!X28*VLOOKUP('Données projet'!$B$9,Paramètres!$A$1:$I$89,3,0)*0.475*44/12</f>
        <v>0</v>
      </c>
      <c r="AB28" s="21">
        <f>EXP(-LN(2)/2)*AB27+(1-EXP(-LN(2)/2))/(LN(2)/2)*V28*Y28*VLOOKUP('Données projet'!$B$9,Paramètres!$A$1:$I$89,3,0)*0.475*44/12</f>
        <v>0</v>
      </c>
      <c r="AC28" s="22">
        <f t="shared" si="3"/>
        <v>0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2" t="e">
        <f>VLOOKUP(A28,'Données projet'!$A$61:$I$81,2,0)</f>
        <v>#N/A</v>
      </c>
      <c r="AG28" s="12" t="e">
        <f>VLOOKUP(A28,'Données projet'!$A$61:$I$81,9,0)</f>
        <v>#N/A</v>
      </c>
      <c r="AH28" s="12">
        <f t="array" ref="AH28">INDEX(AG:AG,MIN(IF(ISNUMBER(AG28:AG224),ROW(AG28:AG224),"")))</f>
        <v>14.166666666666666</v>
      </c>
      <c r="AI28" s="13">
        <f>IF('Données projet'!$A$62&gt;35,AI27+AH28-AQ27,IF(A28&lt;'Données projet'!$A$62,$AF$205^A28,IF(A28='Données projet'!$A$62,'Données projet'!$B$62,AI27+AH28-AQ27)))</f>
        <v>153.16666666666666</v>
      </c>
      <c r="AJ28" s="13">
        <f>AI28*VLOOKUP('Données projet'!$B$10,Paramètres!$A$1:$I$89,3,0)*VLOOKUP('Données projet'!$B$10,Paramètres!$A$1:$I$89,5,0)</f>
        <v>95.575999999999993</v>
      </c>
      <c r="AK28" s="13">
        <f t="shared" si="35"/>
        <v>25.905281107545633</v>
      </c>
      <c r="AL28" s="20">
        <f t="shared" si="4"/>
        <v>211.57989792897527</v>
      </c>
      <c r="AM28" s="59">
        <f t="shared" si="5"/>
        <v>498.80212015119753</v>
      </c>
      <c r="AN28" s="59">
        <f ca="1">AVERAGE(OFFSET($AM$3,0,0,'Données projet'!$E$10+1,1))-AVERAGE(OFFSET($H$3,0,0,'Données projet'!$E$10+1,1))</f>
        <v>179.4725256147085</v>
      </c>
      <c r="AO28" s="59">
        <f t="shared" si="36"/>
        <v>282.16750121151176</v>
      </c>
      <c r="AP28" s="15">
        <f>IF(ISNA(VLOOKUP(A28,'Données projet'!$A$61:$I$81,3,0)),0,VLOOKUP(A28,'Données projet'!$A$61:$I$81,3,0))</f>
        <v>0</v>
      </c>
      <c r="AQ28" s="15">
        <f>IF(ISNA(VLOOKUP(A28,'Données projet'!$A$61:$I$81,4,0)),0,VLOOKUP(A28,'Données projet'!$A$61:$I$81,4,0))</f>
        <v>0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>
        <f>EXP(-LN(2)/35)*AU27+(1-EXP(-LN(2)/35))/(LN(2)/35)*AQ28*AR28*VLOOKUP('Données projet'!$B$10,Paramètres!$A$1:$I$89,3,0)*0.475*44/12</f>
        <v>8.6745362576859648</v>
      </c>
      <c r="AV28" s="21">
        <f>EXP(-LN(2)/25)*AV27+(1-EXP(-LN(2)/25))/(LN(2)/25)*Calculateur!AQ28*Calculateur!AS28*VLOOKUP('Données projet'!$B$10,Paramètres!$A$1:$I$89,3,0)*0.475*44/12</f>
        <v>12.437657929899098</v>
      </c>
      <c r="AW28" s="21">
        <f>EXP(-LN(2)/2)*AW27+(1-EXP(-LN(2)/2))/(LN(2)/2)*AQ28*AT28*VLOOKUP('Données projet'!$B$10,Paramètres!$A$1:$I$89,3,0)*0.475*44/12</f>
        <v>7.7250607988356936</v>
      </c>
      <c r="AX28" s="21">
        <f t="shared" si="6"/>
        <v>28.837254986420753</v>
      </c>
      <c r="AY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2" t="e">
        <f>VLOOKUP(A28,'Données projet'!$A$87:$I$107,2,0)</f>
        <v>#N/A</v>
      </c>
      <c r="BB28" s="12" t="e">
        <f>VLOOKUP(A28,'Données projet'!$A$87:$I$107,9,0)</f>
        <v>#N/A</v>
      </c>
      <c r="BC28" s="12">
        <f t="array" ref="BC28">INDEX(BB:BB,MIN(IF(ISNUMBER(BB28:BB224),ROW(BB28:BB224),"")))</f>
        <v>5.3214035087719296</v>
      </c>
      <c r="BD28" s="12">
        <f>IF('Données projet'!$A$88&gt;35,BD27+BC28-BL27,IF(A28&lt;'Données projet'!$A$88,$BA$205^A28,IF(A28='Données projet'!$A$88,'Données projet'!$B$88,BD27+BC28-BL27)))</f>
        <v>133.03508771929833</v>
      </c>
      <c r="BE28" s="13">
        <f>BD28*VLOOKUP('Données projet'!$B$11,Paramètres!$A$1:$I$89,3,0)*VLOOKUP('Données projet'!$B$11,Paramètres!$A$1:$I$89,5,0)</f>
        <v>114.14410526315798</v>
      </c>
      <c r="BF28" s="13">
        <f t="shared" si="37"/>
        <v>30.305256697687661</v>
      </c>
      <c r="BG28" s="20">
        <f t="shared" si="7"/>
        <v>251.58263874847276</v>
      </c>
      <c r="BH28" s="59">
        <f t="shared" si="8"/>
        <v>538.80486097069502</v>
      </c>
      <c r="BI28" s="59">
        <f ca="1">AVERAGE(OFFSET($BH$3,0,0,'Données projet'!$E$11+1,1))-AVERAGE(OFFSET($H$3,0,0,'Données projet'!$E$11+1,1))</f>
        <v>312.89478437044261</v>
      </c>
      <c r="BJ28" s="59">
        <f t="shared" si="38"/>
        <v>276.16555507854571</v>
      </c>
      <c r="BK28" s="15">
        <f>IF(ISNA(VLOOKUP(A28,'Données projet'!$A$87:$I$107,3,0)),0,VLOOKUP(A28,'Données projet'!$A$87:$I$107,3,0))</f>
        <v>0</v>
      </c>
      <c r="BL28" s="15">
        <f>IF(ISNA(VLOOKUP(A28,'Données projet'!$A$87:$I$107,4,0)),0,VLOOKUP(A28,'Données projet'!$A$87:$I$107,4,0))</f>
        <v>0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>
        <f>EXP(-LN(2)/35)*BP27+(1-EXP(-LN(2)/35))/(LN(2)/35)*BL28*BM28*VLOOKUP('Données projet'!$B$11,Paramètres!$A$1:$I$89,3,0)*0.475*44/12</f>
        <v>0</v>
      </c>
      <c r="BQ28" s="21">
        <f>EXP(-LN(2)/25)*BQ27+(1-EXP(-LN(2)/25))/(LN(2)/25)*Calculateur!BL28*Calculateur!BN28*VLOOKUP('Données projet'!$B$11,Paramètres!$A$1:$I$89,3,0)*0.475*44/12</f>
        <v>0</v>
      </c>
      <c r="BR28" s="21">
        <f>EXP(-LN(2)/2)*BR27+(1-EXP(-LN(2)/2))/(LN(2)/2)*BL28*BO28*VLOOKUP('Données projet'!$B$11,Paramètres!$A$1:$I$89,3,0)*0.475*44/12</f>
        <v>0</v>
      </c>
      <c r="BS28" s="22">
        <f t="shared" si="9"/>
        <v>0</v>
      </c>
      <c r="BT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2" t="e">
        <f>VLOOKUP(A28,'Données projet'!$A$113:$I$133,2,0)</f>
        <v>#N/A</v>
      </c>
      <c r="BW28" s="12" t="e">
        <f>VLOOKUP(A28,'Données projet'!$A$113:$I$133,9,0)</f>
        <v>#N/A</v>
      </c>
      <c r="BX28" s="12">
        <f t="array" ref="BX28">INDEX(BW:BW,MIN(IF(ISNUMBER(BW28:BW224),ROW(BW28:BW224),"")))</f>
        <v>0</v>
      </c>
      <c r="BY28" s="12">
        <f>IF('Données projet'!$A$114&gt;35,BY27+BX28-CG27,IF(A28&lt;'Données projet'!$A$114,$BV$205^A28,IF(A28='Données projet'!$A$114,'Données projet'!$B$114,BY27+BX28-CG27)))</f>
        <v>0</v>
      </c>
      <c r="BZ28" s="13" t="e">
        <f>BY28*VLOOKUP('Données projet'!$B$12,Paramètres!$A$1:$I$89,3,0)*VLOOKUP('Données projet'!$B$12,Paramètres!$A$1:$I$89,5,0)</f>
        <v>#N/A</v>
      </c>
      <c r="CA28" s="13" t="e">
        <f t="shared" si="39"/>
        <v>#N/A</v>
      </c>
      <c r="CB28" s="20" t="e">
        <f t="shared" si="10"/>
        <v>#N/A</v>
      </c>
      <c r="CC28" s="59" t="e">
        <f t="shared" si="11"/>
        <v>#N/A</v>
      </c>
      <c r="CD28" s="59" t="e">
        <f ca="1">AVERAGE(OFFSET($CC$3,0,0,'Données projet'!$E$12+1,1))-AVERAGE(OFFSET($H$3,0,0,'Données projet'!$E$12+1,1))</f>
        <v>#N/A</v>
      </c>
      <c r="CE28" s="59" t="e">
        <f t="shared" si="40"/>
        <v>#N/A</v>
      </c>
      <c r="CF28" s="15">
        <f>IF(ISNA(VLOOKUP(A28,'Données projet'!$A$113:$I$133,3,0)),0,VLOOKUP(A28,'Données projet'!$A$113:$I$133,3,0))</f>
        <v>0</v>
      </c>
      <c r="CG28" s="15">
        <f>IF(ISNA(VLOOKUP(A28,'Données projet'!$A$113:$I$133,4,0)),0,VLOOKUP(A28,'Données projet'!$A$113:$I$133,4,0))</f>
        <v>0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 t="e">
        <f>EXP(-LN(2)/35)*CK27+(1-EXP(-LN(2)/35))/(LN(2)/35)*CG28*CH28*VLOOKUP('Données projet'!$B$12,Paramètres!$A$1:$I$89,3,0)*0.475*44/12</f>
        <v>#N/A</v>
      </c>
      <c r="CL28" s="21" t="e">
        <f>EXP(-LN(2)/25)*CL27+(1-EXP(-LN(2)/25))/(LN(2)/25)*Calculateur!CG28*Calculateur!CI28*VLOOKUP('Données projet'!$B$12,Paramètres!$A$1:$I$89,3,0)*0.475*44/12</f>
        <v>#N/A</v>
      </c>
      <c r="CM28" s="21" t="e">
        <f>EXP(-LN(2)/2)*CM27+(1-EXP(-LN(2)/2))/(LN(2)/2)*CG28*CJ28*VLOOKUP('Données projet'!$B$12,Paramètres!$A$1:$I$89,3,0)*0.475*44/12</f>
        <v>#N/A</v>
      </c>
      <c r="CN28" s="22" t="e">
        <f t="shared" si="12"/>
        <v>#N/A</v>
      </c>
      <c r="CO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2" t="e">
        <f>VLOOKUP(A28,'Données projet'!$A$139:$I$159,2,0)</f>
        <v>#N/A</v>
      </c>
      <c r="CR28" s="12" t="e">
        <f>VLOOKUP(A28,'Données projet'!$A$139:$I$159,9,0)</f>
        <v>#N/A</v>
      </c>
      <c r="CS28" s="12">
        <f t="array" ref="CS28">INDEX(CR:CR,MIN(IF(ISNUMBER(CR28:CR224),ROW(CR28:CR224),"")))</f>
        <v>0</v>
      </c>
      <c r="CT28" s="12">
        <f>IF('Données projet'!$A$140&gt;35,CT27+CS28-DB27,IF(A28&lt;'Données projet'!$A$140,$CQ$205^A28,IF(A28='Données projet'!$A$140,'Données projet'!$B$140,CT27+CS28-DB27)))</f>
        <v>0</v>
      </c>
      <c r="CU28" s="17" t="e">
        <f>CT28*VLOOKUP('Données projet'!$B$13,Paramètres!$A$1:$I$89,3,0)*VLOOKUP('Données projet'!$B$13,Paramètres!$A$1:$I$89,5,0)</f>
        <v>#N/A</v>
      </c>
      <c r="CV28" s="13" t="e">
        <f t="shared" si="41"/>
        <v>#N/A</v>
      </c>
      <c r="CW28" s="20" t="e">
        <f t="shared" si="13"/>
        <v>#N/A</v>
      </c>
      <c r="CX28" s="59" t="e">
        <f t="shared" si="14"/>
        <v>#N/A</v>
      </c>
      <c r="CY28" s="59" t="e">
        <f ca="1">AVERAGE(OFFSET($CX$3,0,0,'Données projet'!$E$13+1,1))-AVERAGE(OFFSET($H$3,0,0,'Données projet'!$E$13+1,1))</f>
        <v>#N/A</v>
      </c>
      <c r="CZ28" s="59" t="e">
        <f t="shared" si="42"/>
        <v>#N/A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 t="e">
        <f>EXP(-LN(2)/35)*DF27+(1-EXP(-LN(2)/35))/(LN(2)/35)*DB28*DC28*VLOOKUP('Données projet'!$B$13,Paramètres!$A$1:$I$89,3,0)*0.475*44/12</f>
        <v>#N/A</v>
      </c>
      <c r="DG28" s="21" t="e">
        <f>EXP(-LN(2)/25)*DG27+(1-EXP(-LN(2)/25))/(LN(2)/25)*Calculateur!DB28*Calculateur!DD28*VLOOKUP('Données projet'!$B$13,Paramètres!$A$1:$I$89,3,0)*0.475*44/12</f>
        <v>#N/A</v>
      </c>
      <c r="DH28" s="21" t="e">
        <f>EXP(-LN(2)/2)*DH27+(1-EXP(-LN(2)/2))/(LN(2)/2)*DB28*DE28*VLOOKUP('Données projet'!$B$13,Paramètres!$A$1:$I$89,3,0)*0.475*44/12</f>
        <v>#N/A</v>
      </c>
      <c r="DI28" s="22" t="e">
        <f t="shared" si="15"/>
        <v>#N/A</v>
      </c>
      <c r="DJ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0</v>
      </c>
      <c r="DO28" s="12">
        <f>IF('Données projet'!$A$166&gt;35,DO27+DN28-DW27,IF(A28&lt;'Données projet'!$A$166,$DL$205^A28,IF(A28='Données projet'!$A$166,'Données projet'!$B$166,DO27+DN28-DW27)))</f>
        <v>0</v>
      </c>
      <c r="DP28" s="17" t="e">
        <f>DO28*VLOOKUP('Données projet'!$B$14,Paramètres!$A$1:$I$89,3,0)*VLOOKUP('Données projet'!$B$14,Paramètres!$A$1:$I$89,5,0)</f>
        <v>#N/A</v>
      </c>
      <c r="DQ28" s="13" t="e">
        <f t="shared" si="43"/>
        <v>#N/A</v>
      </c>
      <c r="DR28" s="20" t="e">
        <f t="shared" si="16"/>
        <v>#N/A</v>
      </c>
      <c r="DS28" s="59" t="e">
        <f t="shared" si="17"/>
        <v>#N/A</v>
      </c>
      <c r="DT28" s="59" t="e">
        <f ca="1">AVERAGE(OFFSET($DS$3,0,0,'Données projet'!$E$14+1,1))-AVERAGE(OFFSET($H$3,0,0,'Données projet'!$E$14+1,1))</f>
        <v>#N/A</v>
      </c>
      <c r="DU28" s="59" t="e">
        <f t="shared" si="44"/>
        <v>#N/A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 t="e">
        <f>EXP(-LN(2)/35)*EA27+(1-EXP(-LN(2)/35))/(LN(2)/35)*DW28*DX28*VLOOKUP('Données projet'!$B$14,Paramètres!$A$1:$I$89,3,0)*0.475*44/12</f>
        <v>#N/A</v>
      </c>
      <c r="EB28" s="21" t="e">
        <f>EXP(-LN(2)/25)*EB27+(1-EXP(-LN(2)/25))/(LN(2)/25)*Calculateur!DW28*Calculateur!DY28*VLOOKUP('Données projet'!$B$14,Paramètres!$A$1:$I$89,3,0)*0.475*44/12</f>
        <v>#N/A</v>
      </c>
      <c r="EC28" s="21" t="e">
        <f>EXP(-LN(2)/2)*EC27+(1-EXP(-LN(2)/2))/(LN(2)/2)*DW28*DZ28*VLOOKUP('Données projet'!$B$14,Paramètres!$A$1:$I$89,3,0)*0.475*44/12</f>
        <v>#N/A</v>
      </c>
      <c r="ED28" s="22" t="e">
        <f t="shared" si="18"/>
        <v>#N/A</v>
      </c>
      <c r="EE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0</v>
      </c>
      <c r="EJ28" s="12">
        <f>IF('Données projet'!$A$192&gt;35,EJ27+EI28-ER27,IF(A28&lt;'Données projet'!$A$192,$EG$205^A28,IF(A28='Données projet'!$A$192,'Données projet'!$B$192,EJ27+EI28-ER27)))</f>
        <v>0</v>
      </c>
      <c r="EK28" s="17" t="e">
        <f>EJ28*VLOOKUP('Données projet'!$B$15,Paramètres!$A$1:$I$89,3,0)*VLOOKUP('Données projet'!$B$15,Paramètres!$A$1:$I$89,5,0)</f>
        <v>#N/A</v>
      </c>
      <c r="EL28" s="13" t="e">
        <f t="shared" si="45"/>
        <v>#N/A</v>
      </c>
      <c r="EM28" s="20" t="e">
        <f t="shared" si="19"/>
        <v>#N/A</v>
      </c>
      <c r="EN28" s="59" t="e">
        <f t="shared" si="20"/>
        <v>#N/A</v>
      </c>
      <c r="EO28" s="59" t="e">
        <f ca="1">AVERAGE(OFFSET($EN$3,0,0,'Données projet'!$E$15+1,1))-AVERAGE(OFFSET($H$3,0,0,'Données projet'!$E$15+1,1))</f>
        <v>#N/A</v>
      </c>
      <c r="EP28" s="59" t="e">
        <f t="shared" si="46"/>
        <v>#N/A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 t="e">
        <f>EXP(-LN(2)/35)*EV27+(1-EXP(-LN(2)/35))/(LN(2)/35)*ER28*ES28*VLOOKUP('Données projet'!$B$15,Paramètres!$A$1:$I$89,3,0)*0.475*44/12</f>
        <v>#N/A</v>
      </c>
      <c r="EW28" s="21" t="e">
        <f>EXP(-LN(2)/25)*EW27+(1-EXP(-LN(2)/25))/(LN(2)/25)*Calculateur!ER28*Calculateur!ET28*VLOOKUP('Données projet'!$B$15,Paramètres!$A$1:$I$89,3,0)*0.475*44/12</f>
        <v>#N/A</v>
      </c>
      <c r="EX28" s="21" t="e">
        <f>EXP(-LN(2)/2)*EX27+(1-EXP(-LN(2)/2))/(LN(2)/2)*ER28*EU28*VLOOKUP('Données projet'!$B$15,Paramètres!$A$1:$I$89,3,0)*0.475*44/12</f>
        <v>#N/A</v>
      </c>
      <c r="EY28" s="22" t="e">
        <f t="shared" si="21"/>
        <v>#N/A</v>
      </c>
      <c r="EZ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45">
      <c r="A29" s="10">
        <f t="shared" si="31"/>
        <v>26</v>
      </c>
      <c r="B29" s="73">
        <f>'Scénario référence'!$B$16*5+'Scénario référence'!$B$17*0+'Scénario référence'!$B$18*5</f>
        <v>0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23.119199999999996</v>
      </c>
      <c r="D29" s="11">
        <f t="shared" si="32"/>
        <v>7.3919399937804329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">
        <f>IF(OR('Scénario référence'!$F$8&gt;0,'Scénario référence'!$F$9&gt;0),('Scénario référence'!$F$8+'Scénario référence'!$F$9)*10,0)</f>
        <v>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235.5245894256735</v>
      </c>
      <c r="H29" s="67">
        <f t="shared" si="1"/>
        <v>309.80690215583428</v>
      </c>
      <c r="I29" s="7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8.1011764705882356</v>
      </c>
      <c r="N29" s="13">
        <f>IF('Données projet'!$A$36&gt;35,N28+M29-V28,IF(A29&lt;'Données projet'!$A$36,$K$205^A29,IF(A29='Données projet'!$A$36,'Données projet'!$B$36,N28+M29-V28)))</f>
        <v>73.434984478842495</v>
      </c>
      <c r="O29" s="13">
        <f>N29*VLOOKUP('Données projet'!$B$9,Paramètres!$A$1:$I$89,3,0)*VLOOKUP('Données projet'!$B$9,Paramètres!$A$1:$I$89,5,0)</f>
        <v>41.050156323672958</v>
      </c>
      <c r="P29" s="13">
        <f t="shared" si="33"/>
        <v>12.276569750953044</v>
      </c>
      <c r="Q29" s="20">
        <f t="shared" si="2"/>
        <v>92.877381246640297</v>
      </c>
      <c r="R29" s="59">
        <f t="shared" si="0"/>
        <v>381.32182569108477</v>
      </c>
      <c r="S29" s="59">
        <f ca="1">AVERAGE(OFFSET($R$3,0,0,'Données projet'!$E$9+1,1))-AVERAGE(OFFSET($H$3,0,0,'Données projet'!$E$9+1,1))</f>
        <v>280.69347314340195</v>
      </c>
      <c r="T29" s="59">
        <f t="shared" si="34"/>
        <v>152.40533828556482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0</v>
      </c>
      <c r="AA29" s="21">
        <f>EXP(-LN(2)/25)*AA28+(1-EXP(-LN(2)/25))/(LN(2)/25)*Calculateur!V29*Calculateur!X29*VLOOKUP('Données projet'!$B$9,Paramètres!$A$1:$I$89,3,0)*0.475*44/12</f>
        <v>0</v>
      </c>
      <c r="AB29" s="21">
        <f>EXP(-LN(2)/2)*AB28+(1-EXP(-LN(2)/2))/(LN(2)/2)*V29*Y29*VLOOKUP('Données projet'!$B$9,Paramètres!$A$1:$I$89,3,0)*0.475*44/12</f>
        <v>0</v>
      </c>
      <c r="AC29" s="22">
        <f t="shared" si="3"/>
        <v>0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14.166666666666666</v>
      </c>
      <c r="AI29" s="13">
        <f>IF('Données projet'!$A$62&gt;35,AI28+AH29-AQ28,IF(A29&lt;'Données projet'!$A$62,$AF$205^A29,IF(A29='Données projet'!$A$62,'Données projet'!$B$62,AI28+AH29-AQ28)))</f>
        <v>167.33333333333331</v>
      </c>
      <c r="AJ29" s="13">
        <f>AI29*VLOOKUP('Données projet'!$B$10,Paramètres!$A$1:$I$89,3,0)*VLOOKUP('Données projet'!$B$10,Paramètres!$A$1:$I$89,5,0)</f>
        <v>104.416</v>
      </c>
      <c r="AK29" s="13">
        <f t="shared" si="35"/>
        <v>28.01138818767625</v>
      </c>
      <c r="AL29" s="20">
        <f t="shared" si="4"/>
        <v>230.64436776020281</v>
      </c>
      <c r="AM29" s="59">
        <f t="shared" si="5"/>
        <v>519.0888122046473</v>
      </c>
      <c r="AN29" s="59">
        <f ca="1">AVERAGE(OFFSET($AM$3,0,0,'Données projet'!$E$10+1,1))-AVERAGE(OFFSET($H$3,0,0,'Données projet'!$E$10+1,1))</f>
        <v>179.4725256147085</v>
      </c>
      <c r="AO29" s="59">
        <f t="shared" si="36"/>
        <v>282.16750121151176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8.5044338926174223</v>
      </c>
      <c r="AV29" s="21">
        <f>EXP(-LN(2)/25)*AV28+(1-EXP(-LN(2)/25))/(LN(2)/25)*Calculateur!AQ29*Calculateur!AS29*VLOOKUP('Données projet'!$B$10,Paramètres!$A$1:$I$89,3,0)*0.475*44/12</f>
        <v>12.097549519738003</v>
      </c>
      <c r="AW29" s="21">
        <f>EXP(-LN(2)/2)*AW28+(1-EXP(-LN(2)/2))/(LN(2)/2)*AQ29*AT29*VLOOKUP('Données projet'!$B$10,Paramètres!$A$1:$I$89,3,0)*0.475*44/12</f>
        <v>5.4624428759350874</v>
      </c>
      <c r="AX29" s="21">
        <f t="shared" si="6"/>
        <v>26.064426288290512</v>
      </c>
      <c r="AY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5.3214035087719296</v>
      </c>
      <c r="BD29" s="12">
        <f>IF('Données projet'!$A$88&gt;35,BD28+BC29-BL28,IF(A29&lt;'Données projet'!$A$88,$BA$205^A29,IF(A29='Données projet'!$A$88,'Données projet'!$B$88,BD28+BC29-BL28)))</f>
        <v>138.35649122807027</v>
      </c>
      <c r="BE29" s="13">
        <f>BD29*VLOOKUP('Données projet'!$B$11,Paramètres!$A$1:$I$89,3,0)*VLOOKUP('Données projet'!$B$11,Paramètres!$A$1:$I$89,5,0)</f>
        <v>118.70986947368431</v>
      </c>
      <c r="BF29" s="13">
        <f t="shared" si="37"/>
        <v>31.373908499389618</v>
      </c>
      <c r="BG29" s="20">
        <f t="shared" si="7"/>
        <v>261.39591330310378</v>
      </c>
      <c r="BH29" s="59">
        <f t="shared" si="8"/>
        <v>549.8403577475483</v>
      </c>
      <c r="BI29" s="59">
        <f ca="1">AVERAGE(OFFSET($BH$3,0,0,'Données projet'!$E$11+1,1))-AVERAGE(OFFSET($H$3,0,0,'Données projet'!$E$11+1,1))</f>
        <v>312.89478437044261</v>
      </c>
      <c r="BJ29" s="59">
        <f t="shared" si="38"/>
        <v>276.16555507854571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>
        <f>EXP(-LN(2)/35)*BP28+(1-EXP(-LN(2)/35))/(LN(2)/35)*BL29*BM29*VLOOKUP('Données projet'!$B$11,Paramètres!$A$1:$I$89,3,0)*0.475*44/12</f>
        <v>0</v>
      </c>
      <c r="BQ29" s="21">
        <f>EXP(-LN(2)/25)*BQ28+(1-EXP(-LN(2)/25))/(LN(2)/25)*Calculateur!BL29*Calculateur!BN29*VLOOKUP('Données projet'!$B$11,Paramètres!$A$1:$I$89,3,0)*0.475*44/12</f>
        <v>0</v>
      </c>
      <c r="BR29" s="21">
        <f>EXP(-LN(2)/2)*BR28+(1-EXP(-LN(2)/2))/(LN(2)/2)*BL29*BO29*VLOOKUP('Données projet'!$B$11,Paramètres!$A$1:$I$89,3,0)*0.475*44/12</f>
        <v>0</v>
      </c>
      <c r="BS29" s="22">
        <f t="shared" si="9"/>
        <v>0</v>
      </c>
      <c r="BT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0</v>
      </c>
      <c r="BY29" s="12">
        <f>IF('Données projet'!$A$114&gt;35,BY28+BX29-CG28,IF(A29&lt;'Données projet'!$A$114,$BV$205^A29,IF(A29='Données projet'!$A$114,'Données projet'!$B$114,BY28+BX29-CG28)))</f>
        <v>0</v>
      </c>
      <c r="BZ29" s="13" t="e">
        <f>BY29*VLOOKUP('Données projet'!$B$12,Paramètres!$A$1:$I$89,3,0)*VLOOKUP('Données projet'!$B$12,Paramètres!$A$1:$I$89,5,0)</f>
        <v>#N/A</v>
      </c>
      <c r="CA29" s="13" t="e">
        <f t="shared" si="39"/>
        <v>#N/A</v>
      </c>
      <c r="CB29" s="20" t="e">
        <f t="shared" si="10"/>
        <v>#N/A</v>
      </c>
      <c r="CC29" s="59" t="e">
        <f t="shared" si="11"/>
        <v>#N/A</v>
      </c>
      <c r="CD29" s="59" t="e">
        <f ca="1">AVERAGE(OFFSET($CC$3,0,0,'Données projet'!$E$12+1,1))-AVERAGE(OFFSET($H$3,0,0,'Données projet'!$E$12+1,1))</f>
        <v>#N/A</v>
      </c>
      <c r="CE29" s="59" t="e">
        <f t="shared" si="40"/>
        <v>#N/A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 t="e">
        <f>EXP(-LN(2)/35)*CK28+(1-EXP(-LN(2)/35))/(LN(2)/35)*CG29*CH29*VLOOKUP('Données projet'!$B$12,Paramètres!$A$1:$I$89,3,0)*0.475*44/12</f>
        <v>#N/A</v>
      </c>
      <c r="CL29" s="21" t="e">
        <f>EXP(-LN(2)/25)*CL28+(1-EXP(-LN(2)/25))/(LN(2)/25)*Calculateur!CG29*Calculateur!CI29*VLOOKUP('Données projet'!$B$12,Paramètres!$A$1:$I$89,3,0)*0.475*44/12</f>
        <v>#N/A</v>
      </c>
      <c r="CM29" s="21" t="e">
        <f>EXP(-LN(2)/2)*CM28+(1-EXP(-LN(2)/2))/(LN(2)/2)*CG29*CJ29*VLOOKUP('Données projet'!$B$12,Paramètres!$A$1:$I$89,3,0)*0.475*44/12</f>
        <v>#N/A</v>
      </c>
      <c r="CN29" s="22" t="e">
        <f t="shared" si="12"/>
        <v>#N/A</v>
      </c>
      <c r="CO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0</v>
      </c>
      <c r="CT29" s="12">
        <f>IF('Données projet'!$A$140&gt;35,CT28+CS29-DB28,IF(A29&lt;'Données projet'!$A$140,$CQ$205^A29,IF(A29='Données projet'!$A$140,'Données projet'!$B$140,CT28+CS29-DB28)))</f>
        <v>0</v>
      </c>
      <c r="CU29" s="17" t="e">
        <f>CT29*VLOOKUP('Données projet'!$B$13,Paramètres!$A$1:$I$89,3,0)*VLOOKUP('Données projet'!$B$13,Paramètres!$A$1:$I$89,5,0)</f>
        <v>#N/A</v>
      </c>
      <c r="CV29" s="13" t="e">
        <f t="shared" si="41"/>
        <v>#N/A</v>
      </c>
      <c r="CW29" s="20" t="e">
        <f t="shared" si="13"/>
        <v>#N/A</v>
      </c>
      <c r="CX29" s="59" t="e">
        <f t="shared" si="14"/>
        <v>#N/A</v>
      </c>
      <c r="CY29" s="59" t="e">
        <f ca="1">AVERAGE(OFFSET($CX$3,0,0,'Données projet'!$E$13+1,1))-AVERAGE(OFFSET($H$3,0,0,'Données projet'!$E$13+1,1))</f>
        <v>#N/A</v>
      </c>
      <c r="CZ29" s="59" t="e">
        <f t="shared" si="42"/>
        <v>#N/A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 t="e">
        <f>EXP(-LN(2)/35)*DF28+(1-EXP(-LN(2)/35))/(LN(2)/35)*DB29*DC29*VLOOKUP('Données projet'!$B$13,Paramètres!$A$1:$I$89,3,0)*0.475*44/12</f>
        <v>#N/A</v>
      </c>
      <c r="DG29" s="21" t="e">
        <f>EXP(-LN(2)/25)*DG28+(1-EXP(-LN(2)/25))/(LN(2)/25)*Calculateur!DB29*Calculateur!DD29*VLOOKUP('Données projet'!$B$13,Paramètres!$A$1:$I$89,3,0)*0.475*44/12</f>
        <v>#N/A</v>
      </c>
      <c r="DH29" s="21" t="e">
        <f>EXP(-LN(2)/2)*DH28+(1-EXP(-LN(2)/2))/(LN(2)/2)*DB29*DE29*VLOOKUP('Données projet'!$B$13,Paramètres!$A$1:$I$89,3,0)*0.475*44/12</f>
        <v>#N/A</v>
      </c>
      <c r="DI29" s="22" t="e">
        <f t="shared" si="15"/>
        <v>#N/A</v>
      </c>
      <c r="DJ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0</v>
      </c>
      <c r="DO29" s="12">
        <f>IF('Données projet'!$A$166&gt;35,DO28+DN29-DW28,IF(A29&lt;'Données projet'!$A$166,$DL$205^A29,IF(A29='Données projet'!$A$166,'Données projet'!$B$166,DO28+DN29-DW28)))</f>
        <v>0</v>
      </c>
      <c r="DP29" s="17" t="e">
        <f>DO29*VLOOKUP('Données projet'!$B$14,Paramètres!$A$1:$I$89,3,0)*VLOOKUP('Données projet'!$B$14,Paramètres!$A$1:$I$89,5,0)</f>
        <v>#N/A</v>
      </c>
      <c r="DQ29" s="13" t="e">
        <f t="shared" si="43"/>
        <v>#N/A</v>
      </c>
      <c r="DR29" s="20" t="e">
        <f t="shared" si="16"/>
        <v>#N/A</v>
      </c>
      <c r="DS29" s="59" t="e">
        <f t="shared" si="17"/>
        <v>#N/A</v>
      </c>
      <c r="DT29" s="59" t="e">
        <f ca="1">AVERAGE(OFFSET($DS$3,0,0,'Données projet'!$E$14+1,1))-AVERAGE(OFFSET($H$3,0,0,'Données projet'!$E$14+1,1))</f>
        <v>#N/A</v>
      </c>
      <c r="DU29" s="59" t="e">
        <f t="shared" si="44"/>
        <v>#N/A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 t="e">
        <f>EXP(-LN(2)/35)*EA28+(1-EXP(-LN(2)/35))/(LN(2)/35)*DW29*DX29*VLOOKUP('Données projet'!$B$14,Paramètres!$A$1:$I$89,3,0)*0.475*44/12</f>
        <v>#N/A</v>
      </c>
      <c r="EB29" s="21" t="e">
        <f>EXP(-LN(2)/25)*EB28+(1-EXP(-LN(2)/25))/(LN(2)/25)*Calculateur!DW29*Calculateur!DY29*VLOOKUP('Données projet'!$B$14,Paramètres!$A$1:$I$89,3,0)*0.475*44/12</f>
        <v>#N/A</v>
      </c>
      <c r="EC29" s="21" t="e">
        <f>EXP(-LN(2)/2)*EC28+(1-EXP(-LN(2)/2))/(LN(2)/2)*DW29*DZ29*VLOOKUP('Données projet'!$B$14,Paramètres!$A$1:$I$89,3,0)*0.475*44/12</f>
        <v>#N/A</v>
      </c>
      <c r="ED29" s="22" t="e">
        <f t="shared" si="18"/>
        <v>#N/A</v>
      </c>
      <c r="EE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0</v>
      </c>
      <c r="EJ29" s="12">
        <f>IF('Données projet'!$A$192&gt;35,EJ28+EI29-ER28,IF(A29&lt;'Données projet'!$A$192,$EG$205^A29,IF(A29='Données projet'!$A$192,'Données projet'!$B$192,EJ28+EI29-ER28)))</f>
        <v>0</v>
      </c>
      <c r="EK29" s="17" t="e">
        <f>EJ29*VLOOKUP('Données projet'!$B$15,Paramètres!$A$1:$I$89,3,0)*VLOOKUP('Données projet'!$B$15,Paramètres!$A$1:$I$89,5,0)</f>
        <v>#N/A</v>
      </c>
      <c r="EL29" s="13" t="e">
        <f t="shared" si="45"/>
        <v>#N/A</v>
      </c>
      <c r="EM29" s="20" t="e">
        <f t="shared" si="19"/>
        <v>#N/A</v>
      </c>
      <c r="EN29" s="59" t="e">
        <f t="shared" si="20"/>
        <v>#N/A</v>
      </c>
      <c r="EO29" s="59" t="e">
        <f ca="1">AVERAGE(OFFSET($EN$3,0,0,'Données projet'!$E$15+1,1))-AVERAGE(OFFSET($H$3,0,0,'Données projet'!$E$15+1,1))</f>
        <v>#N/A</v>
      </c>
      <c r="EP29" s="59" t="e">
        <f t="shared" si="46"/>
        <v>#N/A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 t="e">
        <f>EXP(-LN(2)/35)*EV28+(1-EXP(-LN(2)/35))/(LN(2)/35)*ER29*ES29*VLOOKUP('Données projet'!$B$15,Paramètres!$A$1:$I$89,3,0)*0.475*44/12</f>
        <v>#N/A</v>
      </c>
      <c r="EW29" s="21" t="e">
        <f>EXP(-LN(2)/25)*EW28+(1-EXP(-LN(2)/25))/(LN(2)/25)*Calculateur!ER29*Calculateur!ET29*VLOOKUP('Données projet'!$B$15,Paramètres!$A$1:$I$89,3,0)*0.475*44/12</f>
        <v>#N/A</v>
      </c>
      <c r="EX29" s="21" t="e">
        <f>EXP(-LN(2)/2)*EX28+(1-EXP(-LN(2)/2))/(LN(2)/2)*ER29*EU29*VLOOKUP('Données projet'!$B$15,Paramètres!$A$1:$I$89,3,0)*0.475*44/12</f>
        <v>#N/A</v>
      </c>
      <c r="EY29" s="22" t="e">
        <f t="shared" si="21"/>
        <v>#N/A</v>
      </c>
      <c r="EZ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45">
      <c r="A30" s="10">
        <f t="shared" si="31"/>
        <v>27</v>
      </c>
      <c r="B30" s="73">
        <f>'Scénario référence'!$B$16*5+'Scénario référence'!$B$17*0+'Scénario référence'!$B$18*5</f>
        <v>0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24.008399999999995</v>
      </c>
      <c r="D30" s="11">
        <f t="shared" si="32"/>
        <v>7.6425977910346958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">
        <f>IF(OR('Scénario référence'!$F$8&gt;0,'Scénario référence'!$F$9&gt;0),('Scénario référence'!$F$8+'Scénario référence'!$F$9)*10,0)</f>
        <v>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244.32349172026781</v>
      </c>
      <c r="H30" s="67">
        <f t="shared" si="1"/>
        <v>311.79215448605208</v>
      </c>
      <c r="I30" s="7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8.1011764705882356</v>
      </c>
      <c r="N30" s="13">
        <f>IF('Données projet'!$A$36&gt;35,N29+M30-V29,IF(A30&lt;'Données projet'!$A$36,$K$205^A30,IF(A30='Données projet'!$A$36,'Données projet'!$B$36,N29+M30-V29)))</f>
        <v>86.630038558378459</v>
      </c>
      <c r="O30" s="13">
        <f>N30*VLOOKUP('Données projet'!$B$9,Paramètres!$A$1:$I$89,3,0)*VLOOKUP('Données projet'!$B$9,Paramètres!$A$1:$I$89,5,0)</f>
        <v>48.42619155413356</v>
      </c>
      <c r="P30" s="13">
        <f t="shared" si="33"/>
        <v>14.206563331723023</v>
      </c>
      <c r="Q30" s="20">
        <f t="shared" si="2"/>
        <v>109.08538142620021</v>
      </c>
      <c r="R30" s="59">
        <f t="shared" si="0"/>
        <v>398.75204809286691</v>
      </c>
      <c r="S30" s="59">
        <f ca="1">AVERAGE(OFFSET($R$3,0,0,'Données projet'!$E$9+1,1))-AVERAGE(OFFSET($H$3,0,0,'Données projet'!$E$9+1,1))</f>
        <v>280.69347314340195</v>
      </c>
      <c r="T30" s="59">
        <f t="shared" si="34"/>
        <v>152.40533828556482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0</v>
      </c>
      <c r="AA30" s="21">
        <f>EXP(-LN(2)/25)*AA29+(1-EXP(-LN(2)/25))/(LN(2)/25)*Calculateur!V30*Calculateur!X30*VLOOKUP('Données projet'!$B$9,Paramètres!$A$1:$I$89,3,0)*0.475*44/12</f>
        <v>0</v>
      </c>
      <c r="AB30" s="21">
        <f>EXP(-LN(2)/2)*AB29+(1-EXP(-LN(2)/2))/(LN(2)/2)*V30*Y30*VLOOKUP('Données projet'!$B$9,Paramètres!$A$1:$I$89,3,0)*0.475*44/12</f>
        <v>0</v>
      </c>
      <c r="AC30" s="22">
        <f t="shared" si="3"/>
        <v>0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14.166666666666666</v>
      </c>
      <c r="AI30" s="13">
        <f>IF('Données projet'!$A$62&gt;35,AI29+AH30-AQ29,IF(A30&lt;'Données projet'!$A$62,$AF$205^A30,IF(A30='Données projet'!$A$62,'Données projet'!$B$62,AI29+AH30-AQ29)))</f>
        <v>181.49999999999997</v>
      </c>
      <c r="AJ30" s="13">
        <f>AI30*VLOOKUP('Données projet'!$B$10,Paramètres!$A$1:$I$89,3,0)*VLOOKUP('Données projet'!$B$10,Paramètres!$A$1:$I$89,5,0)</f>
        <v>113.25599999999997</v>
      </c>
      <c r="AK30" s="13">
        <f t="shared" si="35"/>
        <v>30.096816336106439</v>
      </c>
      <c r="AL30" s="20">
        <f t="shared" si="4"/>
        <v>249.67282178538531</v>
      </c>
      <c r="AM30" s="59">
        <f t="shared" si="5"/>
        <v>539.33948845205202</v>
      </c>
      <c r="AN30" s="59">
        <f ca="1">AVERAGE(OFFSET($AM$3,0,0,'Données projet'!$E$10+1,1))-AVERAGE(OFFSET($H$3,0,0,'Données projet'!$E$10+1,1))</f>
        <v>179.4725256147085</v>
      </c>
      <c r="AO30" s="59">
        <f t="shared" si="36"/>
        <v>282.16750121151176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8.3376671311756763</v>
      </c>
      <c r="AV30" s="21">
        <f>EXP(-LN(2)/25)*AV29+(1-EXP(-LN(2)/25))/(LN(2)/25)*Calculateur!AQ30*Calculateur!AS30*VLOOKUP('Données projet'!$B$10,Paramètres!$A$1:$I$89,3,0)*0.475*44/12</f>
        <v>11.766741391938288</v>
      </c>
      <c r="AW30" s="21">
        <f>EXP(-LN(2)/2)*AW29+(1-EXP(-LN(2)/2))/(LN(2)/2)*AQ30*AT30*VLOOKUP('Données projet'!$B$10,Paramètres!$A$1:$I$89,3,0)*0.475*44/12</f>
        <v>3.8625303994178473</v>
      </c>
      <c r="AX30" s="21">
        <f t="shared" si="6"/>
        <v>23.96693892253181</v>
      </c>
      <c r="AY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5.3214035087719296</v>
      </c>
      <c r="BD30" s="12">
        <f>IF('Données projet'!$A$88&gt;35,BD29+BC30-BL29,IF(A30&lt;'Données projet'!$A$88,$BA$205^A30,IF(A30='Données projet'!$A$88,'Données projet'!$B$88,BD29+BC30-BL29)))</f>
        <v>143.67789473684221</v>
      </c>
      <c r="BE30" s="13">
        <f>BD30*VLOOKUP('Données projet'!$B$11,Paramètres!$A$1:$I$89,3,0)*VLOOKUP('Données projet'!$B$11,Paramètres!$A$1:$I$89,5,0)</f>
        <v>123.27563368421063</v>
      </c>
      <c r="BF30" s="13">
        <f t="shared" si="37"/>
        <v>32.437785479225838</v>
      </c>
      <c r="BG30" s="20">
        <f t="shared" si="7"/>
        <v>271.20087170965184</v>
      </c>
      <c r="BH30" s="59">
        <f t="shared" si="8"/>
        <v>560.86753837631852</v>
      </c>
      <c r="BI30" s="59">
        <f ca="1">AVERAGE(OFFSET($BH$3,0,0,'Données projet'!$E$11+1,1))-AVERAGE(OFFSET($H$3,0,0,'Données projet'!$E$11+1,1))</f>
        <v>312.89478437044261</v>
      </c>
      <c r="BJ30" s="59">
        <f t="shared" si="38"/>
        <v>276.16555507854571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>
        <f>EXP(-LN(2)/35)*BP29+(1-EXP(-LN(2)/35))/(LN(2)/35)*BL30*BM30*VLOOKUP('Données projet'!$B$11,Paramètres!$A$1:$I$89,3,0)*0.475*44/12</f>
        <v>0</v>
      </c>
      <c r="BQ30" s="21">
        <f>EXP(-LN(2)/25)*BQ29+(1-EXP(-LN(2)/25))/(LN(2)/25)*Calculateur!BL30*Calculateur!BN30*VLOOKUP('Données projet'!$B$11,Paramètres!$A$1:$I$89,3,0)*0.475*44/12</f>
        <v>0</v>
      </c>
      <c r="BR30" s="21">
        <f>EXP(-LN(2)/2)*BR29+(1-EXP(-LN(2)/2))/(LN(2)/2)*BL30*BO30*VLOOKUP('Données projet'!$B$11,Paramètres!$A$1:$I$89,3,0)*0.475*44/12</f>
        <v>0</v>
      </c>
      <c r="BS30" s="22">
        <f t="shared" si="9"/>
        <v>0</v>
      </c>
      <c r="BT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0</v>
      </c>
      <c r="BY30" s="12">
        <f>IF('Données projet'!$A$114&gt;35,BY29+BX30-CG29,IF(A30&lt;'Données projet'!$A$114,$BV$205^A30,IF(A30='Données projet'!$A$114,'Données projet'!$B$114,BY29+BX30-CG29)))</f>
        <v>0</v>
      </c>
      <c r="BZ30" s="13" t="e">
        <f>BY30*VLOOKUP('Données projet'!$B$12,Paramètres!$A$1:$I$89,3,0)*VLOOKUP('Données projet'!$B$12,Paramètres!$A$1:$I$89,5,0)</f>
        <v>#N/A</v>
      </c>
      <c r="CA30" s="13" t="e">
        <f t="shared" si="39"/>
        <v>#N/A</v>
      </c>
      <c r="CB30" s="20" t="e">
        <f t="shared" si="10"/>
        <v>#N/A</v>
      </c>
      <c r="CC30" s="59" t="e">
        <f t="shared" si="11"/>
        <v>#N/A</v>
      </c>
      <c r="CD30" s="59" t="e">
        <f ca="1">AVERAGE(OFFSET($CC$3,0,0,'Données projet'!$E$12+1,1))-AVERAGE(OFFSET($H$3,0,0,'Données projet'!$E$12+1,1))</f>
        <v>#N/A</v>
      </c>
      <c r="CE30" s="59" t="e">
        <f t="shared" si="40"/>
        <v>#N/A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 t="e">
        <f>EXP(-LN(2)/35)*CK29+(1-EXP(-LN(2)/35))/(LN(2)/35)*CG30*CH30*VLOOKUP('Données projet'!$B$12,Paramètres!$A$1:$I$89,3,0)*0.475*44/12</f>
        <v>#N/A</v>
      </c>
      <c r="CL30" s="21" t="e">
        <f>EXP(-LN(2)/25)*CL29+(1-EXP(-LN(2)/25))/(LN(2)/25)*Calculateur!CG30*Calculateur!CI30*VLOOKUP('Données projet'!$B$12,Paramètres!$A$1:$I$89,3,0)*0.475*44/12</f>
        <v>#N/A</v>
      </c>
      <c r="CM30" s="21" t="e">
        <f>EXP(-LN(2)/2)*CM29+(1-EXP(-LN(2)/2))/(LN(2)/2)*CG30*CJ30*VLOOKUP('Données projet'!$B$12,Paramètres!$A$1:$I$89,3,0)*0.475*44/12</f>
        <v>#N/A</v>
      </c>
      <c r="CN30" s="22" t="e">
        <f t="shared" si="12"/>
        <v>#N/A</v>
      </c>
      <c r="CO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0</v>
      </c>
      <c r="CT30" s="12">
        <f>IF('Données projet'!$A$140&gt;35,CT29+CS30-DB29,IF(A30&lt;'Données projet'!$A$140,$CQ$205^A30,IF(A30='Données projet'!$A$140,'Données projet'!$B$140,CT29+CS30-DB29)))</f>
        <v>0</v>
      </c>
      <c r="CU30" s="17" t="e">
        <f>CT30*VLOOKUP('Données projet'!$B$13,Paramètres!$A$1:$I$89,3,0)*VLOOKUP('Données projet'!$B$13,Paramètres!$A$1:$I$89,5,0)</f>
        <v>#N/A</v>
      </c>
      <c r="CV30" s="13" t="e">
        <f t="shared" si="41"/>
        <v>#N/A</v>
      </c>
      <c r="CW30" s="20" t="e">
        <f t="shared" si="13"/>
        <v>#N/A</v>
      </c>
      <c r="CX30" s="59" t="e">
        <f t="shared" si="14"/>
        <v>#N/A</v>
      </c>
      <c r="CY30" s="59" t="e">
        <f ca="1">AVERAGE(OFFSET($CX$3,0,0,'Données projet'!$E$13+1,1))-AVERAGE(OFFSET($H$3,0,0,'Données projet'!$E$13+1,1))</f>
        <v>#N/A</v>
      </c>
      <c r="CZ30" s="59" t="e">
        <f t="shared" si="42"/>
        <v>#N/A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 t="e">
        <f>EXP(-LN(2)/35)*DF29+(1-EXP(-LN(2)/35))/(LN(2)/35)*DB30*DC30*VLOOKUP('Données projet'!$B$13,Paramètres!$A$1:$I$89,3,0)*0.475*44/12</f>
        <v>#N/A</v>
      </c>
      <c r="DG30" s="21" t="e">
        <f>EXP(-LN(2)/25)*DG29+(1-EXP(-LN(2)/25))/(LN(2)/25)*Calculateur!DB30*Calculateur!DD30*VLOOKUP('Données projet'!$B$13,Paramètres!$A$1:$I$89,3,0)*0.475*44/12</f>
        <v>#N/A</v>
      </c>
      <c r="DH30" s="21" t="e">
        <f>EXP(-LN(2)/2)*DH29+(1-EXP(-LN(2)/2))/(LN(2)/2)*DB30*DE30*VLOOKUP('Données projet'!$B$13,Paramètres!$A$1:$I$89,3,0)*0.475*44/12</f>
        <v>#N/A</v>
      </c>
      <c r="DI30" s="22" t="e">
        <f t="shared" si="15"/>
        <v>#N/A</v>
      </c>
      <c r="DJ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0</v>
      </c>
      <c r="DO30" s="12">
        <f>IF('Données projet'!$A$166&gt;35,DO29+DN30-DW29,IF(A30&lt;'Données projet'!$A$166,$DL$205^A30,IF(A30='Données projet'!$A$166,'Données projet'!$B$166,DO29+DN30-DW29)))</f>
        <v>0</v>
      </c>
      <c r="DP30" s="17" t="e">
        <f>DO30*VLOOKUP('Données projet'!$B$14,Paramètres!$A$1:$I$89,3,0)*VLOOKUP('Données projet'!$B$14,Paramètres!$A$1:$I$89,5,0)</f>
        <v>#N/A</v>
      </c>
      <c r="DQ30" s="13" t="e">
        <f t="shared" si="43"/>
        <v>#N/A</v>
      </c>
      <c r="DR30" s="20" t="e">
        <f t="shared" si="16"/>
        <v>#N/A</v>
      </c>
      <c r="DS30" s="59" t="e">
        <f t="shared" si="17"/>
        <v>#N/A</v>
      </c>
      <c r="DT30" s="59" t="e">
        <f ca="1">AVERAGE(OFFSET($DS$3,0,0,'Données projet'!$E$14+1,1))-AVERAGE(OFFSET($H$3,0,0,'Données projet'!$E$14+1,1))</f>
        <v>#N/A</v>
      </c>
      <c r="DU30" s="59" t="e">
        <f t="shared" si="44"/>
        <v>#N/A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 t="e">
        <f>EXP(-LN(2)/35)*EA29+(1-EXP(-LN(2)/35))/(LN(2)/35)*DW30*DX30*VLOOKUP('Données projet'!$B$14,Paramètres!$A$1:$I$89,3,0)*0.475*44/12</f>
        <v>#N/A</v>
      </c>
      <c r="EB30" s="21" t="e">
        <f>EXP(-LN(2)/25)*EB29+(1-EXP(-LN(2)/25))/(LN(2)/25)*Calculateur!DW30*Calculateur!DY30*VLOOKUP('Données projet'!$B$14,Paramètres!$A$1:$I$89,3,0)*0.475*44/12</f>
        <v>#N/A</v>
      </c>
      <c r="EC30" s="21" t="e">
        <f>EXP(-LN(2)/2)*EC29+(1-EXP(-LN(2)/2))/(LN(2)/2)*DW30*DZ30*VLOOKUP('Données projet'!$B$14,Paramètres!$A$1:$I$89,3,0)*0.475*44/12</f>
        <v>#N/A</v>
      </c>
      <c r="ED30" s="22" t="e">
        <f t="shared" si="18"/>
        <v>#N/A</v>
      </c>
      <c r="EE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0</v>
      </c>
      <c r="EJ30" s="12">
        <f>IF('Données projet'!$A$192&gt;35,EJ29+EI30-ER29,IF(A30&lt;'Données projet'!$A$192,$EG$205^A30,IF(A30='Données projet'!$A$192,'Données projet'!$B$192,EJ29+EI30-ER29)))</f>
        <v>0</v>
      </c>
      <c r="EK30" s="17" t="e">
        <f>EJ30*VLOOKUP('Données projet'!$B$15,Paramètres!$A$1:$I$89,3,0)*VLOOKUP('Données projet'!$B$15,Paramètres!$A$1:$I$89,5,0)</f>
        <v>#N/A</v>
      </c>
      <c r="EL30" s="13" t="e">
        <f t="shared" si="45"/>
        <v>#N/A</v>
      </c>
      <c r="EM30" s="20" t="e">
        <f t="shared" si="19"/>
        <v>#N/A</v>
      </c>
      <c r="EN30" s="59" t="e">
        <f t="shared" si="20"/>
        <v>#N/A</v>
      </c>
      <c r="EO30" s="59" t="e">
        <f ca="1">AVERAGE(OFFSET($EN$3,0,0,'Données projet'!$E$15+1,1))-AVERAGE(OFFSET($H$3,0,0,'Données projet'!$E$15+1,1))</f>
        <v>#N/A</v>
      </c>
      <c r="EP30" s="59" t="e">
        <f t="shared" si="46"/>
        <v>#N/A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 t="e">
        <f>EXP(-LN(2)/35)*EV29+(1-EXP(-LN(2)/35))/(LN(2)/35)*ER30*ES30*VLOOKUP('Données projet'!$B$15,Paramètres!$A$1:$I$89,3,0)*0.475*44/12</f>
        <v>#N/A</v>
      </c>
      <c r="EW30" s="21" t="e">
        <f>EXP(-LN(2)/25)*EW29+(1-EXP(-LN(2)/25))/(LN(2)/25)*Calculateur!ER30*Calculateur!ET30*VLOOKUP('Données projet'!$B$15,Paramètres!$A$1:$I$89,3,0)*0.475*44/12</f>
        <v>#N/A</v>
      </c>
      <c r="EX30" s="21" t="e">
        <f>EXP(-LN(2)/2)*EX29+(1-EXP(-LN(2)/2))/(LN(2)/2)*ER30*EU30*VLOOKUP('Données projet'!$B$15,Paramètres!$A$1:$I$89,3,0)*0.475*44/12</f>
        <v>#N/A</v>
      </c>
      <c r="EY30" s="22" t="e">
        <f t="shared" si="21"/>
        <v>#N/A</v>
      </c>
      <c r="EZ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45">
      <c r="A31" s="10">
        <f t="shared" si="31"/>
        <v>28</v>
      </c>
      <c r="B31" s="73">
        <f>'Scénario référence'!$B$16*5+'Scénario référence'!$B$17*0+'Scénario référence'!$B$18*5</f>
        <v>0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24.897599999999994</v>
      </c>
      <c r="D31" s="11">
        <f t="shared" si="32"/>
        <v>7.8921770401958202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">
        <f>IF(OR('Scénario référence'!$F$8&gt;0,'Scénario référence'!$F$9&gt;0),('Scénario référence'!$F$8+'Scénario référence'!$F$9)*10,0)</f>
        <v>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253.11406838045892</v>
      </c>
      <c r="H31" s="67">
        <f t="shared" si="1"/>
        <v>313.77552834500773</v>
      </c>
      <c r="I31" s="7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2" t="e">
        <f>VLOOKUP(A31,'Données projet'!$A$35:$I$55,2,0)</f>
        <v>#N/A</v>
      </c>
      <c r="L31" s="12" t="e">
        <f>VLOOKUP(A31,'Données projet'!$A$35:$I$55,9,0)</f>
        <v>#N/A</v>
      </c>
      <c r="M31" s="12">
        <f t="array" ref="M31">INDEX(L:L,MIN(IF(ISNUMBER(L31:L227),ROW(L31:L227),"")))</f>
        <v>8.1011764705882356</v>
      </c>
      <c r="N31" s="13">
        <f>IF('Données projet'!$A$36&gt;35,N30+M31-V30,IF(A31&lt;'Données projet'!$A$36,$K$205^A31,IF(A31='Données projet'!$A$36,'Données projet'!$B$36,N30+M31-V30)))</f>
        <v>102.19602596618446</v>
      </c>
      <c r="O31" s="13">
        <f>N31*VLOOKUP('Données projet'!$B$9,Paramètres!$A$1:$I$89,3,0)*VLOOKUP('Données projet'!$B$9,Paramètres!$A$1:$I$89,5,0)</f>
        <v>57.127578515097113</v>
      </c>
      <c r="P31" s="13">
        <f t="shared" si="33"/>
        <v>16.439970267964245</v>
      </c>
      <c r="Q31" s="20">
        <f t="shared" si="2"/>
        <v>128.13014746383186</v>
      </c>
      <c r="R31" s="59">
        <f t="shared" si="0"/>
        <v>419.01903635272072</v>
      </c>
      <c r="S31" s="59">
        <f ca="1">AVERAGE(OFFSET($R$3,0,0,'Données projet'!$E$9+1,1))-AVERAGE(OFFSET($H$3,0,0,'Données projet'!$E$9+1,1))</f>
        <v>280.69347314340195</v>
      </c>
      <c r="T31" s="59">
        <f t="shared" si="34"/>
        <v>152.40533828556482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0</v>
      </c>
      <c r="AA31" s="21">
        <f>EXP(-LN(2)/25)*AA30+(1-EXP(-LN(2)/25))/(LN(2)/25)*Calculateur!V31*Calculateur!X31*VLOOKUP('Données projet'!$B$9,Paramètres!$A$1:$I$89,3,0)*0.475*44/12</f>
        <v>0</v>
      </c>
      <c r="AB31" s="21">
        <f>EXP(-LN(2)/2)*AB30+(1-EXP(-LN(2)/2))/(LN(2)/2)*V31*Y31*VLOOKUP('Données projet'!$B$9,Paramètres!$A$1:$I$89,3,0)*0.475*44/12</f>
        <v>0</v>
      </c>
      <c r="AC31" s="22">
        <f t="shared" si="3"/>
        <v>0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14.166666666666666</v>
      </c>
      <c r="AI31" s="13">
        <f>IF('Données projet'!$A$62&gt;35,AI30+AH31-AQ30,IF(A31&lt;'Données projet'!$A$62,$AF$205^A31,IF(A31='Données projet'!$A$62,'Données projet'!$B$62,AI30+AH31-AQ30)))</f>
        <v>195.66666666666663</v>
      </c>
      <c r="AJ31" s="13">
        <f>AI31*VLOOKUP('Données projet'!$B$10,Paramètres!$A$1:$I$89,3,0)*VLOOKUP('Données projet'!$B$10,Paramètres!$A$1:$I$89,5,0)</f>
        <v>122.09599999999998</v>
      </c>
      <c r="AK31" s="13">
        <f t="shared" si="35"/>
        <v>32.163363121463028</v>
      </c>
      <c r="AL31" s="20">
        <f t="shared" si="4"/>
        <v>268.6683907698814</v>
      </c>
      <c r="AM31" s="59">
        <f t="shared" si="5"/>
        <v>559.55727965877031</v>
      </c>
      <c r="AN31" s="59">
        <f ca="1">AVERAGE(OFFSET($AM$3,0,0,'Données projet'!$E$10+1,1))-AVERAGE(OFFSET($H$3,0,0,'Données projet'!$E$10+1,1))</f>
        <v>179.4725256147085</v>
      </c>
      <c r="AO31" s="59">
        <f t="shared" si="36"/>
        <v>282.16750121151176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8.1741705642081222</v>
      </c>
      <c r="AV31" s="21">
        <f>EXP(-LN(2)/25)*AV30+(1-EXP(-LN(2)/25))/(LN(2)/25)*Calculateur!AQ31*Calculateur!AS31*VLOOKUP('Données projet'!$B$10,Paramètres!$A$1:$I$89,3,0)*0.475*44/12</f>
        <v>11.444979229789698</v>
      </c>
      <c r="AW31" s="21">
        <f>EXP(-LN(2)/2)*AW30+(1-EXP(-LN(2)/2))/(LN(2)/2)*AQ31*AT31*VLOOKUP('Données projet'!$B$10,Paramètres!$A$1:$I$89,3,0)*0.475*44/12</f>
        <v>2.7312214379675441</v>
      </c>
      <c r="AX31" s="21">
        <f t="shared" si="6"/>
        <v>22.350371231965365</v>
      </c>
      <c r="AY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5.3214035087719296</v>
      </c>
      <c r="BD31" s="12">
        <f>IF('Données projet'!$A$88&gt;35,BD30+BC31-BL30,IF(A31&lt;'Données projet'!$A$88,$BA$205^A31,IF(A31='Données projet'!$A$88,'Données projet'!$B$88,BD30+BC31-BL30)))</f>
        <v>148.99929824561414</v>
      </c>
      <c r="BE31" s="13">
        <f>BD31*VLOOKUP('Données projet'!$B$11,Paramètres!$A$1:$I$89,3,0)*VLOOKUP('Données projet'!$B$11,Paramètres!$A$1:$I$89,5,0)</f>
        <v>127.84139789473696</v>
      </c>
      <c r="BF31" s="13">
        <f t="shared" si="37"/>
        <v>33.49708473397034</v>
      </c>
      <c r="BG31" s="20">
        <f t="shared" si="7"/>
        <v>280.99785724499856</v>
      </c>
      <c r="BH31" s="59">
        <f t="shared" si="8"/>
        <v>571.88674613388741</v>
      </c>
      <c r="BI31" s="59">
        <f ca="1">AVERAGE(OFFSET($BH$3,0,0,'Données projet'!$E$11+1,1))-AVERAGE(OFFSET($H$3,0,0,'Données projet'!$E$11+1,1))</f>
        <v>312.89478437044261</v>
      </c>
      <c r="BJ31" s="59">
        <f t="shared" si="38"/>
        <v>276.16555507854571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>
        <f>EXP(-LN(2)/35)*BP30+(1-EXP(-LN(2)/35))/(LN(2)/35)*BL31*BM31*VLOOKUP('Données projet'!$B$11,Paramètres!$A$1:$I$89,3,0)*0.475*44/12</f>
        <v>0</v>
      </c>
      <c r="BQ31" s="21">
        <f>EXP(-LN(2)/25)*BQ30+(1-EXP(-LN(2)/25))/(LN(2)/25)*Calculateur!BL31*Calculateur!BN31*VLOOKUP('Données projet'!$B$11,Paramètres!$A$1:$I$89,3,0)*0.475*44/12</f>
        <v>0</v>
      </c>
      <c r="BR31" s="21">
        <f>EXP(-LN(2)/2)*BR30+(1-EXP(-LN(2)/2))/(LN(2)/2)*BL31*BO31*VLOOKUP('Données projet'!$B$11,Paramètres!$A$1:$I$89,3,0)*0.475*44/12</f>
        <v>0</v>
      </c>
      <c r="BS31" s="22">
        <f t="shared" si="9"/>
        <v>0</v>
      </c>
      <c r="BT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0</v>
      </c>
      <c r="BY31" s="12">
        <f>IF('Données projet'!$A$114&gt;35,BY30+BX31-CG30,IF(A31&lt;'Données projet'!$A$114,$BV$205^A31,IF(A31='Données projet'!$A$114,'Données projet'!$B$114,BY30+BX31-CG30)))</f>
        <v>0</v>
      </c>
      <c r="BZ31" s="13" t="e">
        <f>BY31*VLOOKUP('Données projet'!$B$12,Paramètres!$A$1:$I$89,3,0)*VLOOKUP('Données projet'!$B$12,Paramètres!$A$1:$I$89,5,0)</f>
        <v>#N/A</v>
      </c>
      <c r="CA31" s="13" t="e">
        <f t="shared" si="39"/>
        <v>#N/A</v>
      </c>
      <c r="CB31" s="20" t="e">
        <f t="shared" si="10"/>
        <v>#N/A</v>
      </c>
      <c r="CC31" s="59" t="e">
        <f t="shared" si="11"/>
        <v>#N/A</v>
      </c>
      <c r="CD31" s="59" t="e">
        <f ca="1">AVERAGE(OFFSET($CC$3,0,0,'Données projet'!$E$12+1,1))-AVERAGE(OFFSET($H$3,0,0,'Données projet'!$E$12+1,1))</f>
        <v>#N/A</v>
      </c>
      <c r="CE31" s="59" t="e">
        <f t="shared" si="40"/>
        <v>#N/A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 t="e">
        <f>EXP(-LN(2)/35)*CK30+(1-EXP(-LN(2)/35))/(LN(2)/35)*CG31*CH31*VLOOKUP('Données projet'!$B$12,Paramètres!$A$1:$I$89,3,0)*0.475*44/12</f>
        <v>#N/A</v>
      </c>
      <c r="CL31" s="21" t="e">
        <f>EXP(-LN(2)/25)*CL30+(1-EXP(-LN(2)/25))/(LN(2)/25)*Calculateur!CG31*Calculateur!CI31*VLOOKUP('Données projet'!$B$12,Paramètres!$A$1:$I$89,3,0)*0.475*44/12</f>
        <v>#N/A</v>
      </c>
      <c r="CM31" s="21" t="e">
        <f>EXP(-LN(2)/2)*CM30+(1-EXP(-LN(2)/2))/(LN(2)/2)*CG31*CJ31*VLOOKUP('Données projet'!$B$12,Paramètres!$A$1:$I$89,3,0)*0.475*44/12</f>
        <v>#N/A</v>
      </c>
      <c r="CN31" s="22" t="e">
        <f t="shared" si="12"/>
        <v>#N/A</v>
      </c>
      <c r="CO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0</v>
      </c>
      <c r="CT31" s="12">
        <f>IF('Données projet'!$A$140&gt;35,CT30+CS31-DB30,IF(A31&lt;'Données projet'!$A$140,$CQ$205^A31,IF(A31='Données projet'!$A$140,'Données projet'!$B$140,CT30+CS31-DB30)))</f>
        <v>0</v>
      </c>
      <c r="CU31" s="17" t="e">
        <f>CT31*VLOOKUP('Données projet'!$B$13,Paramètres!$A$1:$I$89,3,0)*VLOOKUP('Données projet'!$B$13,Paramètres!$A$1:$I$89,5,0)</f>
        <v>#N/A</v>
      </c>
      <c r="CV31" s="13" t="e">
        <f t="shared" si="41"/>
        <v>#N/A</v>
      </c>
      <c r="CW31" s="20" t="e">
        <f t="shared" si="13"/>
        <v>#N/A</v>
      </c>
      <c r="CX31" s="59" t="e">
        <f t="shared" si="14"/>
        <v>#N/A</v>
      </c>
      <c r="CY31" s="59" t="e">
        <f ca="1">AVERAGE(OFFSET($CX$3,0,0,'Données projet'!$E$13+1,1))-AVERAGE(OFFSET($H$3,0,0,'Données projet'!$E$13+1,1))</f>
        <v>#N/A</v>
      </c>
      <c r="CZ31" s="59" t="e">
        <f t="shared" si="42"/>
        <v>#N/A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 t="e">
        <f>EXP(-LN(2)/35)*DF30+(1-EXP(-LN(2)/35))/(LN(2)/35)*DB31*DC31*VLOOKUP('Données projet'!$B$13,Paramètres!$A$1:$I$89,3,0)*0.475*44/12</f>
        <v>#N/A</v>
      </c>
      <c r="DG31" s="21" t="e">
        <f>EXP(-LN(2)/25)*DG30+(1-EXP(-LN(2)/25))/(LN(2)/25)*Calculateur!DB31*Calculateur!DD31*VLOOKUP('Données projet'!$B$13,Paramètres!$A$1:$I$89,3,0)*0.475*44/12</f>
        <v>#N/A</v>
      </c>
      <c r="DH31" s="21" t="e">
        <f>EXP(-LN(2)/2)*DH30+(1-EXP(-LN(2)/2))/(LN(2)/2)*DB31*DE31*VLOOKUP('Données projet'!$B$13,Paramètres!$A$1:$I$89,3,0)*0.475*44/12</f>
        <v>#N/A</v>
      </c>
      <c r="DI31" s="22" t="e">
        <f t="shared" si="15"/>
        <v>#N/A</v>
      </c>
      <c r="DJ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0</v>
      </c>
      <c r="DO31" s="12">
        <f>IF('Données projet'!$A$166&gt;35,DO30+DN31-DW30,IF(A31&lt;'Données projet'!$A$166,$DL$205^A31,IF(A31='Données projet'!$A$166,'Données projet'!$B$166,DO30+DN31-DW30)))</f>
        <v>0</v>
      </c>
      <c r="DP31" s="17" t="e">
        <f>DO31*VLOOKUP('Données projet'!$B$14,Paramètres!$A$1:$I$89,3,0)*VLOOKUP('Données projet'!$B$14,Paramètres!$A$1:$I$89,5,0)</f>
        <v>#N/A</v>
      </c>
      <c r="DQ31" s="13" t="e">
        <f t="shared" si="43"/>
        <v>#N/A</v>
      </c>
      <c r="DR31" s="20" t="e">
        <f t="shared" si="16"/>
        <v>#N/A</v>
      </c>
      <c r="DS31" s="59" t="e">
        <f t="shared" si="17"/>
        <v>#N/A</v>
      </c>
      <c r="DT31" s="59" t="e">
        <f ca="1">AVERAGE(OFFSET($DS$3,0,0,'Données projet'!$E$14+1,1))-AVERAGE(OFFSET($H$3,0,0,'Données projet'!$E$14+1,1))</f>
        <v>#N/A</v>
      </c>
      <c r="DU31" s="59" t="e">
        <f t="shared" si="44"/>
        <v>#N/A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 t="e">
        <f>EXP(-LN(2)/35)*EA30+(1-EXP(-LN(2)/35))/(LN(2)/35)*DW31*DX31*VLOOKUP('Données projet'!$B$14,Paramètres!$A$1:$I$89,3,0)*0.475*44/12</f>
        <v>#N/A</v>
      </c>
      <c r="EB31" s="21" t="e">
        <f>EXP(-LN(2)/25)*EB30+(1-EXP(-LN(2)/25))/(LN(2)/25)*Calculateur!DW31*Calculateur!DY31*VLOOKUP('Données projet'!$B$14,Paramètres!$A$1:$I$89,3,0)*0.475*44/12</f>
        <v>#N/A</v>
      </c>
      <c r="EC31" s="21" t="e">
        <f>EXP(-LN(2)/2)*EC30+(1-EXP(-LN(2)/2))/(LN(2)/2)*DW31*DZ31*VLOOKUP('Données projet'!$B$14,Paramètres!$A$1:$I$89,3,0)*0.475*44/12</f>
        <v>#N/A</v>
      </c>
      <c r="ED31" s="22" t="e">
        <f t="shared" si="18"/>
        <v>#N/A</v>
      </c>
      <c r="EE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0</v>
      </c>
      <c r="EJ31" s="12">
        <f>IF('Données projet'!$A$192&gt;35,EJ30+EI31-ER30,IF(A31&lt;'Données projet'!$A$192,$EG$205^A31,IF(A31='Données projet'!$A$192,'Données projet'!$B$192,EJ30+EI31-ER30)))</f>
        <v>0</v>
      </c>
      <c r="EK31" s="17" t="e">
        <f>EJ31*VLOOKUP('Données projet'!$B$15,Paramètres!$A$1:$I$89,3,0)*VLOOKUP('Données projet'!$B$15,Paramètres!$A$1:$I$89,5,0)</f>
        <v>#N/A</v>
      </c>
      <c r="EL31" s="13" t="e">
        <f t="shared" si="45"/>
        <v>#N/A</v>
      </c>
      <c r="EM31" s="20" t="e">
        <f t="shared" si="19"/>
        <v>#N/A</v>
      </c>
      <c r="EN31" s="59" t="e">
        <f t="shared" si="20"/>
        <v>#N/A</v>
      </c>
      <c r="EO31" s="59" t="e">
        <f ca="1">AVERAGE(OFFSET($EN$3,0,0,'Données projet'!$E$15+1,1))-AVERAGE(OFFSET($H$3,0,0,'Données projet'!$E$15+1,1))</f>
        <v>#N/A</v>
      </c>
      <c r="EP31" s="59" t="e">
        <f t="shared" si="46"/>
        <v>#N/A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 t="e">
        <f>EXP(-LN(2)/35)*EV30+(1-EXP(-LN(2)/35))/(LN(2)/35)*ER31*ES31*VLOOKUP('Données projet'!$B$15,Paramètres!$A$1:$I$89,3,0)*0.475*44/12</f>
        <v>#N/A</v>
      </c>
      <c r="EW31" s="21" t="e">
        <f>EXP(-LN(2)/25)*EW30+(1-EXP(-LN(2)/25))/(LN(2)/25)*Calculateur!ER31*Calculateur!ET31*VLOOKUP('Données projet'!$B$15,Paramètres!$A$1:$I$89,3,0)*0.475*44/12</f>
        <v>#N/A</v>
      </c>
      <c r="EX31" s="21" t="e">
        <f>EXP(-LN(2)/2)*EX30+(1-EXP(-LN(2)/2))/(LN(2)/2)*ER31*EU31*VLOOKUP('Données projet'!$B$15,Paramètres!$A$1:$I$89,3,0)*0.475*44/12</f>
        <v>#N/A</v>
      </c>
      <c r="EY31" s="22" t="e">
        <f t="shared" si="21"/>
        <v>#N/A</v>
      </c>
      <c r="EZ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45">
      <c r="A32" s="10">
        <f t="shared" si="31"/>
        <v>29</v>
      </c>
      <c r="B32" s="73">
        <f>'Scénario référence'!$B$16*5+'Scénario référence'!$B$17*0+'Scénario référence'!$B$18*5</f>
        <v>0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25.786799999999992</v>
      </c>
      <c r="D32" s="11">
        <f t="shared" si="32"/>
        <v>8.1407206738151334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">
        <f>IF(OR('Scénario référence'!$F$8&gt;0,'Scénario référence'!$F$9&gt;0),('Scénario référence'!$F$8+'Scénario référence'!$F$9)*10,0)</f>
        <v>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261.89665081541494</v>
      </c>
      <c r="H32" s="67">
        <f t="shared" si="1"/>
        <v>315.75709850689469</v>
      </c>
      <c r="I32" s="7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8.1011764705882356</v>
      </c>
      <c r="N32" s="13">
        <f>IF('Données projet'!$A$36&gt;35,N31+M32-V31,IF(A32&lt;'Données projet'!$A$36,$K$205^A32,IF(A32='Données projet'!$A$36,'Données projet'!$B$36,N31+M32-V31)))</f>
        <v>120.55896427014747</v>
      </c>
      <c r="O32" s="13">
        <f>N32*VLOOKUP('Données projet'!$B$9,Paramètres!$A$1:$I$89,3,0)*VLOOKUP('Données projet'!$B$9,Paramètres!$A$1:$I$89,5,0)</f>
        <v>67.39246102701243</v>
      </c>
      <c r="P32" s="13">
        <f t="shared" si="33"/>
        <v>19.024490026242582</v>
      </c>
      <c r="Q32" s="20">
        <f t="shared" si="2"/>
        <v>150.50952308441916</v>
      </c>
      <c r="R32" s="59">
        <f t="shared" si="0"/>
        <v>442.62063419553033</v>
      </c>
      <c r="S32" s="59">
        <f ca="1">AVERAGE(OFFSET($R$3,0,0,'Données projet'!$E$9+1,1))-AVERAGE(OFFSET($H$3,0,0,'Données projet'!$E$9+1,1))</f>
        <v>280.69347314340195</v>
      </c>
      <c r="T32" s="59">
        <f t="shared" si="34"/>
        <v>152.40533828556482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0</v>
      </c>
      <c r="AA32" s="21">
        <f>EXP(-LN(2)/25)*AA31+(1-EXP(-LN(2)/25))/(LN(2)/25)*Calculateur!V32*Calculateur!X32*VLOOKUP('Données projet'!$B$9,Paramètres!$A$1:$I$89,3,0)*0.475*44/12</f>
        <v>0</v>
      </c>
      <c r="AB32" s="21">
        <f>EXP(-LN(2)/2)*AB31+(1-EXP(-LN(2)/2))/(LN(2)/2)*V32*Y32*VLOOKUP('Données projet'!$B$9,Paramètres!$A$1:$I$89,3,0)*0.475*44/12</f>
        <v>0</v>
      </c>
      <c r="AC32" s="22">
        <f t="shared" si="3"/>
        <v>0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14.166666666666666</v>
      </c>
      <c r="AI32" s="13">
        <f>IF('Données projet'!$A$62&gt;35,AI31+AH32-AQ31,IF(A32&lt;'Données projet'!$A$62,$AF$205^A32,IF(A32='Données projet'!$A$62,'Données projet'!$B$62,AI31+AH32-AQ31)))</f>
        <v>209.83333333333329</v>
      </c>
      <c r="AJ32" s="13">
        <f>AI32*VLOOKUP('Données projet'!$B$10,Paramètres!$A$1:$I$89,3,0)*VLOOKUP('Données projet'!$B$10,Paramètres!$A$1:$I$89,5,0)</f>
        <v>130.93599999999998</v>
      </c>
      <c r="AK32" s="13">
        <f t="shared" si="35"/>
        <v>34.21255106176632</v>
      </c>
      <c r="AL32" s="20">
        <f t="shared" si="4"/>
        <v>287.63372643257628</v>
      </c>
      <c r="AM32" s="59">
        <f t="shared" si="5"/>
        <v>579.74483754368748</v>
      </c>
      <c r="AN32" s="59">
        <f ca="1">AVERAGE(OFFSET($AM$3,0,0,'Données projet'!$E$10+1,1))-AVERAGE(OFFSET($H$3,0,0,'Données projet'!$E$10+1,1))</f>
        <v>179.4725256147085</v>
      </c>
      <c r="AO32" s="59">
        <f t="shared" si="36"/>
        <v>282.16750121151176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8.0138800651957425</v>
      </c>
      <c r="AV32" s="21">
        <f>EXP(-LN(2)/25)*AV31+(1-EXP(-LN(2)/25))/(LN(2)/25)*Calculateur!AQ32*Calculateur!AS32*VLOOKUP('Données projet'!$B$10,Paramètres!$A$1:$I$89,3,0)*0.475*44/12</f>
        <v>11.132015670885799</v>
      </c>
      <c r="AW32" s="21">
        <f>EXP(-LN(2)/2)*AW31+(1-EXP(-LN(2)/2))/(LN(2)/2)*AQ32*AT32*VLOOKUP('Données projet'!$B$10,Paramètres!$A$1:$I$89,3,0)*0.475*44/12</f>
        <v>1.9312651997089241</v>
      </c>
      <c r="AX32" s="21">
        <f t="shared" si="6"/>
        <v>21.077160935790467</v>
      </c>
      <c r="AY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5.3214035087719296</v>
      </c>
      <c r="BD32" s="12">
        <f>IF('Données projet'!$A$88&gt;35,BD31+BC32-BL31,IF(A32&lt;'Données projet'!$A$88,$BA$205^A32,IF(A32='Données projet'!$A$88,'Données projet'!$B$88,BD31+BC32-BL31)))</f>
        <v>154.32070175438608</v>
      </c>
      <c r="BE32" s="13">
        <f>BD32*VLOOKUP('Données projet'!$B$11,Paramètres!$A$1:$I$89,3,0)*VLOOKUP('Données projet'!$B$11,Paramètres!$A$1:$I$89,5,0)</f>
        <v>132.40716210526327</v>
      </c>
      <c r="BF32" s="13">
        <f t="shared" si="37"/>
        <v>34.551988483979009</v>
      </c>
      <c r="BG32" s="20">
        <f t="shared" si="7"/>
        <v>290.78718727626364</v>
      </c>
      <c r="BH32" s="59">
        <f t="shared" si="8"/>
        <v>582.89829838737478</v>
      </c>
      <c r="BI32" s="59">
        <f ca="1">AVERAGE(OFFSET($BH$3,0,0,'Données projet'!$E$11+1,1))-AVERAGE(OFFSET($H$3,0,0,'Données projet'!$E$11+1,1))</f>
        <v>312.89478437044261</v>
      </c>
      <c r="BJ32" s="59">
        <f t="shared" si="38"/>
        <v>276.16555507854571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>
        <f>EXP(-LN(2)/35)*BP31+(1-EXP(-LN(2)/35))/(LN(2)/35)*BL32*BM32*VLOOKUP('Données projet'!$B$11,Paramètres!$A$1:$I$89,3,0)*0.475*44/12</f>
        <v>0</v>
      </c>
      <c r="BQ32" s="21">
        <f>EXP(-LN(2)/25)*BQ31+(1-EXP(-LN(2)/25))/(LN(2)/25)*Calculateur!BL32*Calculateur!BN32*VLOOKUP('Données projet'!$B$11,Paramètres!$A$1:$I$89,3,0)*0.475*44/12</f>
        <v>0</v>
      </c>
      <c r="BR32" s="21">
        <f>EXP(-LN(2)/2)*BR31+(1-EXP(-LN(2)/2))/(LN(2)/2)*BL32*BO32*VLOOKUP('Données projet'!$B$11,Paramètres!$A$1:$I$89,3,0)*0.475*44/12</f>
        <v>0</v>
      </c>
      <c r="BS32" s="22">
        <f t="shared" si="9"/>
        <v>0</v>
      </c>
      <c r="BT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0</v>
      </c>
      <c r="BY32" s="12">
        <f>IF('Données projet'!$A$114&gt;35,BY31+BX32-CG31,IF(A32&lt;'Données projet'!$A$114,$BV$205^A32,IF(A32='Données projet'!$A$114,'Données projet'!$B$114,BY31+BX32-CG31)))</f>
        <v>0</v>
      </c>
      <c r="BZ32" s="13" t="e">
        <f>BY32*VLOOKUP('Données projet'!$B$12,Paramètres!$A$1:$I$89,3,0)*VLOOKUP('Données projet'!$B$12,Paramètres!$A$1:$I$89,5,0)</f>
        <v>#N/A</v>
      </c>
      <c r="CA32" s="13" t="e">
        <f t="shared" si="39"/>
        <v>#N/A</v>
      </c>
      <c r="CB32" s="20" t="e">
        <f t="shared" si="10"/>
        <v>#N/A</v>
      </c>
      <c r="CC32" s="59" t="e">
        <f t="shared" si="11"/>
        <v>#N/A</v>
      </c>
      <c r="CD32" s="59" t="e">
        <f ca="1">AVERAGE(OFFSET($CC$3,0,0,'Données projet'!$E$12+1,1))-AVERAGE(OFFSET($H$3,0,0,'Données projet'!$E$12+1,1))</f>
        <v>#N/A</v>
      </c>
      <c r="CE32" s="59" t="e">
        <f t="shared" si="40"/>
        <v>#N/A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 t="e">
        <f>EXP(-LN(2)/35)*CK31+(1-EXP(-LN(2)/35))/(LN(2)/35)*CG32*CH32*VLOOKUP('Données projet'!$B$12,Paramètres!$A$1:$I$89,3,0)*0.475*44/12</f>
        <v>#N/A</v>
      </c>
      <c r="CL32" s="21" t="e">
        <f>EXP(-LN(2)/25)*CL31+(1-EXP(-LN(2)/25))/(LN(2)/25)*Calculateur!CG32*Calculateur!CI32*VLOOKUP('Données projet'!$B$12,Paramètres!$A$1:$I$89,3,0)*0.475*44/12</f>
        <v>#N/A</v>
      </c>
      <c r="CM32" s="21" t="e">
        <f>EXP(-LN(2)/2)*CM31+(1-EXP(-LN(2)/2))/(LN(2)/2)*CG32*CJ32*VLOOKUP('Données projet'!$B$12,Paramètres!$A$1:$I$89,3,0)*0.475*44/12</f>
        <v>#N/A</v>
      </c>
      <c r="CN32" s="22" t="e">
        <f t="shared" si="12"/>
        <v>#N/A</v>
      </c>
      <c r="CO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0</v>
      </c>
      <c r="CT32" s="12">
        <f>IF('Données projet'!$A$140&gt;35,CT31+CS32-DB31,IF(A32&lt;'Données projet'!$A$140,$CQ$205^A32,IF(A32='Données projet'!$A$140,'Données projet'!$B$140,CT31+CS32-DB31)))</f>
        <v>0</v>
      </c>
      <c r="CU32" s="17" t="e">
        <f>CT32*VLOOKUP('Données projet'!$B$13,Paramètres!$A$1:$I$89,3,0)*VLOOKUP('Données projet'!$B$13,Paramètres!$A$1:$I$89,5,0)</f>
        <v>#N/A</v>
      </c>
      <c r="CV32" s="13" t="e">
        <f t="shared" si="41"/>
        <v>#N/A</v>
      </c>
      <c r="CW32" s="20" t="e">
        <f t="shared" si="13"/>
        <v>#N/A</v>
      </c>
      <c r="CX32" s="59" t="e">
        <f t="shared" si="14"/>
        <v>#N/A</v>
      </c>
      <c r="CY32" s="59" t="e">
        <f ca="1">AVERAGE(OFFSET($CX$3,0,0,'Données projet'!$E$13+1,1))-AVERAGE(OFFSET($H$3,0,0,'Données projet'!$E$13+1,1))</f>
        <v>#N/A</v>
      </c>
      <c r="CZ32" s="59" t="e">
        <f t="shared" si="42"/>
        <v>#N/A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 t="e">
        <f>EXP(-LN(2)/35)*DF31+(1-EXP(-LN(2)/35))/(LN(2)/35)*DB32*DC32*VLOOKUP('Données projet'!$B$13,Paramètres!$A$1:$I$89,3,0)*0.475*44/12</f>
        <v>#N/A</v>
      </c>
      <c r="DG32" s="21" t="e">
        <f>EXP(-LN(2)/25)*DG31+(1-EXP(-LN(2)/25))/(LN(2)/25)*Calculateur!DB32*Calculateur!DD32*VLOOKUP('Données projet'!$B$13,Paramètres!$A$1:$I$89,3,0)*0.475*44/12</f>
        <v>#N/A</v>
      </c>
      <c r="DH32" s="21" t="e">
        <f>EXP(-LN(2)/2)*DH31+(1-EXP(-LN(2)/2))/(LN(2)/2)*DB32*DE32*VLOOKUP('Données projet'!$B$13,Paramètres!$A$1:$I$89,3,0)*0.475*44/12</f>
        <v>#N/A</v>
      </c>
      <c r="DI32" s="22" t="e">
        <f t="shared" si="15"/>
        <v>#N/A</v>
      </c>
      <c r="DJ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0</v>
      </c>
      <c r="DO32" s="12">
        <f>IF('Données projet'!$A$166&gt;35,DO31+DN32-DW31,IF(A32&lt;'Données projet'!$A$166,$DL$205^A32,IF(A32='Données projet'!$A$166,'Données projet'!$B$166,DO31+DN32-DW31)))</f>
        <v>0</v>
      </c>
      <c r="DP32" s="17" t="e">
        <f>DO32*VLOOKUP('Données projet'!$B$14,Paramètres!$A$1:$I$89,3,0)*VLOOKUP('Données projet'!$B$14,Paramètres!$A$1:$I$89,5,0)</f>
        <v>#N/A</v>
      </c>
      <c r="DQ32" s="13" t="e">
        <f t="shared" si="43"/>
        <v>#N/A</v>
      </c>
      <c r="DR32" s="20" t="e">
        <f t="shared" si="16"/>
        <v>#N/A</v>
      </c>
      <c r="DS32" s="59" t="e">
        <f t="shared" si="17"/>
        <v>#N/A</v>
      </c>
      <c r="DT32" s="59" t="e">
        <f ca="1">AVERAGE(OFFSET($DS$3,0,0,'Données projet'!$E$14+1,1))-AVERAGE(OFFSET($H$3,0,0,'Données projet'!$E$14+1,1))</f>
        <v>#N/A</v>
      </c>
      <c r="DU32" s="59" t="e">
        <f t="shared" si="44"/>
        <v>#N/A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 t="e">
        <f>EXP(-LN(2)/35)*EA31+(1-EXP(-LN(2)/35))/(LN(2)/35)*DW32*DX32*VLOOKUP('Données projet'!$B$14,Paramètres!$A$1:$I$89,3,0)*0.475*44/12</f>
        <v>#N/A</v>
      </c>
      <c r="EB32" s="21" t="e">
        <f>EXP(-LN(2)/25)*EB31+(1-EXP(-LN(2)/25))/(LN(2)/25)*Calculateur!DW32*Calculateur!DY32*VLOOKUP('Données projet'!$B$14,Paramètres!$A$1:$I$89,3,0)*0.475*44/12</f>
        <v>#N/A</v>
      </c>
      <c r="EC32" s="21" t="e">
        <f>EXP(-LN(2)/2)*EC31+(1-EXP(-LN(2)/2))/(LN(2)/2)*DW32*DZ32*VLOOKUP('Données projet'!$B$14,Paramètres!$A$1:$I$89,3,0)*0.475*44/12</f>
        <v>#N/A</v>
      </c>
      <c r="ED32" s="22" t="e">
        <f t="shared" si="18"/>
        <v>#N/A</v>
      </c>
      <c r="EE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0</v>
      </c>
      <c r="EJ32" s="12">
        <f>IF('Données projet'!$A$192&gt;35,EJ31+EI32-ER31,IF(A32&lt;'Données projet'!$A$192,$EG$205^A32,IF(A32='Données projet'!$A$192,'Données projet'!$B$192,EJ31+EI32-ER31)))</f>
        <v>0</v>
      </c>
      <c r="EK32" s="17" t="e">
        <f>EJ32*VLOOKUP('Données projet'!$B$15,Paramètres!$A$1:$I$89,3,0)*VLOOKUP('Données projet'!$B$15,Paramètres!$A$1:$I$89,5,0)</f>
        <v>#N/A</v>
      </c>
      <c r="EL32" s="13" t="e">
        <f t="shared" si="45"/>
        <v>#N/A</v>
      </c>
      <c r="EM32" s="20" t="e">
        <f t="shared" si="19"/>
        <v>#N/A</v>
      </c>
      <c r="EN32" s="59" t="e">
        <f t="shared" si="20"/>
        <v>#N/A</v>
      </c>
      <c r="EO32" s="59" t="e">
        <f ca="1">AVERAGE(OFFSET($EN$3,0,0,'Données projet'!$E$15+1,1))-AVERAGE(OFFSET($H$3,0,0,'Données projet'!$E$15+1,1))</f>
        <v>#N/A</v>
      </c>
      <c r="EP32" s="59" t="e">
        <f t="shared" si="46"/>
        <v>#N/A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 t="e">
        <f>EXP(-LN(2)/35)*EV31+(1-EXP(-LN(2)/35))/(LN(2)/35)*ER32*ES32*VLOOKUP('Données projet'!$B$15,Paramètres!$A$1:$I$89,3,0)*0.475*44/12</f>
        <v>#N/A</v>
      </c>
      <c r="EW32" s="21" t="e">
        <f>EXP(-LN(2)/25)*EW31+(1-EXP(-LN(2)/25))/(LN(2)/25)*Calculateur!ER32*Calculateur!ET32*VLOOKUP('Données projet'!$B$15,Paramètres!$A$1:$I$89,3,0)*0.475*44/12</f>
        <v>#N/A</v>
      </c>
      <c r="EX32" s="21" t="e">
        <f>EXP(-LN(2)/2)*EX31+(1-EXP(-LN(2)/2))/(LN(2)/2)*ER32*EU32*VLOOKUP('Données projet'!$B$15,Paramètres!$A$1:$I$89,3,0)*0.475*44/12</f>
        <v>#N/A</v>
      </c>
      <c r="EY32" s="22" t="e">
        <f t="shared" si="21"/>
        <v>#N/A</v>
      </c>
      <c r="EZ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45">
      <c r="A33" s="10">
        <f t="shared" si="31"/>
        <v>30</v>
      </c>
      <c r="B33" s="73">
        <f>'Scénario référence'!$B$16*5+'Scénario référence'!$B$17*0+'Scénario référence'!$B$18*5</f>
        <v>0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26.675999999999991</v>
      </c>
      <c r="D33" s="11">
        <f t="shared" si="32"/>
        <v>8.388268495647786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">
        <f>IF(OR('Scénario référence'!$F$8&gt;0,'Scénario référence'!$F$9&gt;0),('Scénario référence'!$F$8+'Scénario référence'!$F$9)*10,0)</f>
        <v>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270.67154628219339</v>
      </c>
      <c r="H33" s="67">
        <f t="shared" si="1"/>
        <v>317.73693429658658</v>
      </c>
      <c r="I33" s="7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 t="e">
        <f>VLOOKUP(A33,'Données projet'!$A$35:$I$55,2,0)</f>
        <v>#N/A</v>
      </c>
      <c r="L33" s="12" t="e">
        <f>VLOOKUP(A33,'Données projet'!$A$35:$I$55,9,0)</f>
        <v>#N/A</v>
      </c>
      <c r="M33" s="12">
        <f t="array" ref="M33">INDEX(L:L,MIN(IF(ISNUMBER(L33:L229),ROW(L33:L229),"")))</f>
        <v>8.1011764705882356</v>
      </c>
      <c r="N33" s="13">
        <f>IF('Données projet'!$A$36&gt;35,N32+M33-V32,IF(A33&lt;'Données projet'!$A$36,$K$205^A33,IF(A33='Données projet'!$A$36,'Données projet'!$B$36,N32+M33-V32)))</f>
        <v>142.22141936027916</v>
      </c>
      <c r="O33" s="13">
        <f>N33*VLOOKUP('Données projet'!$B$9,Paramètres!$A$1:$I$89,3,0)*VLOOKUP('Données projet'!$B$9,Paramètres!$A$1:$I$89,5,0)</f>
        <v>79.501773422396042</v>
      </c>
      <c r="P33" s="13">
        <f t="shared" si="33"/>
        <v>22.015320883145442</v>
      </c>
      <c r="Q33" s="20">
        <f t="shared" si="2"/>
        <v>176.80893924881809</v>
      </c>
      <c r="R33" s="59">
        <f t="shared" si="0"/>
        <v>470.14227258215141</v>
      </c>
      <c r="S33" s="59">
        <f ca="1">AVERAGE(OFFSET($R$3,0,0,'Données projet'!$E$9+1,1))-AVERAGE(OFFSET($H$3,0,0,'Données projet'!$E$9+1,1))</f>
        <v>280.69347314340195</v>
      </c>
      <c r="T33" s="59">
        <f t="shared" si="34"/>
        <v>152.40533828556482</v>
      </c>
      <c r="U33" s="15">
        <f>IF(ISNA(VLOOKUP(A33,'Données projet'!$A$35:$I$55,3,0)),0,VLOOKUP(A33,'Données projet'!$A$35:$I$55,3,0))</f>
        <v>0</v>
      </c>
      <c r="V33" s="15">
        <f>IF(ISNA(VLOOKUP(A33,'Données projet'!$A$35:$I$55,4,0)),0,VLOOKUP(A33,'Données projet'!$A$35:$I$55,4,0))</f>
        <v>0</v>
      </c>
      <c r="W33" s="16">
        <f>IF(ISNA(VLOOKUP(A33,'Données projet'!$A$35:$I$55,5,0)),0%,VLOOKUP(A33,'Données projet'!$A$35:$I$55,5,0)*VLOOKUP('Données projet'!$B$9,Paramètres!$A$1:$I$89,7,0))</f>
        <v>0</v>
      </c>
      <c r="X33" s="16">
        <f>IF(ISNA(VLOOKUP(A33,'Données projet'!$A$35:$I$55,6,0)),0%,VLOOKUP(A33,'Données projet'!$A$35:$I$55,6,0)*VLOOKUP('Données projet'!$B$9,Paramètres!$A$1:$I$89,7,0))</f>
        <v>0</v>
      </c>
      <c r="Y33" s="16">
        <f>IF(ISNA(VLOOKUP(A33,'Données projet'!$A$35:$I$55,7,0)),0%,VLOOKUP(A33,'Données projet'!$A$35:$I$55,7,0))</f>
        <v>0</v>
      </c>
      <c r="Z33" s="21">
        <f>EXP(-LN(2)/35)*Z32+(1-EXP(-LN(2)/35))/(LN(2)/35)*V33*W33*VLOOKUP('Données projet'!$B$9,Paramètres!$A$1:$I$89,3,0)*0.475*44/12</f>
        <v>0</v>
      </c>
      <c r="AA33" s="21">
        <f>EXP(-LN(2)/25)*AA32+(1-EXP(-LN(2)/25))/(LN(2)/25)*Calculateur!V33*Calculateur!X33*VLOOKUP('Données projet'!$B$9,Paramètres!$A$1:$I$89,3,0)*0.475*44/12</f>
        <v>0</v>
      </c>
      <c r="AB33" s="21">
        <f>EXP(-LN(2)/2)*AB32+(1-EXP(-LN(2)/2))/(LN(2)/2)*V33*Y33*VLOOKUP('Données projet'!$B$9,Paramètres!$A$1:$I$89,3,0)*0.475*44/12</f>
        <v>0</v>
      </c>
      <c r="AC33" s="22">
        <f t="shared" si="3"/>
        <v>0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>
        <f>VLOOKUP(A33,'Données projet'!$A$61:$I$81,2,0)</f>
        <v>224</v>
      </c>
      <c r="AG33" s="12">
        <f>VLOOKUP(A33,'Données projet'!$A$61:$I$81,9,0)</f>
        <v>14.166666666666666</v>
      </c>
      <c r="AH33" s="12">
        <f t="array" ref="AH33">INDEX(AG:AG,MIN(IF(ISNUMBER(AG33:AG229),ROW(AG33:AG229),"")))</f>
        <v>14.166666666666666</v>
      </c>
      <c r="AI33" s="13">
        <f>IF('Données projet'!$A$62&gt;35,AI32+AH33-AQ32,IF(A33&lt;'Données projet'!$A$62,$AF$205^A33,IF(A33='Données projet'!$A$62,'Données projet'!$B$62,AI32+AH33-AQ32)))</f>
        <v>223.99999999999994</v>
      </c>
      <c r="AJ33" s="13">
        <f>AI33*VLOOKUP('Données projet'!$B$10,Paramètres!$A$1:$I$89,3,0)*VLOOKUP('Données projet'!$B$10,Paramètres!$A$1:$I$89,5,0)</f>
        <v>139.77599999999995</v>
      </c>
      <c r="AK33" s="13">
        <f t="shared" si="35"/>
        <v>36.245685459195258</v>
      </c>
      <c r="AL33" s="20">
        <f t="shared" si="4"/>
        <v>306.57110217476503</v>
      </c>
      <c r="AM33" s="59">
        <f t="shared" si="5"/>
        <v>599.90443550809835</v>
      </c>
      <c r="AN33" s="59">
        <f ca="1">AVERAGE(OFFSET($AM$3,0,0,'Données projet'!$E$10+1,1))-AVERAGE(OFFSET($H$3,0,0,'Données projet'!$E$10+1,1))</f>
        <v>179.4725256147085</v>
      </c>
      <c r="AO33" s="59">
        <f t="shared" si="36"/>
        <v>282.16750121151176</v>
      </c>
      <c r="AP33" s="15">
        <f>IF(ISNA(VLOOKUP(A33,'Données projet'!$A$61:$I$81,3,0)),0,VLOOKUP(A33,'Données projet'!$A$61:$I$81,3,0))</f>
        <v>4</v>
      </c>
      <c r="AQ33" s="15">
        <f>IF(ISNA(VLOOKUP(A33,'Données projet'!$A$61:$I$81,4,0)),0,VLOOKUP(A33,'Données projet'!$A$61:$I$81,4,0))</f>
        <v>53</v>
      </c>
      <c r="AR33" s="16">
        <f>IF(ISNA(VLOOKUP(A33,'Données projet'!$A$61:$I$81,5,0)),0%,VLOOKUP(A33,'Données projet'!$A$61:$I$81,5,0)*VLOOKUP('Données projet'!$B$10,Paramètres!$A$1:$I$89,7,0))</f>
        <v>0.36</v>
      </c>
      <c r="AS33" s="16">
        <f>IF(ISNA(VLOOKUP(A33,'Données projet'!$A$61:$I$81,6,0)),0%,VLOOKUP(A33,'Données projet'!$A$61:$I$81,6,0)*VLOOKUP('Données projet'!$B$10,Paramètres!$A$1:$I$89,7,0))</f>
        <v>0.12</v>
      </c>
      <c r="AT33" s="16">
        <f>IF(ISNA(VLOOKUP(A33,'Données projet'!$A$61:$I$81,7,0)),0%,VLOOKUP(A33,'Données projet'!$A$61:$I$81,7,0))</f>
        <v>0.2</v>
      </c>
      <c r="AU33" s="21">
        <f>EXP(-LN(2)/35)*AU32+(1-EXP(-LN(2)/35))/(LN(2)/35)*AQ33*AR33*VLOOKUP('Données projet'!$B$10,Paramètres!$A$1:$I$89,3,0)*0.475*44/12</f>
        <v>23.650703046408172</v>
      </c>
      <c r="AV33" s="21">
        <f>EXP(-LN(2)/25)*AV32+(1-EXP(-LN(2)/25))/(LN(2)/25)*Calculateur!AQ33*Calculateur!AS33*VLOOKUP('Données projet'!$B$10,Paramètres!$A$1:$I$89,3,0)*0.475*44/12</f>
        <v>16.071537917736414</v>
      </c>
      <c r="AW33" s="21">
        <f>EXP(-LN(2)/2)*AW32+(1-EXP(-LN(2)/2))/(LN(2)/2)*AQ33*AT33*VLOOKUP('Données projet'!$B$10,Paramètres!$A$1:$I$89,3,0)*0.475*44/12</f>
        <v>8.8546480277428277</v>
      </c>
      <c r="AX33" s="21">
        <f t="shared" si="6"/>
        <v>48.576888991887415</v>
      </c>
      <c r="AY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 t="e">
        <f>VLOOKUP(A33,'Données projet'!$A$87:$I$107,2,0)</f>
        <v>#N/A</v>
      </c>
      <c r="BB33" s="12" t="e">
        <f>VLOOKUP(A33,'Données projet'!$A$87:$I$107,9,0)</f>
        <v>#N/A</v>
      </c>
      <c r="BC33" s="12">
        <f t="array" ref="BC33">INDEX(BB:BB,MIN(IF(ISNUMBER(BB33:BB229),ROW(BB33:BB229),"")))</f>
        <v>5.3214035087719296</v>
      </c>
      <c r="BD33" s="12">
        <f>IF('Données projet'!$A$88&gt;35,BD32+BC33-BL32,IF(A33&lt;'Données projet'!$A$88,$BA$205^A33,IF(A33='Données projet'!$A$88,'Données projet'!$B$88,BD32+BC33-BL32)))</f>
        <v>159.64210526315802</v>
      </c>
      <c r="BE33" s="13">
        <f>BD33*VLOOKUP('Données projet'!$B$11,Paramètres!$A$1:$I$89,3,0)*VLOOKUP('Données projet'!$B$11,Paramètres!$A$1:$I$89,5,0)</f>
        <v>136.97292631578958</v>
      </c>
      <c r="BF33" s="13">
        <f t="shared" si="37"/>
        <v>35.602665669932307</v>
      </c>
      <c r="BG33" s="20">
        <f t="shared" si="7"/>
        <v>300.56915604179892</v>
      </c>
      <c r="BH33" s="59">
        <f t="shared" si="8"/>
        <v>593.90248937513229</v>
      </c>
      <c r="BI33" s="59">
        <f ca="1">AVERAGE(OFFSET($BH$3,0,0,'Données projet'!$E$11+1,1))-AVERAGE(OFFSET($H$3,0,0,'Données projet'!$E$11+1,1))</f>
        <v>312.89478437044261</v>
      </c>
      <c r="BJ33" s="59">
        <f t="shared" si="38"/>
        <v>276.16555507854571</v>
      </c>
      <c r="BK33" s="15">
        <f>IF(ISNA(VLOOKUP(A33,'Données projet'!$A$87:$I$107,3,0)),0,VLOOKUP(A33,'Données projet'!$A$87:$I$107,3,0))</f>
        <v>0</v>
      </c>
      <c r="BL33" s="15">
        <f>IF(ISNA(VLOOKUP(A33,'Données projet'!$A$87:$I$107,4,0)),0,VLOOKUP(A33,'Données projet'!$A$87:$I$107,4,0))</f>
        <v>0</v>
      </c>
      <c r="BM33" s="16">
        <f>IF(ISNA(VLOOKUP(A33,'Données projet'!$A$87:$I$107,5,0)),0%,VLOOKUP(A33,'Données projet'!$A$87:$I$107,5,0)*VLOOKUP('Données projet'!$B$11,Paramètres!$A$1:$I$89,7,0))</f>
        <v>0</v>
      </c>
      <c r="BN33" s="16">
        <f>IF(ISNA(VLOOKUP(A33,'Données projet'!$A$87:$I$107,6,0)),0%,VLOOKUP(A33,'Données projet'!$A$87:$I$107,6,0)*VLOOKUP('Données projet'!$B$11,Paramètres!$A$1:$I$89,7,0))</f>
        <v>0</v>
      </c>
      <c r="BO33" s="16">
        <f>IF(ISNA(VLOOKUP(A33,'Données projet'!$A$87:$I$107,7,0)),0%,VLOOKUP(A33,'Données projet'!$A$87:$I$107,7,0))</f>
        <v>0</v>
      </c>
      <c r="BP33" s="21">
        <f>EXP(-LN(2)/35)*BP32+(1-EXP(-LN(2)/35))/(LN(2)/35)*BL33*BM33*VLOOKUP('Données projet'!$B$11,Paramètres!$A$1:$I$89,3,0)*0.475*44/12</f>
        <v>0</v>
      </c>
      <c r="BQ33" s="21">
        <f>EXP(-LN(2)/25)*BQ32+(1-EXP(-LN(2)/25))/(LN(2)/25)*Calculateur!BL33*Calculateur!BN33*VLOOKUP('Données projet'!$B$11,Paramètres!$A$1:$I$89,3,0)*0.475*44/12</f>
        <v>0</v>
      </c>
      <c r="BR33" s="21">
        <f>EXP(-LN(2)/2)*BR32+(1-EXP(-LN(2)/2))/(LN(2)/2)*BL33*BO33*VLOOKUP('Données projet'!$B$11,Paramètres!$A$1:$I$89,3,0)*0.475*44/12</f>
        <v>0</v>
      </c>
      <c r="BS33" s="22">
        <f t="shared" si="9"/>
        <v>0</v>
      </c>
      <c r="BT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 t="e">
        <f>VLOOKUP(A33,'Données projet'!$A$113:$I$133,2,0)</f>
        <v>#N/A</v>
      </c>
      <c r="BW33" s="12" t="e">
        <f>VLOOKUP(A33,'Données projet'!$A$113:$I$133,9,0)</f>
        <v>#N/A</v>
      </c>
      <c r="BX33" s="12">
        <f t="array" ref="BX33">INDEX(BW:BW,MIN(IF(ISNUMBER(BW33:BW229),ROW(BW33:BW229),"")))</f>
        <v>0</v>
      </c>
      <c r="BY33" s="12">
        <f>IF('Données projet'!$A$114&gt;35,BY32+BX33-CG32,IF(A33&lt;'Données projet'!$A$114,$BV$205^A33,IF(A33='Données projet'!$A$114,'Données projet'!$B$114,BY32+BX33-CG32)))</f>
        <v>0</v>
      </c>
      <c r="BZ33" s="13" t="e">
        <f>BY33*VLOOKUP('Données projet'!$B$12,Paramètres!$A$1:$I$89,3,0)*VLOOKUP('Données projet'!$B$12,Paramètres!$A$1:$I$89,5,0)</f>
        <v>#N/A</v>
      </c>
      <c r="CA33" s="13" t="e">
        <f t="shared" si="39"/>
        <v>#N/A</v>
      </c>
      <c r="CB33" s="20" t="e">
        <f t="shared" si="10"/>
        <v>#N/A</v>
      </c>
      <c r="CC33" s="59" t="e">
        <f t="shared" si="11"/>
        <v>#N/A</v>
      </c>
      <c r="CD33" s="59" t="e">
        <f ca="1">AVERAGE(OFFSET($CC$3,0,0,'Données projet'!$E$12+1,1))-AVERAGE(OFFSET($H$3,0,0,'Données projet'!$E$12+1,1))</f>
        <v>#N/A</v>
      </c>
      <c r="CE33" s="59" t="e">
        <f t="shared" si="40"/>
        <v>#N/A</v>
      </c>
      <c r="CF33" s="15">
        <f>IF(ISNA(VLOOKUP(A33,'Données projet'!$A$113:$I$133,3,0)),0,VLOOKUP(A33,'Données projet'!$A$113:$I$133,3,0))</f>
        <v>0</v>
      </c>
      <c r="CG33" s="15">
        <f>IF(ISNA(VLOOKUP(A33,'Données projet'!$A$113:$I$133,4,0)),0,VLOOKUP(A33,'Données projet'!$A$113:$I$133,4,0))</f>
        <v>0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</v>
      </c>
      <c r="CJ33" s="16">
        <f>IF(ISNA(VLOOKUP(A33,'Données projet'!$A$113:$I$133,7,0)),0%,VLOOKUP(A33,'Données projet'!$A$113:$I$133,7,0))</f>
        <v>0</v>
      </c>
      <c r="CK33" s="21" t="e">
        <f>EXP(-LN(2)/35)*CK32+(1-EXP(-LN(2)/35))/(LN(2)/35)*CG33*CH33*VLOOKUP('Données projet'!$B$12,Paramètres!$A$1:$I$89,3,0)*0.475*44/12</f>
        <v>#N/A</v>
      </c>
      <c r="CL33" s="21" t="e">
        <f>EXP(-LN(2)/25)*CL32+(1-EXP(-LN(2)/25))/(LN(2)/25)*Calculateur!CG33*Calculateur!CI33*VLOOKUP('Données projet'!$B$12,Paramètres!$A$1:$I$89,3,0)*0.475*44/12</f>
        <v>#N/A</v>
      </c>
      <c r="CM33" s="21" t="e">
        <f>EXP(-LN(2)/2)*CM32+(1-EXP(-LN(2)/2))/(LN(2)/2)*CG33*CJ33*VLOOKUP('Données projet'!$B$12,Paramètres!$A$1:$I$89,3,0)*0.475*44/12</f>
        <v>#N/A</v>
      </c>
      <c r="CN33" s="22" t="e">
        <f t="shared" si="12"/>
        <v>#N/A</v>
      </c>
      <c r="CO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 t="e">
        <f>VLOOKUP(A33,'Données projet'!$A$139:$I$159,2,0)</f>
        <v>#N/A</v>
      </c>
      <c r="CR33" s="12" t="e">
        <f>VLOOKUP(A33,'Données projet'!$A$139:$I$159,9,0)</f>
        <v>#N/A</v>
      </c>
      <c r="CS33" s="12">
        <f t="array" ref="CS33">INDEX(CR:CR,MIN(IF(ISNUMBER(CR33:CR229),ROW(CR33:CR229),"")))</f>
        <v>0</v>
      </c>
      <c r="CT33" s="12">
        <f>IF('Données projet'!$A$140&gt;35,CT32+CS33-DB32,IF(A33&lt;'Données projet'!$A$140,$CQ$205^A33,IF(A33='Données projet'!$A$140,'Données projet'!$B$140,CT32+CS33-DB32)))</f>
        <v>0</v>
      </c>
      <c r="CU33" s="17" t="e">
        <f>CT33*VLOOKUP('Données projet'!$B$13,Paramètres!$A$1:$I$89,3,0)*VLOOKUP('Données projet'!$B$13,Paramètres!$A$1:$I$89,5,0)</f>
        <v>#N/A</v>
      </c>
      <c r="CV33" s="13" t="e">
        <f t="shared" si="41"/>
        <v>#N/A</v>
      </c>
      <c r="CW33" s="20" t="e">
        <f t="shared" si="13"/>
        <v>#N/A</v>
      </c>
      <c r="CX33" s="59" t="e">
        <f t="shared" si="14"/>
        <v>#N/A</v>
      </c>
      <c r="CY33" s="59" t="e">
        <f ca="1">AVERAGE(OFFSET($CX$3,0,0,'Données projet'!$E$13+1,1))-AVERAGE(OFFSET($H$3,0,0,'Données projet'!$E$13+1,1))</f>
        <v>#N/A</v>
      </c>
      <c r="CZ33" s="59" t="e">
        <f t="shared" si="42"/>
        <v>#N/A</v>
      </c>
      <c r="DA33" s="15">
        <f>IF(ISNA(VLOOKUP(A33,'Données projet'!$A$139:$I$159,3,0)),0,VLOOKUP(A33,'Données projet'!$A$139:$I$159,3,0))</f>
        <v>0</v>
      </c>
      <c r="DB33" s="15">
        <f>IF(ISNA(VLOOKUP(A33,'Données projet'!$A$139:$I$159,4,0)),0,VLOOKUP(A33,'Données projet'!$A$139:$I$159,4,0))</f>
        <v>0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 t="e">
        <f>EXP(-LN(2)/35)*DF32+(1-EXP(-LN(2)/35))/(LN(2)/35)*DB33*DC33*VLOOKUP('Données projet'!$B$13,Paramètres!$A$1:$I$89,3,0)*0.475*44/12</f>
        <v>#N/A</v>
      </c>
      <c r="DG33" s="21" t="e">
        <f>EXP(-LN(2)/25)*DG32+(1-EXP(-LN(2)/25))/(LN(2)/25)*Calculateur!DB33*Calculateur!DD33*VLOOKUP('Données projet'!$B$13,Paramètres!$A$1:$I$89,3,0)*0.475*44/12</f>
        <v>#N/A</v>
      </c>
      <c r="DH33" s="21" t="e">
        <f>EXP(-LN(2)/2)*DH32+(1-EXP(-LN(2)/2))/(LN(2)/2)*DB33*DE33*VLOOKUP('Données projet'!$B$13,Paramètres!$A$1:$I$89,3,0)*0.475*44/12</f>
        <v>#N/A</v>
      </c>
      <c r="DI33" s="22" t="e">
        <f t="shared" si="15"/>
        <v>#N/A</v>
      </c>
      <c r="DJ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 t="e">
        <f>VLOOKUP(A33,'Données projet'!$A$165:$I$185,2,0)</f>
        <v>#N/A</v>
      </c>
      <c r="DM33" s="12" t="e">
        <f>VLOOKUP(A33,'Données projet'!$A$165:$I$185,9,0)</f>
        <v>#N/A</v>
      </c>
      <c r="DN33" s="12">
        <f t="array" ref="DN33">INDEX(DM:DM,MIN(IF(ISNUMBER(DM33:DM229),ROW(DM33:DM229),"")))</f>
        <v>0</v>
      </c>
      <c r="DO33" s="12">
        <f>IF('Données projet'!$A$166&gt;35,DO32+DN33-DW32,IF(A33&lt;'Données projet'!$A$166,$DL$205^A33,IF(A33='Données projet'!$A$166,'Données projet'!$B$166,DO32+DN33-DW32)))</f>
        <v>0</v>
      </c>
      <c r="DP33" s="17" t="e">
        <f>DO33*VLOOKUP('Données projet'!$B$14,Paramètres!$A$1:$I$89,3,0)*VLOOKUP('Données projet'!$B$14,Paramètres!$A$1:$I$89,5,0)</f>
        <v>#N/A</v>
      </c>
      <c r="DQ33" s="13" t="e">
        <f t="shared" si="43"/>
        <v>#N/A</v>
      </c>
      <c r="DR33" s="20" t="e">
        <f t="shared" si="16"/>
        <v>#N/A</v>
      </c>
      <c r="DS33" s="59" t="e">
        <f t="shared" si="17"/>
        <v>#N/A</v>
      </c>
      <c r="DT33" s="59" t="e">
        <f ca="1">AVERAGE(OFFSET($DS$3,0,0,'Données projet'!$E$14+1,1))-AVERAGE(OFFSET($H$3,0,0,'Données projet'!$E$14+1,1))</f>
        <v>#N/A</v>
      </c>
      <c r="DU33" s="59" t="e">
        <f t="shared" si="44"/>
        <v>#N/A</v>
      </c>
      <c r="DV33" s="15">
        <f>IF(ISNA(VLOOKUP(A33,'Données projet'!$A$165:$I$185,3,0)),0,VLOOKUP(A33,'Données projet'!$A$165:$I$185,3,0))</f>
        <v>0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 t="e">
        <f>EXP(-LN(2)/35)*EA32+(1-EXP(-LN(2)/35))/(LN(2)/35)*DW33*DX33*VLOOKUP('Données projet'!$B$14,Paramètres!$A$1:$I$89,3,0)*0.475*44/12</f>
        <v>#N/A</v>
      </c>
      <c r="EB33" s="21" t="e">
        <f>EXP(-LN(2)/25)*EB32+(1-EXP(-LN(2)/25))/(LN(2)/25)*Calculateur!DW33*Calculateur!DY33*VLOOKUP('Données projet'!$B$14,Paramètres!$A$1:$I$89,3,0)*0.475*44/12</f>
        <v>#N/A</v>
      </c>
      <c r="EC33" s="21" t="e">
        <f>EXP(-LN(2)/2)*EC32+(1-EXP(-LN(2)/2))/(LN(2)/2)*DW33*DZ33*VLOOKUP('Données projet'!$B$14,Paramètres!$A$1:$I$89,3,0)*0.475*44/12</f>
        <v>#N/A</v>
      </c>
      <c r="ED33" s="22" t="e">
        <f t="shared" si="18"/>
        <v>#N/A</v>
      </c>
      <c r="EE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0</v>
      </c>
      <c r="EJ33" s="12">
        <f>IF('Données projet'!$A$192&gt;35,EJ32+EI33-ER32,IF(A33&lt;'Données projet'!$A$192,$EG$205^A33,IF(A33='Données projet'!$A$192,'Données projet'!$B$192,EJ32+EI33-ER32)))</f>
        <v>0</v>
      </c>
      <c r="EK33" s="17" t="e">
        <f>EJ33*VLOOKUP('Données projet'!$B$15,Paramètres!$A$1:$I$89,3,0)*VLOOKUP('Données projet'!$B$15,Paramètres!$A$1:$I$89,5,0)</f>
        <v>#N/A</v>
      </c>
      <c r="EL33" s="13" t="e">
        <f t="shared" si="45"/>
        <v>#N/A</v>
      </c>
      <c r="EM33" s="20" t="e">
        <f t="shared" si="19"/>
        <v>#N/A</v>
      </c>
      <c r="EN33" s="59" t="e">
        <f t="shared" si="20"/>
        <v>#N/A</v>
      </c>
      <c r="EO33" s="59" t="e">
        <f ca="1">AVERAGE(OFFSET($EN$3,0,0,'Données projet'!$E$15+1,1))-AVERAGE(OFFSET($H$3,0,0,'Données projet'!$E$15+1,1))</f>
        <v>#N/A</v>
      </c>
      <c r="EP33" s="59" t="e">
        <f t="shared" si="46"/>
        <v>#N/A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 t="e">
        <f>EXP(-LN(2)/35)*EV32+(1-EXP(-LN(2)/35))/(LN(2)/35)*ER33*ES33*VLOOKUP('Données projet'!$B$15,Paramètres!$A$1:$I$89,3,0)*0.475*44/12</f>
        <v>#N/A</v>
      </c>
      <c r="EW33" s="21" t="e">
        <f>EXP(-LN(2)/25)*EW32+(1-EXP(-LN(2)/25))/(LN(2)/25)*Calculateur!ER33*Calculateur!ET33*VLOOKUP('Données projet'!$B$15,Paramètres!$A$1:$I$89,3,0)*0.475*44/12</f>
        <v>#N/A</v>
      </c>
      <c r="EX33" s="21" t="e">
        <f>EXP(-LN(2)/2)*EX32+(1-EXP(-LN(2)/2))/(LN(2)/2)*ER33*EU33*VLOOKUP('Données projet'!$B$15,Paramètres!$A$1:$I$89,3,0)*0.475*44/12</f>
        <v>#N/A</v>
      </c>
      <c r="EY33" s="22" t="e">
        <f t="shared" si="21"/>
        <v>#N/A</v>
      </c>
      <c r="EZ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45">
      <c r="A34" s="10">
        <f t="shared" si="31"/>
        <v>31</v>
      </c>
      <c r="B34" s="73">
        <f>'Scénario référence'!$B$16*5+'Scénario référence'!$B$17*0+'Scénario référence'!$B$18*5</f>
        <v>0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27.56519999999999</v>
      </c>
      <c r="D34" s="11">
        <f t="shared" si="32"/>
        <v>8.6348575052881742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">
        <f>IF(OR('Scénario référence'!$F$8&gt;0,'Scénario référence'!$F$9&gt;0),('Scénario référence'!$F$8+'Scénario référence'!$F$9)*10,0)</f>
        <v>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279.43904039169814</v>
      </c>
      <c r="H34" s="67">
        <f t="shared" si="1"/>
        <v>319.71510015504356</v>
      </c>
      <c r="I34" s="7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8.1011764705882356</v>
      </c>
      <c r="N34" s="13">
        <f>IF('Données projet'!$A$36&gt;35,N33+M34-V33,IF(A34&lt;'Données projet'!$A$36,$K$205^A34,IF(A34='Données projet'!$A$36,'Données projet'!$B$36,N33+M34-V33)))</f>
        <v>167.77625991815964</v>
      </c>
      <c r="O34" s="13">
        <f>N34*VLOOKUP('Données projet'!$B$9,Paramètres!$A$1:$I$89,3,0)*VLOOKUP('Données projet'!$B$9,Paramètres!$A$1:$I$89,5,0)</f>
        <v>93.786929294251237</v>
      </c>
      <c r="P34" s="13">
        <f t="shared" si="33"/>
        <v>25.47633880957099</v>
      </c>
      <c r="Q34" s="20">
        <f t="shared" si="2"/>
        <v>207.71685861415708</v>
      </c>
      <c r="R34" s="59">
        <f t="shared" si="0"/>
        <v>501.05019194749036</v>
      </c>
      <c r="S34" s="59">
        <f ca="1">AVERAGE(OFFSET($R$3,0,0,'Données projet'!$E$9+1,1))-AVERAGE(OFFSET($H$3,0,0,'Données projet'!$E$9+1,1))</f>
        <v>280.69347314340195</v>
      </c>
      <c r="T34" s="59">
        <f t="shared" si="34"/>
        <v>152.40533828556482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0</v>
      </c>
      <c r="AA34" s="21">
        <f>EXP(-LN(2)/25)*AA33+(1-EXP(-LN(2)/25))/(LN(2)/25)*Calculateur!V34*Calculateur!X34*VLOOKUP('Données projet'!$B$9,Paramètres!$A$1:$I$89,3,0)*0.475*44/12</f>
        <v>0</v>
      </c>
      <c r="AB34" s="21">
        <f>EXP(-LN(2)/2)*AB33+(1-EXP(-LN(2)/2))/(LN(2)/2)*V34*Y34*VLOOKUP('Données projet'!$B$9,Paramètres!$A$1:$I$89,3,0)*0.475*44/12</f>
        <v>0</v>
      </c>
      <c r="AC34" s="22">
        <f t="shared" si="3"/>
        <v>0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12.833333333333334</v>
      </c>
      <c r="AI34" s="13">
        <f>IF('Données projet'!$A$62&gt;35,AI33+AH34-AQ33,IF(A34&lt;'Données projet'!$A$62,$AF$205^A34,IF(A34='Données projet'!$A$62,'Données projet'!$B$62,AI33+AH34-AQ33)))</f>
        <v>183.83333333333329</v>
      </c>
      <c r="AJ34" s="13">
        <f>AI34*VLOOKUP('Données projet'!$B$10,Paramètres!$A$1:$I$89,3,0)*VLOOKUP('Données projet'!$B$10,Paramètres!$A$1:$I$89,5,0)</f>
        <v>114.71199999999997</v>
      </c>
      <c r="AK34" s="13">
        <f t="shared" si="35"/>
        <v>30.438443898016164</v>
      </c>
      <c r="AL34" s="20">
        <f t="shared" si="4"/>
        <v>252.80368978904474</v>
      </c>
      <c r="AM34" s="59">
        <f t="shared" si="5"/>
        <v>546.13702312237808</v>
      </c>
      <c r="AN34" s="59">
        <f ca="1">AVERAGE(OFFSET($AM$3,0,0,'Données projet'!$E$10+1,1))-AVERAGE(OFFSET($H$3,0,0,'Données projet'!$E$10+1,1))</f>
        <v>179.4725256147085</v>
      </c>
      <c r="AO34" s="59">
        <f t="shared" si="36"/>
        <v>282.16750121151176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23.186927185172564</v>
      </c>
      <c r="AV34" s="21">
        <f>EXP(-LN(2)/25)*AV33+(1-EXP(-LN(2)/25))/(LN(2)/25)*Calculateur!AQ34*Calculateur!AS34*VLOOKUP('Données projet'!$B$10,Paramètres!$A$1:$I$89,3,0)*0.475*44/12</f>
        <v>15.632060868210464</v>
      </c>
      <c r="AW34" s="21">
        <f>EXP(-LN(2)/2)*AW33+(1-EXP(-LN(2)/2))/(LN(2)/2)*AQ34*AT34*VLOOKUP('Données projet'!$B$10,Paramètres!$A$1:$I$89,3,0)*0.475*44/12</f>
        <v>6.2611816654370429</v>
      </c>
      <c r="AX34" s="21">
        <f t="shared" si="6"/>
        <v>45.080169718820073</v>
      </c>
      <c r="AY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5.3214035087719296</v>
      </c>
      <c r="BD34" s="12">
        <f>IF('Données projet'!$A$88&gt;35,BD33+BC34-BL33,IF(A34&lt;'Données projet'!$A$88,$BA$205^A34,IF(A34='Données projet'!$A$88,'Données projet'!$B$88,BD33+BC34-BL33)))</f>
        <v>164.96350877192995</v>
      </c>
      <c r="BE34" s="13">
        <f>BD34*VLOOKUP('Données projet'!$B$11,Paramètres!$A$1:$I$89,3,0)*VLOOKUP('Données projet'!$B$11,Paramètres!$A$1:$I$89,5,0)</f>
        <v>141.53869052631592</v>
      </c>
      <c r="BF34" s="13">
        <f t="shared" si="37"/>
        <v>36.6492733306982</v>
      </c>
      <c r="BG34" s="20">
        <f t="shared" si="7"/>
        <v>310.34403705096628</v>
      </c>
      <c r="BH34" s="59">
        <f t="shared" si="8"/>
        <v>603.67737038429959</v>
      </c>
      <c r="BI34" s="59">
        <f ca="1">AVERAGE(OFFSET($BH$3,0,0,'Données projet'!$E$11+1,1))-AVERAGE(OFFSET($H$3,0,0,'Données projet'!$E$11+1,1))</f>
        <v>312.89478437044261</v>
      </c>
      <c r="BJ34" s="59">
        <f t="shared" si="38"/>
        <v>276.16555507854571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>
        <f>EXP(-LN(2)/35)*BP33+(1-EXP(-LN(2)/35))/(LN(2)/35)*BL34*BM34*VLOOKUP('Données projet'!$B$11,Paramètres!$A$1:$I$89,3,0)*0.475*44/12</f>
        <v>0</v>
      </c>
      <c r="BQ34" s="21">
        <f>EXP(-LN(2)/25)*BQ33+(1-EXP(-LN(2)/25))/(LN(2)/25)*Calculateur!BL34*Calculateur!BN34*VLOOKUP('Données projet'!$B$11,Paramètres!$A$1:$I$89,3,0)*0.475*44/12</f>
        <v>0</v>
      </c>
      <c r="BR34" s="21">
        <f>EXP(-LN(2)/2)*BR33+(1-EXP(-LN(2)/2))/(LN(2)/2)*BL34*BO34*VLOOKUP('Données projet'!$B$11,Paramètres!$A$1:$I$89,3,0)*0.475*44/12</f>
        <v>0</v>
      </c>
      <c r="BS34" s="22">
        <f t="shared" si="9"/>
        <v>0</v>
      </c>
      <c r="BT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0</v>
      </c>
      <c r="BY34" s="12">
        <f>IF('Données projet'!$A$114&gt;35,BY33+BX34-CG33,IF(A34&lt;'Données projet'!$A$114,$BV$205^A34,IF(A34='Données projet'!$A$114,'Données projet'!$B$114,BY33+BX34-CG33)))</f>
        <v>0</v>
      </c>
      <c r="BZ34" s="13" t="e">
        <f>BY34*VLOOKUP('Données projet'!$B$12,Paramètres!$A$1:$I$89,3,0)*VLOOKUP('Données projet'!$B$12,Paramètres!$A$1:$I$89,5,0)</f>
        <v>#N/A</v>
      </c>
      <c r="CA34" s="13" t="e">
        <f t="shared" si="39"/>
        <v>#N/A</v>
      </c>
      <c r="CB34" s="20" t="e">
        <f t="shared" si="10"/>
        <v>#N/A</v>
      </c>
      <c r="CC34" s="59" t="e">
        <f t="shared" si="11"/>
        <v>#N/A</v>
      </c>
      <c r="CD34" s="59" t="e">
        <f ca="1">AVERAGE(OFFSET($CC$3,0,0,'Données projet'!$E$12+1,1))-AVERAGE(OFFSET($H$3,0,0,'Données projet'!$E$12+1,1))</f>
        <v>#N/A</v>
      </c>
      <c r="CE34" s="59" t="e">
        <f t="shared" si="40"/>
        <v>#N/A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 t="e">
        <f>EXP(-LN(2)/35)*CK33+(1-EXP(-LN(2)/35))/(LN(2)/35)*CG34*CH34*VLOOKUP('Données projet'!$B$12,Paramètres!$A$1:$I$89,3,0)*0.475*44/12</f>
        <v>#N/A</v>
      </c>
      <c r="CL34" s="21" t="e">
        <f>EXP(-LN(2)/25)*CL33+(1-EXP(-LN(2)/25))/(LN(2)/25)*Calculateur!CG34*Calculateur!CI34*VLOOKUP('Données projet'!$B$12,Paramètres!$A$1:$I$89,3,0)*0.475*44/12</f>
        <v>#N/A</v>
      </c>
      <c r="CM34" s="21" t="e">
        <f>EXP(-LN(2)/2)*CM33+(1-EXP(-LN(2)/2))/(LN(2)/2)*CG34*CJ34*VLOOKUP('Données projet'!$B$12,Paramètres!$A$1:$I$89,3,0)*0.475*44/12</f>
        <v>#N/A</v>
      </c>
      <c r="CN34" s="22" t="e">
        <f t="shared" si="12"/>
        <v>#N/A</v>
      </c>
      <c r="CO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0</v>
      </c>
      <c r="CT34" s="12">
        <f>IF('Données projet'!$A$140&gt;35,CT33+CS34-DB33,IF(A34&lt;'Données projet'!$A$140,$CQ$205^A34,IF(A34='Données projet'!$A$140,'Données projet'!$B$140,CT33+CS34-DB33)))</f>
        <v>0</v>
      </c>
      <c r="CU34" s="17" t="e">
        <f>CT34*VLOOKUP('Données projet'!$B$13,Paramètres!$A$1:$I$89,3,0)*VLOOKUP('Données projet'!$B$13,Paramètres!$A$1:$I$89,5,0)</f>
        <v>#N/A</v>
      </c>
      <c r="CV34" s="13" t="e">
        <f t="shared" si="41"/>
        <v>#N/A</v>
      </c>
      <c r="CW34" s="20" t="e">
        <f t="shared" si="13"/>
        <v>#N/A</v>
      </c>
      <c r="CX34" s="59" t="e">
        <f t="shared" si="14"/>
        <v>#N/A</v>
      </c>
      <c r="CY34" s="59" t="e">
        <f ca="1">AVERAGE(OFFSET($CX$3,0,0,'Données projet'!$E$13+1,1))-AVERAGE(OFFSET($H$3,0,0,'Données projet'!$E$13+1,1))</f>
        <v>#N/A</v>
      </c>
      <c r="CZ34" s="59" t="e">
        <f t="shared" si="42"/>
        <v>#N/A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 t="e">
        <f>EXP(-LN(2)/35)*DF33+(1-EXP(-LN(2)/35))/(LN(2)/35)*DB34*DC34*VLOOKUP('Données projet'!$B$13,Paramètres!$A$1:$I$89,3,0)*0.475*44/12</f>
        <v>#N/A</v>
      </c>
      <c r="DG34" s="21" t="e">
        <f>EXP(-LN(2)/25)*DG33+(1-EXP(-LN(2)/25))/(LN(2)/25)*Calculateur!DB34*Calculateur!DD34*VLOOKUP('Données projet'!$B$13,Paramètres!$A$1:$I$89,3,0)*0.475*44/12</f>
        <v>#N/A</v>
      </c>
      <c r="DH34" s="21" t="e">
        <f>EXP(-LN(2)/2)*DH33+(1-EXP(-LN(2)/2))/(LN(2)/2)*DB34*DE34*VLOOKUP('Données projet'!$B$13,Paramètres!$A$1:$I$89,3,0)*0.475*44/12</f>
        <v>#N/A</v>
      </c>
      <c r="DI34" s="22" t="e">
        <f t="shared" si="15"/>
        <v>#N/A</v>
      </c>
      <c r="DJ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0</v>
      </c>
      <c r="DO34" s="12">
        <f>IF('Données projet'!$A$166&gt;35,DO33+DN34-DW33,IF(A34&lt;'Données projet'!$A$166,$DL$205^A34,IF(A34='Données projet'!$A$166,'Données projet'!$B$166,DO33+DN34-DW33)))</f>
        <v>0</v>
      </c>
      <c r="DP34" s="17" t="e">
        <f>DO34*VLOOKUP('Données projet'!$B$14,Paramètres!$A$1:$I$89,3,0)*VLOOKUP('Données projet'!$B$14,Paramètres!$A$1:$I$89,5,0)</f>
        <v>#N/A</v>
      </c>
      <c r="DQ34" s="13" t="e">
        <f t="shared" si="43"/>
        <v>#N/A</v>
      </c>
      <c r="DR34" s="20" t="e">
        <f t="shared" si="16"/>
        <v>#N/A</v>
      </c>
      <c r="DS34" s="59" t="e">
        <f t="shared" si="17"/>
        <v>#N/A</v>
      </c>
      <c r="DT34" s="59" t="e">
        <f ca="1">AVERAGE(OFFSET($DS$3,0,0,'Données projet'!$E$14+1,1))-AVERAGE(OFFSET($H$3,0,0,'Données projet'!$E$14+1,1))</f>
        <v>#N/A</v>
      </c>
      <c r="DU34" s="59" t="e">
        <f t="shared" si="44"/>
        <v>#N/A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 t="e">
        <f>EXP(-LN(2)/35)*EA33+(1-EXP(-LN(2)/35))/(LN(2)/35)*DW34*DX34*VLOOKUP('Données projet'!$B$14,Paramètres!$A$1:$I$89,3,0)*0.475*44/12</f>
        <v>#N/A</v>
      </c>
      <c r="EB34" s="21" t="e">
        <f>EXP(-LN(2)/25)*EB33+(1-EXP(-LN(2)/25))/(LN(2)/25)*Calculateur!DW34*Calculateur!DY34*VLOOKUP('Données projet'!$B$14,Paramètres!$A$1:$I$89,3,0)*0.475*44/12</f>
        <v>#N/A</v>
      </c>
      <c r="EC34" s="21" t="e">
        <f>EXP(-LN(2)/2)*EC33+(1-EXP(-LN(2)/2))/(LN(2)/2)*DW34*DZ34*VLOOKUP('Données projet'!$B$14,Paramètres!$A$1:$I$89,3,0)*0.475*44/12</f>
        <v>#N/A</v>
      </c>
      <c r="ED34" s="22" t="e">
        <f t="shared" si="18"/>
        <v>#N/A</v>
      </c>
      <c r="EE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0</v>
      </c>
      <c r="EJ34" s="12">
        <f>IF('Données projet'!$A$192&gt;35,EJ33+EI34-ER33,IF(A34&lt;'Données projet'!$A$192,$EG$205^A34,IF(A34='Données projet'!$A$192,'Données projet'!$B$192,EJ33+EI34-ER33)))</f>
        <v>0</v>
      </c>
      <c r="EK34" s="17" t="e">
        <f>EJ34*VLOOKUP('Données projet'!$B$15,Paramètres!$A$1:$I$89,3,0)*VLOOKUP('Données projet'!$B$15,Paramètres!$A$1:$I$89,5,0)</f>
        <v>#N/A</v>
      </c>
      <c r="EL34" s="13" t="e">
        <f t="shared" si="45"/>
        <v>#N/A</v>
      </c>
      <c r="EM34" s="20" t="e">
        <f t="shared" si="19"/>
        <v>#N/A</v>
      </c>
      <c r="EN34" s="59" t="e">
        <f t="shared" si="20"/>
        <v>#N/A</v>
      </c>
      <c r="EO34" s="59" t="e">
        <f ca="1">AVERAGE(OFFSET($EN$3,0,0,'Données projet'!$E$15+1,1))-AVERAGE(OFFSET($H$3,0,0,'Données projet'!$E$15+1,1))</f>
        <v>#N/A</v>
      </c>
      <c r="EP34" s="59" t="e">
        <f t="shared" si="46"/>
        <v>#N/A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 t="e">
        <f>EXP(-LN(2)/35)*EV33+(1-EXP(-LN(2)/35))/(LN(2)/35)*ER34*ES34*VLOOKUP('Données projet'!$B$15,Paramètres!$A$1:$I$89,3,0)*0.475*44/12</f>
        <v>#N/A</v>
      </c>
      <c r="EW34" s="21" t="e">
        <f>EXP(-LN(2)/25)*EW33+(1-EXP(-LN(2)/25))/(LN(2)/25)*Calculateur!ER34*Calculateur!ET34*VLOOKUP('Données projet'!$B$15,Paramètres!$A$1:$I$89,3,0)*0.475*44/12</f>
        <v>#N/A</v>
      </c>
      <c r="EX34" s="21" t="e">
        <f>EXP(-LN(2)/2)*EX33+(1-EXP(-LN(2)/2))/(LN(2)/2)*ER34*EU34*VLOOKUP('Données projet'!$B$15,Paramètres!$A$1:$I$89,3,0)*0.475*44/12</f>
        <v>#N/A</v>
      </c>
      <c r="EY34" s="22" t="e">
        <f t="shared" si="21"/>
        <v>#N/A</v>
      </c>
      <c r="EZ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45">
      <c r="A35" s="10">
        <f t="shared" si="31"/>
        <v>32</v>
      </c>
      <c r="B35" s="73">
        <f>'Scénario référence'!$B$16*5+'Scénario référence'!$B$17*0+'Scénario référence'!$B$18*5</f>
        <v>0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28.454399999999989</v>
      </c>
      <c r="D35" s="11">
        <f t="shared" si="32"/>
        <v>8.8805221797401579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">
        <f>IF(OR('Scénario référence'!$F$8&gt;0,'Scénario référence'!$F$9&gt;0),('Scénario référence'!$F$8+'Scénario référence'!$F$9)*10,0)</f>
        <v>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288.19939928220469</v>
      </c>
      <c r="H35" s="67">
        <f t="shared" si="1"/>
        <v>321.69165612971409</v>
      </c>
      <c r="I35" s="7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8.1011764705882356</v>
      </c>
      <c r="N35" s="13">
        <f>IF('Données projet'!$A$36&gt;35,N34+M35-V34,IF(A35&lt;'Données projet'!$A$36,$K$205^A35,IF(A35='Données projet'!$A$36,'Données projet'!$B$36,N34+M35-V34)))</f>
        <v>197.92288333741328</v>
      </c>
      <c r="O35" s="13">
        <f>N35*VLOOKUP('Données projet'!$B$9,Paramètres!$A$1:$I$89,3,0)*VLOOKUP('Données projet'!$B$9,Paramètres!$A$1:$I$89,5,0)</f>
        <v>110.63889178561404</v>
      </c>
      <c r="P35" s="13">
        <f t="shared" si="33"/>
        <v>29.481461686845066</v>
      </c>
      <c r="Q35" s="20">
        <f t="shared" ref="Q35:Q66" si="53">(O35+P35)*0.475*44/12</f>
        <v>244.04294896453294</v>
      </c>
      <c r="R35" s="59">
        <f t="shared" si="0"/>
        <v>537.37628229786628</v>
      </c>
      <c r="S35" s="59">
        <f ca="1">AVERAGE(OFFSET($R$3,0,0,'Données projet'!$E$9+1,1))-AVERAGE(OFFSET($H$3,0,0,'Données projet'!$E$9+1,1))</f>
        <v>280.69347314340195</v>
      </c>
      <c r="T35" s="59">
        <f t="shared" si="34"/>
        <v>152.40533828556482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0</v>
      </c>
      <c r="AA35" s="21">
        <f>EXP(-LN(2)/25)*AA34+(1-EXP(-LN(2)/25))/(LN(2)/25)*Calculateur!V35*Calculateur!X35*VLOOKUP('Données projet'!$B$9,Paramètres!$A$1:$I$89,3,0)*0.475*44/12</f>
        <v>0</v>
      </c>
      <c r="AB35" s="21">
        <f>EXP(-LN(2)/2)*AB34+(1-EXP(-LN(2)/2))/(LN(2)/2)*V35*Y35*VLOOKUP('Données projet'!$B$9,Paramètres!$A$1:$I$89,3,0)*0.475*44/12</f>
        <v>0</v>
      </c>
      <c r="AC35" s="22">
        <f t="shared" si="3"/>
        <v>0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12.833333333333334</v>
      </c>
      <c r="AI35" s="13">
        <f>IF('Données projet'!$A$62&gt;35,AI34+AH35-AQ34,IF(A35&lt;'Données projet'!$A$62,$AF$205^A35,IF(A35='Données projet'!$A$62,'Données projet'!$B$62,AI34+AH35-AQ34)))</f>
        <v>196.66666666666663</v>
      </c>
      <c r="AJ35" s="13">
        <f>AI35*VLOOKUP('Données projet'!$B$10,Paramètres!$A$1:$I$89,3,0)*VLOOKUP('Données projet'!$B$10,Paramètres!$A$1:$I$89,5,0)</f>
        <v>122.71999999999997</v>
      </c>
      <c r="AK35" s="13">
        <f t="shared" si="35"/>
        <v>32.308564708068729</v>
      </c>
      <c r="AL35" s="20">
        <f t="shared" si="4"/>
        <v>270.00808353321963</v>
      </c>
      <c r="AM35" s="59">
        <f t="shared" si="5"/>
        <v>563.34141686655289</v>
      </c>
      <c r="AN35" s="59">
        <f ca="1">AVERAGE(OFFSET($AM$3,0,0,'Données projet'!$E$10+1,1))-AVERAGE(OFFSET($H$3,0,0,'Données projet'!$E$10+1,1))</f>
        <v>179.4725256147085</v>
      </c>
      <c r="AO35" s="59">
        <f t="shared" si="36"/>
        <v>282.16750121151176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22.732245685700445</v>
      </c>
      <c r="AV35" s="21">
        <f>EXP(-LN(2)/25)*AV34+(1-EXP(-LN(2)/25))/(LN(2)/25)*Calculateur!AQ35*Calculateur!AS35*VLOOKUP('Données projet'!$B$10,Paramètres!$A$1:$I$89,3,0)*0.475*44/12</f>
        <v>15.204601341714897</v>
      </c>
      <c r="AW35" s="21">
        <f>EXP(-LN(2)/2)*AW34+(1-EXP(-LN(2)/2))/(LN(2)/2)*AQ35*AT35*VLOOKUP('Données projet'!$B$10,Paramètres!$A$1:$I$89,3,0)*0.475*44/12</f>
        <v>4.4273240138714147</v>
      </c>
      <c r="AX35" s="21">
        <f t="shared" si="6"/>
        <v>42.364171041286752</v>
      </c>
      <c r="AY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5.3214035087719296</v>
      </c>
      <c r="BD35" s="12">
        <f>IF('Données projet'!$A$88&gt;35,BD34+BC35-BL34,IF(A35&lt;'Données projet'!$A$88,$BA$205^A35,IF(A35='Données projet'!$A$88,'Données projet'!$B$88,BD34+BC35-BL34)))</f>
        <v>170.28491228070189</v>
      </c>
      <c r="BE35" s="13">
        <f>BD35*VLOOKUP('Données projet'!$B$11,Paramètres!$A$1:$I$89,3,0)*VLOOKUP('Données projet'!$B$11,Paramètres!$A$1:$I$89,5,0)</f>
        <v>146.10445473684223</v>
      </c>
      <c r="BF35" s="13">
        <f t="shared" si="37"/>
        <v>37.69195779841224</v>
      </c>
      <c r="BG35" s="20">
        <f t="shared" si="7"/>
        <v>320.1120851655682</v>
      </c>
      <c r="BH35" s="59">
        <f t="shared" si="8"/>
        <v>613.44541849890152</v>
      </c>
      <c r="BI35" s="59">
        <f ca="1">AVERAGE(OFFSET($BH$3,0,0,'Données projet'!$E$11+1,1))-AVERAGE(OFFSET($H$3,0,0,'Données projet'!$E$11+1,1))</f>
        <v>312.89478437044261</v>
      </c>
      <c r="BJ35" s="59">
        <f t="shared" si="38"/>
        <v>276.16555507854571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>
        <f>EXP(-LN(2)/35)*BP34+(1-EXP(-LN(2)/35))/(LN(2)/35)*BL35*BM35*VLOOKUP('Données projet'!$B$11,Paramètres!$A$1:$I$89,3,0)*0.475*44/12</f>
        <v>0</v>
      </c>
      <c r="BQ35" s="21">
        <f>EXP(-LN(2)/25)*BQ34+(1-EXP(-LN(2)/25))/(LN(2)/25)*Calculateur!BL35*Calculateur!BN35*VLOOKUP('Données projet'!$B$11,Paramètres!$A$1:$I$89,3,0)*0.475*44/12</f>
        <v>0</v>
      </c>
      <c r="BR35" s="21">
        <f>EXP(-LN(2)/2)*BR34+(1-EXP(-LN(2)/2))/(LN(2)/2)*BL35*BO35*VLOOKUP('Données projet'!$B$11,Paramètres!$A$1:$I$89,3,0)*0.475*44/12</f>
        <v>0</v>
      </c>
      <c r="BS35" s="22">
        <f t="shared" si="9"/>
        <v>0</v>
      </c>
      <c r="BT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0</v>
      </c>
      <c r="BY35" s="12">
        <f>IF('Données projet'!$A$114&gt;35,BY34+BX35-CG34,IF(A35&lt;'Données projet'!$A$114,$BV$205^A35,IF(A35='Données projet'!$A$114,'Données projet'!$B$114,BY34+BX35-CG34)))</f>
        <v>0</v>
      </c>
      <c r="BZ35" s="13" t="e">
        <f>BY35*VLOOKUP('Données projet'!$B$12,Paramètres!$A$1:$I$89,3,0)*VLOOKUP('Données projet'!$B$12,Paramètres!$A$1:$I$89,5,0)</f>
        <v>#N/A</v>
      </c>
      <c r="CA35" s="13" t="e">
        <f t="shared" si="39"/>
        <v>#N/A</v>
      </c>
      <c r="CB35" s="20" t="e">
        <f t="shared" si="10"/>
        <v>#N/A</v>
      </c>
      <c r="CC35" s="59" t="e">
        <f t="shared" si="11"/>
        <v>#N/A</v>
      </c>
      <c r="CD35" s="59" t="e">
        <f ca="1">AVERAGE(OFFSET($CC$3,0,0,'Données projet'!$E$12+1,1))-AVERAGE(OFFSET($H$3,0,0,'Données projet'!$E$12+1,1))</f>
        <v>#N/A</v>
      </c>
      <c r="CE35" s="59" t="e">
        <f t="shared" si="40"/>
        <v>#N/A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 t="e">
        <f>EXP(-LN(2)/35)*CK34+(1-EXP(-LN(2)/35))/(LN(2)/35)*CG35*CH35*VLOOKUP('Données projet'!$B$12,Paramètres!$A$1:$I$89,3,0)*0.475*44/12</f>
        <v>#N/A</v>
      </c>
      <c r="CL35" s="21" t="e">
        <f>EXP(-LN(2)/25)*CL34+(1-EXP(-LN(2)/25))/(LN(2)/25)*Calculateur!CG35*Calculateur!CI35*VLOOKUP('Données projet'!$B$12,Paramètres!$A$1:$I$89,3,0)*0.475*44/12</f>
        <v>#N/A</v>
      </c>
      <c r="CM35" s="21" t="e">
        <f>EXP(-LN(2)/2)*CM34+(1-EXP(-LN(2)/2))/(LN(2)/2)*CG35*CJ35*VLOOKUP('Données projet'!$B$12,Paramètres!$A$1:$I$89,3,0)*0.475*44/12</f>
        <v>#N/A</v>
      </c>
      <c r="CN35" s="22" t="e">
        <f t="shared" si="12"/>
        <v>#N/A</v>
      </c>
      <c r="CO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0</v>
      </c>
      <c r="CT35" s="12">
        <f>IF('Données projet'!$A$140&gt;35,CT34+CS35-DB34,IF(A35&lt;'Données projet'!$A$140,$CQ$205^A35,IF(A35='Données projet'!$A$140,'Données projet'!$B$140,CT34+CS35-DB34)))</f>
        <v>0</v>
      </c>
      <c r="CU35" s="17" t="e">
        <f>CT35*VLOOKUP('Données projet'!$B$13,Paramètres!$A$1:$I$89,3,0)*VLOOKUP('Données projet'!$B$13,Paramètres!$A$1:$I$89,5,0)</f>
        <v>#N/A</v>
      </c>
      <c r="CV35" s="13" t="e">
        <f t="shared" si="41"/>
        <v>#N/A</v>
      </c>
      <c r="CW35" s="20" t="e">
        <f t="shared" si="13"/>
        <v>#N/A</v>
      </c>
      <c r="CX35" s="59" t="e">
        <f t="shared" si="14"/>
        <v>#N/A</v>
      </c>
      <c r="CY35" s="59" t="e">
        <f ca="1">AVERAGE(OFFSET($CX$3,0,0,'Données projet'!$E$13+1,1))-AVERAGE(OFFSET($H$3,0,0,'Données projet'!$E$13+1,1))</f>
        <v>#N/A</v>
      </c>
      <c r="CZ35" s="59" t="e">
        <f t="shared" si="42"/>
        <v>#N/A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 t="e">
        <f>EXP(-LN(2)/35)*DF34+(1-EXP(-LN(2)/35))/(LN(2)/35)*DB35*DC35*VLOOKUP('Données projet'!$B$13,Paramètres!$A$1:$I$89,3,0)*0.475*44/12</f>
        <v>#N/A</v>
      </c>
      <c r="DG35" s="21" t="e">
        <f>EXP(-LN(2)/25)*DG34+(1-EXP(-LN(2)/25))/(LN(2)/25)*Calculateur!DB35*Calculateur!DD35*VLOOKUP('Données projet'!$B$13,Paramètres!$A$1:$I$89,3,0)*0.475*44/12</f>
        <v>#N/A</v>
      </c>
      <c r="DH35" s="21" t="e">
        <f>EXP(-LN(2)/2)*DH34+(1-EXP(-LN(2)/2))/(LN(2)/2)*DB35*DE35*VLOOKUP('Données projet'!$B$13,Paramètres!$A$1:$I$89,3,0)*0.475*44/12</f>
        <v>#N/A</v>
      </c>
      <c r="DI35" s="22" t="e">
        <f t="shared" si="15"/>
        <v>#N/A</v>
      </c>
      <c r="DJ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0</v>
      </c>
      <c r="DO35" s="12">
        <f>IF('Données projet'!$A$166&gt;35,DO34+DN35-DW34,IF(A35&lt;'Données projet'!$A$166,$DL$205^A35,IF(A35='Données projet'!$A$166,'Données projet'!$B$166,DO34+DN35-DW34)))</f>
        <v>0</v>
      </c>
      <c r="DP35" s="17" t="e">
        <f>DO35*VLOOKUP('Données projet'!$B$14,Paramètres!$A$1:$I$89,3,0)*VLOOKUP('Données projet'!$B$14,Paramètres!$A$1:$I$89,5,0)</f>
        <v>#N/A</v>
      </c>
      <c r="DQ35" s="13" t="e">
        <f t="shared" si="43"/>
        <v>#N/A</v>
      </c>
      <c r="DR35" s="20" t="e">
        <f t="shared" si="16"/>
        <v>#N/A</v>
      </c>
      <c r="DS35" s="59" t="e">
        <f t="shared" si="17"/>
        <v>#N/A</v>
      </c>
      <c r="DT35" s="59" t="e">
        <f ca="1">AVERAGE(OFFSET($DS$3,0,0,'Données projet'!$E$14+1,1))-AVERAGE(OFFSET($H$3,0,0,'Données projet'!$E$14+1,1))</f>
        <v>#N/A</v>
      </c>
      <c r="DU35" s="59" t="e">
        <f t="shared" si="44"/>
        <v>#N/A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 t="e">
        <f>EXP(-LN(2)/35)*EA34+(1-EXP(-LN(2)/35))/(LN(2)/35)*DW35*DX35*VLOOKUP('Données projet'!$B$14,Paramètres!$A$1:$I$89,3,0)*0.475*44/12</f>
        <v>#N/A</v>
      </c>
      <c r="EB35" s="21" t="e">
        <f>EXP(-LN(2)/25)*EB34+(1-EXP(-LN(2)/25))/(LN(2)/25)*Calculateur!DW35*Calculateur!DY35*VLOOKUP('Données projet'!$B$14,Paramètres!$A$1:$I$89,3,0)*0.475*44/12</f>
        <v>#N/A</v>
      </c>
      <c r="EC35" s="21" t="e">
        <f>EXP(-LN(2)/2)*EC34+(1-EXP(-LN(2)/2))/(LN(2)/2)*DW35*DZ35*VLOOKUP('Données projet'!$B$14,Paramètres!$A$1:$I$89,3,0)*0.475*44/12</f>
        <v>#N/A</v>
      </c>
      <c r="ED35" s="22" t="e">
        <f t="shared" si="18"/>
        <v>#N/A</v>
      </c>
      <c r="EE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0</v>
      </c>
      <c r="EJ35" s="12">
        <f>IF('Données projet'!$A$192&gt;35,EJ34+EI35-ER34,IF(A35&lt;'Données projet'!$A$192,$EG$205^A35,IF(A35='Données projet'!$A$192,'Données projet'!$B$192,EJ34+EI35-ER34)))</f>
        <v>0</v>
      </c>
      <c r="EK35" s="17" t="e">
        <f>EJ35*VLOOKUP('Données projet'!$B$15,Paramètres!$A$1:$I$89,3,0)*VLOOKUP('Données projet'!$B$15,Paramètres!$A$1:$I$89,5,0)</f>
        <v>#N/A</v>
      </c>
      <c r="EL35" s="13" t="e">
        <f t="shared" si="45"/>
        <v>#N/A</v>
      </c>
      <c r="EM35" s="20" t="e">
        <f t="shared" si="19"/>
        <v>#N/A</v>
      </c>
      <c r="EN35" s="59" t="e">
        <f t="shared" si="20"/>
        <v>#N/A</v>
      </c>
      <c r="EO35" s="59" t="e">
        <f ca="1">AVERAGE(OFFSET($EN$3,0,0,'Données projet'!$E$15+1,1))-AVERAGE(OFFSET($H$3,0,0,'Données projet'!$E$15+1,1))</f>
        <v>#N/A</v>
      </c>
      <c r="EP35" s="59" t="e">
        <f t="shared" si="46"/>
        <v>#N/A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 t="e">
        <f>EXP(-LN(2)/35)*EV34+(1-EXP(-LN(2)/35))/(LN(2)/35)*ER35*ES35*VLOOKUP('Données projet'!$B$15,Paramètres!$A$1:$I$89,3,0)*0.475*44/12</f>
        <v>#N/A</v>
      </c>
      <c r="EW35" s="21" t="e">
        <f>EXP(-LN(2)/25)*EW34+(1-EXP(-LN(2)/25))/(LN(2)/25)*Calculateur!ER35*Calculateur!ET35*VLOOKUP('Données projet'!$B$15,Paramètres!$A$1:$I$89,3,0)*0.475*44/12</f>
        <v>#N/A</v>
      </c>
      <c r="EX35" s="21" t="e">
        <f>EXP(-LN(2)/2)*EX34+(1-EXP(-LN(2)/2))/(LN(2)/2)*ER35*EU35*VLOOKUP('Données projet'!$B$15,Paramètres!$A$1:$I$89,3,0)*0.475*44/12</f>
        <v>#N/A</v>
      </c>
      <c r="EY35" s="22" t="e">
        <f t="shared" si="21"/>
        <v>#N/A</v>
      </c>
      <c r="EZ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45">
      <c r="A36" s="10">
        <f t="shared" si="31"/>
        <v>33</v>
      </c>
      <c r="B36" s="73">
        <f>'Scénario référence'!$B$16*5+'Scénario référence'!$B$17*0+'Scénario référence'!$B$18*5</f>
        <v>0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29.343599999999988</v>
      </c>
      <c r="D36" s="11">
        <f t="shared" si="32"/>
        <v>9.1252947188023139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">
        <f>IF(OR('Scénario référence'!$F$8&gt;0,'Scénario référence'!$F$9&gt;0),('Scénario référence'!$F$8+'Scénario référence'!$F$9)*10,0)</f>
        <v>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296.95287151356166</v>
      </c>
      <c r="H36" s="67">
        <f t="shared" si="1"/>
        <v>323.66665830191403</v>
      </c>
      <c r="I36" s="7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8.1011764705882356</v>
      </c>
      <c r="N36" s="13">
        <f>IF('Données projet'!$A$36&gt;35,N35+M36-V35,IF(A36&lt;'Données projet'!$A$36,$K$205^A36,IF(A36='Données projet'!$A$36,'Données projet'!$B$36,N35+M36-V35)))</f>
        <v>233.48635717415513</v>
      </c>
      <c r="O36" s="13">
        <f>N36*VLOOKUP('Données projet'!$B$9,Paramètres!$A$1:$I$89,3,0)*VLOOKUP('Données projet'!$B$9,Paramètres!$A$1:$I$89,5,0)</f>
        <v>130.51887366035271</v>
      </c>
      <c r="P36" s="13">
        <f t="shared" si="33"/>
        <v>34.116227990592911</v>
      </c>
      <c r="Q36" s="20">
        <f t="shared" si="53"/>
        <v>286.73946870873027</v>
      </c>
      <c r="R36" s="59">
        <f t="shared" si="0"/>
        <v>580.07280204206359</v>
      </c>
      <c r="S36" s="59">
        <f ca="1">AVERAGE(OFFSET($R$3,0,0,'Données projet'!$E$9+1,1))-AVERAGE(OFFSET($H$3,0,0,'Données projet'!$E$9+1,1))</f>
        <v>280.69347314340195</v>
      </c>
      <c r="T36" s="59">
        <f t="shared" si="34"/>
        <v>152.40533828556482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0</v>
      </c>
      <c r="AA36" s="21">
        <f>EXP(-LN(2)/25)*AA35+(1-EXP(-LN(2)/25))/(LN(2)/25)*Calculateur!V36*Calculateur!X36*VLOOKUP('Données projet'!$B$9,Paramètres!$A$1:$I$89,3,0)*0.475*44/12</f>
        <v>0</v>
      </c>
      <c r="AB36" s="21">
        <f>EXP(-LN(2)/2)*AB35+(1-EXP(-LN(2)/2))/(LN(2)/2)*V36*Y36*VLOOKUP('Données projet'!$B$9,Paramètres!$A$1:$I$89,3,0)*0.475*44/12</f>
        <v>0</v>
      </c>
      <c r="AC36" s="22">
        <f t="shared" si="3"/>
        <v>0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12.833333333333334</v>
      </c>
      <c r="AI36" s="13">
        <f>IF('Données projet'!$A$62&gt;35,AI35+AH36-AQ35,IF(A36&lt;'Données projet'!$A$62,$AF$205^A36,IF(A36='Données projet'!$A$62,'Données projet'!$B$62,AI35+AH36-AQ35)))</f>
        <v>209.49999999999997</v>
      </c>
      <c r="AJ36" s="13">
        <f>AI36*VLOOKUP('Données projet'!$B$10,Paramètres!$A$1:$I$89,3,0)*VLOOKUP('Données projet'!$B$10,Paramètres!$A$1:$I$89,5,0)</f>
        <v>130.72799999999998</v>
      </c>
      <c r="AK36" s="13">
        <f t="shared" si="35"/>
        <v>34.164524045585857</v>
      </c>
      <c r="AL36" s="20">
        <f t="shared" si="4"/>
        <v>287.18781271272866</v>
      </c>
      <c r="AM36" s="59">
        <f t="shared" si="5"/>
        <v>580.52114604606197</v>
      </c>
      <c r="AN36" s="59">
        <f ca="1">AVERAGE(OFFSET($AM$3,0,0,'Données projet'!$E$10+1,1))-AVERAGE(OFFSET($H$3,0,0,'Données projet'!$E$10+1,1))</f>
        <v>179.4725256147085</v>
      </c>
      <c r="AO36" s="59">
        <f t="shared" si="36"/>
        <v>282.16750121151176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22.286480213104642</v>
      </c>
      <c r="AV36" s="21">
        <f>EXP(-LN(2)/25)*AV35+(1-EXP(-LN(2)/25))/(LN(2)/25)*Calculateur!AQ36*Calculateur!AS36*VLOOKUP('Données projet'!$B$10,Paramètres!$A$1:$I$89,3,0)*0.475*44/12</f>
        <v>14.788830718450468</v>
      </c>
      <c r="AW36" s="21">
        <f>EXP(-LN(2)/2)*AW35+(1-EXP(-LN(2)/2))/(LN(2)/2)*AQ36*AT36*VLOOKUP('Données projet'!$B$10,Paramètres!$A$1:$I$89,3,0)*0.475*44/12</f>
        <v>3.1305908327185219</v>
      </c>
      <c r="AX36" s="21">
        <f t="shared" si="6"/>
        <v>40.205901764273634</v>
      </c>
      <c r="AY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5.3214035087719296</v>
      </c>
      <c r="BD36" s="12">
        <f>IF('Données projet'!$A$88&gt;35,BD35+BC36-BL35,IF(A36&lt;'Données projet'!$A$88,$BA$205^A36,IF(A36='Données projet'!$A$88,'Données projet'!$B$88,BD35+BC36-BL35)))</f>
        <v>175.60631578947383</v>
      </c>
      <c r="BE36" s="13">
        <f>BD36*VLOOKUP('Données projet'!$B$11,Paramètres!$A$1:$I$89,3,0)*VLOOKUP('Données projet'!$B$11,Paramètres!$A$1:$I$89,5,0)</f>
        <v>150.67021894736857</v>
      </c>
      <c r="BF36" s="13">
        <f t="shared" si="37"/>
        <v>38.730855739975738</v>
      </c>
      <c r="BG36" s="20">
        <f t="shared" si="7"/>
        <v>329.87353841379132</v>
      </c>
      <c r="BH36" s="59">
        <f t="shared" si="8"/>
        <v>623.20687174712464</v>
      </c>
      <c r="BI36" s="59">
        <f ca="1">AVERAGE(OFFSET($BH$3,0,0,'Données projet'!$E$11+1,1))-AVERAGE(OFFSET($H$3,0,0,'Données projet'!$E$11+1,1))</f>
        <v>312.89478437044261</v>
      </c>
      <c r="BJ36" s="59">
        <f t="shared" si="38"/>
        <v>276.16555507854571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>
        <f>EXP(-LN(2)/35)*BP35+(1-EXP(-LN(2)/35))/(LN(2)/35)*BL36*BM36*VLOOKUP('Données projet'!$B$11,Paramètres!$A$1:$I$89,3,0)*0.475*44/12</f>
        <v>0</v>
      </c>
      <c r="BQ36" s="21">
        <f>EXP(-LN(2)/25)*BQ35+(1-EXP(-LN(2)/25))/(LN(2)/25)*Calculateur!BL36*Calculateur!BN36*VLOOKUP('Données projet'!$B$11,Paramètres!$A$1:$I$89,3,0)*0.475*44/12</f>
        <v>0</v>
      </c>
      <c r="BR36" s="21">
        <f>EXP(-LN(2)/2)*BR35+(1-EXP(-LN(2)/2))/(LN(2)/2)*BL36*BO36*VLOOKUP('Données projet'!$B$11,Paramètres!$A$1:$I$89,3,0)*0.475*44/12</f>
        <v>0</v>
      </c>
      <c r="BS36" s="22">
        <f t="shared" si="9"/>
        <v>0</v>
      </c>
      <c r="BT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0</v>
      </c>
      <c r="BY36" s="12">
        <f>IF('Données projet'!$A$114&gt;35,BY35+BX36-CG35,IF(A36&lt;'Données projet'!$A$114,$BV$205^A36,IF(A36='Données projet'!$A$114,'Données projet'!$B$114,BY35+BX36-CG35)))</f>
        <v>0</v>
      </c>
      <c r="BZ36" s="13" t="e">
        <f>BY36*VLOOKUP('Données projet'!$B$12,Paramètres!$A$1:$I$89,3,0)*VLOOKUP('Données projet'!$B$12,Paramètres!$A$1:$I$89,5,0)</f>
        <v>#N/A</v>
      </c>
      <c r="CA36" s="13" t="e">
        <f t="shared" si="39"/>
        <v>#N/A</v>
      </c>
      <c r="CB36" s="20" t="e">
        <f t="shared" si="10"/>
        <v>#N/A</v>
      </c>
      <c r="CC36" s="59" t="e">
        <f t="shared" si="11"/>
        <v>#N/A</v>
      </c>
      <c r="CD36" s="59" t="e">
        <f ca="1">AVERAGE(OFFSET($CC$3,0,0,'Données projet'!$E$12+1,1))-AVERAGE(OFFSET($H$3,0,0,'Données projet'!$E$12+1,1))</f>
        <v>#N/A</v>
      </c>
      <c r="CE36" s="59" t="e">
        <f t="shared" si="40"/>
        <v>#N/A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 t="e">
        <f>EXP(-LN(2)/35)*CK35+(1-EXP(-LN(2)/35))/(LN(2)/35)*CG36*CH36*VLOOKUP('Données projet'!$B$12,Paramètres!$A$1:$I$89,3,0)*0.475*44/12</f>
        <v>#N/A</v>
      </c>
      <c r="CL36" s="21" t="e">
        <f>EXP(-LN(2)/25)*CL35+(1-EXP(-LN(2)/25))/(LN(2)/25)*Calculateur!CG36*Calculateur!CI36*VLOOKUP('Données projet'!$B$12,Paramètres!$A$1:$I$89,3,0)*0.475*44/12</f>
        <v>#N/A</v>
      </c>
      <c r="CM36" s="21" t="e">
        <f>EXP(-LN(2)/2)*CM35+(1-EXP(-LN(2)/2))/(LN(2)/2)*CG36*CJ36*VLOOKUP('Données projet'!$B$12,Paramètres!$A$1:$I$89,3,0)*0.475*44/12</f>
        <v>#N/A</v>
      </c>
      <c r="CN36" s="22" t="e">
        <f t="shared" si="12"/>
        <v>#N/A</v>
      </c>
      <c r="CO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0</v>
      </c>
      <c r="CT36" s="12">
        <f>IF('Données projet'!$A$140&gt;35,CT35+CS36-DB35,IF(A36&lt;'Données projet'!$A$140,$CQ$205^A36,IF(A36='Données projet'!$A$140,'Données projet'!$B$140,CT35+CS36-DB35)))</f>
        <v>0</v>
      </c>
      <c r="CU36" s="17" t="e">
        <f>CT36*VLOOKUP('Données projet'!$B$13,Paramètres!$A$1:$I$89,3,0)*VLOOKUP('Données projet'!$B$13,Paramètres!$A$1:$I$89,5,0)</f>
        <v>#N/A</v>
      </c>
      <c r="CV36" s="13" t="e">
        <f t="shared" si="41"/>
        <v>#N/A</v>
      </c>
      <c r="CW36" s="20" t="e">
        <f t="shared" si="13"/>
        <v>#N/A</v>
      </c>
      <c r="CX36" s="59" t="e">
        <f t="shared" si="14"/>
        <v>#N/A</v>
      </c>
      <c r="CY36" s="59" t="e">
        <f ca="1">AVERAGE(OFFSET($CX$3,0,0,'Données projet'!$E$13+1,1))-AVERAGE(OFFSET($H$3,0,0,'Données projet'!$E$13+1,1))</f>
        <v>#N/A</v>
      </c>
      <c r="CZ36" s="59" t="e">
        <f t="shared" si="42"/>
        <v>#N/A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 t="e">
        <f>EXP(-LN(2)/35)*DF35+(1-EXP(-LN(2)/35))/(LN(2)/35)*DB36*DC36*VLOOKUP('Données projet'!$B$13,Paramètres!$A$1:$I$89,3,0)*0.475*44/12</f>
        <v>#N/A</v>
      </c>
      <c r="DG36" s="21" t="e">
        <f>EXP(-LN(2)/25)*DG35+(1-EXP(-LN(2)/25))/(LN(2)/25)*Calculateur!DB36*Calculateur!DD36*VLOOKUP('Données projet'!$B$13,Paramètres!$A$1:$I$89,3,0)*0.475*44/12</f>
        <v>#N/A</v>
      </c>
      <c r="DH36" s="21" t="e">
        <f>EXP(-LN(2)/2)*DH35+(1-EXP(-LN(2)/2))/(LN(2)/2)*DB36*DE36*VLOOKUP('Données projet'!$B$13,Paramètres!$A$1:$I$89,3,0)*0.475*44/12</f>
        <v>#N/A</v>
      </c>
      <c r="DI36" s="22" t="e">
        <f t="shared" si="15"/>
        <v>#N/A</v>
      </c>
      <c r="DJ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0</v>
      </c>
      <c r="DO36" s="12">
        <f>IF('Données projet'!$A$166&gt;35,DO35+DN36-DW35,IF(A36&lt;'Données projet'!$A$166,$DL$205^A36,IF(A36='Données projet'!$A$166,'Données projet'!$B$166,DO35+DN36-DW35)))</f>
        <v>0</v>
      </c>
      <c r="DP36" s="17" t="e">
        <f>DO36*VLOOKUP('Données projet'!$B$14,Paramètres!$A$1:$I$89,3,0)*VLOOKUP('Données projet'!$B$14,Paramètres!$A$1:$I$89,5,0)</f>
        <v>#N/A</v>
      </c>
      <c r="DQ36" s="13" t="e">
        <f t="shared" si="43"/>
        <v>#N/A</v>
      </c>
      <c r="DR36" s="20" t="e">
        <f t="shared" si="16"/>
        <v>#N/A</v>
      </c>
      <c r="DS36" s="59" t="e">
        <f t="shared" si="17"/>
        <v>#N/A</v>
      </c>
      <c r="DT36" s="59" t="e">
        <f ca="1">AVERAGE(OFFSET($DS$3,0,0,'Données projet'!$E$14+1,1))-AVERAGE(OFFSET($H$3,0,0,'Données projet'!$E$14+1,1))</f>
        <v>#N/A</v>
      </c>
      <c r="DU36" s="59" t="e">
        <f t="shared" si="44"/>
        <v>#N/A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 t="e">
        <f>EXP(-LN(2)/35)*EA35+(1-EXP(-LN(2)/35))/(LN(2)/35)*DW36*DX36*VLOOKUP('Données projet'!$B$14,Paramètres!$A$1:$I$89,3,0)*0.475*44/12</f>
        <v>#N/A</v>
      </c>
      <c r="EB36" s="21" t="e">
        <f>EXP(-LN(2)/25)*EB35+(1-EXP(-LN(2)/25))/(LN(2)/25)*Calculateur!DW36*Calculateur!DY36*VLOOKUP('Données projet'!$B$14,Paramètres!$A$1:$I$89,3,0)*0.475*44/12</f>
        <v>#N/A</v>
      </c>
      <c r="EC36" s="21" t="e">
        <f>EXP(-LN(2)/2)*EC35+(1-EXP(-LN(2)/2))/(LN(2)/2)*DW36*DZ36*VLOOKUP('Données projet'!$B$14,Paramètres!$A$1:$I$89,3,0)*0.475*44/12</f>
        <v>#N/A</v>
      </c>
      <c r="ED36" s="22" t="e">
        <f t="shared" si="18"/>
        <v>#N/A</v>
      </c>
      <c r="EE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0</v>
      </c>
      <c r="EJ36" s="12">
        <f>IF('Données projet'!$A$192&gt;35,EJ35+EI36-ER35,IF(A36&lt;'Données projet'!$A$192,$EG$205^A36,IF(A36='Données projet'!$A$192,'Données projet'!$B$192,EJ35+EI36-ER35)))</f>
        <v>0</v>
      </c>
      <c r="EK36" s="17" t="e">
        <f>EJ36*VLOOKUP('Données projet'!$B$15,Paramètres!$A$1:$I$89,3,0)*VLOOKUP('Données projet'!$B$15,Paramètres!$A$1:$I$89,5,0)</f>
        <v>#N/A</v>
      </c>
      <c r="EL36" s="13" t="e">
        <f t="shared" si="45"/>
        <v>#N/A</v>
      </c>
      <c r="EM36" s="20" t="e">
        <f t="shared" si="19"/>
        <v>#N/A</v>
      </c>
      <c r="EN36" s="59" t="e">
        <f t="shared" si="20"/>
        <v>#N/A</v>
      </c>
      <c r="EO36" s="59" t="e">
        <f ca="1">AVERAGE(OFFSET($EN$3,0,0,'Données projet'!$E$15+1,1))-AVERAGE(OFFSET($H$3,0,0,'Données projet'!$E$15+1,1))</f>
        <v>#N/A</v>
      </c>
      <c r="EP36" s="59" t="e">
        <f t="shared" si="46"/>
        <v>#N/A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 t="e">
        <f>EXP(-LN(2)/35)*EV35+(1-EXP(-LN(2)/35))/(LN(2)/35)*ER36*ES36*VLOOKUP('Données projet'!$B$15,Paramètres!$A$1:$I$89,3,0)*0.475*44/12</f>
        <v>#N/A</v>
      </c>
      <c r="EW36" s="21" t="e">
        <f>EXP(-LN(2)/25)*EW35+(1-EXP(-LN(2)/25))/(LN(2)/25)*Calculateur!ER36*Calculateur!ET36*VLOOKUP('Données projet'!$B$15,Paramètres!$A$1:$I$89,3,0)*0.475*44/12</f>
        <v>#N/A</v>
      </c>
      <c r="EX36" s="21" t="e">
        <f>EXP(-LN(2)/2)*EX35+(1-EXP(-LN(2)/2))/(LN(2)/2)*ER36*EU36*VLOOKUP('Données projet'!$B$15,Paramètres!$A$1:$I$89,3,0)*0.475*44/12</f>
        <v>#N/A</v>
      </c>
      <c r="EY36" s="22" t="e">
        <f t="shared" si="21"/>
        <v>#N/A</v>
      </c>
      <c r="EZ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45">
      <c r="A37" s="10">
        <f t="shared" si="31"/>
        <v>34</v>
      </c>
      <c r="B37" s="73">
        <f>'Scénario référence'!$B$16*5+'Scénario référence'!$B$17*0+'Scénario référence'!$B$18*5</f>
        <v>0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30.232799999999987</v>
      </c>
      <c r="D37" s="11">
        <f t="shared" si="32"/>
        <v>9.3692052598737909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">
        <f>IF(OR('Scénario référence'!$F$8&gt;0,'Scénario référence'!$F$9&gt;0),('Scénario référence'!$F$8+'Scénario référence'!$F$9)*10,0)</f>
        <v>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305.69968972534144</v>
      </c>
      <c r="H37" s="67">
        <f t="shared" si="1"/>
        <v>325.64015916094684</v>
      </c>
      <c r="I37" s="7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>
        <f>VLOOKUP(A37,'Données projet'!$A$35:$I$55,2,0)</f>
        <v>275.44</v>
      </c>
      <c r="L37" s="12">
        <f>VLOOKUP(A37,'Données projet'!$A$35:$I$55,9,0)</f>
        <v>8.1011764705882356</v>
      </c>
      <c r="M37" s="12">
        <f t="array" ref="M37">INDEX(L:L,MIN(IF(ISNUMBER(L37:L233),ROW(L37:L233),"")))</f>
        <v>8.1011764705882356</v>
      </c>
      <c r="N37" s="13">
        <f>IF('Données projet'!$A$36&gt;35,N36+M37-V36,IF(A37&lt;'Données projet'!$A$36,$K$205^A37,IF(A37='Données projet'!$A$36,'Données projet'!$B$36,N36+M37-V36)))</f>
        <v>275.44</v>
      </c>
      <c r="O37" s="13">
        <f>N37*VLOOKUP('Données projet'!$B$9,Paramètres!$A$1:$I$89,3,0)*VLOOKUP('Données projet'!$B$9,Paramètres!$A$1:$I$89,5,0)</f>
        <v>153.97095999999999</v>
      </c>
      <c r="P37" s="13">
        <f t="shared" si="33"/>
        <v>39.479623658736905</v>
      </c>
      <c r="Q37" s="20">
        <f t="shared" si="53"/>
        <v>336.92643320563343</v>
      </c>
      <c r="R37" s="59">
        <f t="shared" si="0"/>
        <v>630.25976653896669</v>
      </c>
      <c r="S37" s="59">
        <f ca="1">AVERAGE(OFFSET($R$3,0,0,'Données projet'!$E$9+1,1))-AVERAGE(OFFSET($H$3,0,0,'Données projet'!$E$9+1,1))</f>
        <v>280.69347314340195</v>
      </c>
      <c r="T37" s="59">
        <f t="shared" si="34"/>
        <v>152.40533828556482</v>
      </c>
      <c r="U37" s="15">
        <f>IF(ISNA(VLOOKUP(A37,'Données projet'!$A$35:$I$55,3,0)),0,VLOOKUP(A37,'Données projet'!$A$35:$I$55,3,0))</f>
        <v>1</v>
      </c>
      <c r="V37" s="15">
        <f>IF(ISNA(VLOOKUP(A37,'Données projet'!$A$35:$I$55,4,0)),0,VLOOKUP(A37,'Données projet'!$A$35:$I$55,4,0))</f>
        <v>94.509999999999991</v>
      </c>
      <c r="W37" s="16">
        <f>IF(ISNA(VLOOKUP(A37,'Données projet'!$A$35:$I$55,5,0)),0%,VLOOKUP(A37,'Données projet'!$A$35:$I$55,5,0)*VLOOKUP('Données projet'!$B$9,Paramètres!$A$1:$I$89,7,0))</f>
        <v>0.13750000000000001</v>
      </c>
      <c r="X37" s="16">
        <f>IF(ISNA(VLOOKUP(A37,'Données projet'!$A$35:$I$55,6,0)),0%,VLOOKUP(A37,'Données projet'!$A$35:$I$55,6,0)*VLOOKUP('Données projet'!$B$9,Paramètres!$A$1:$I$89,7,0))</f>
        <v>0.20350000000000001</v>
      </c>
      <c r="Y37" s="16">
        <f>IF(ISNA(VLOOKUP(A37,'Données projet'!$A$35:$I$55,7,0)),0%,VLOOKUP(A37,'Données projet'!$A$35:$I$55,7,0))</f>
        <v>0.38</v>
      </c>
      <c r="Z37" s="21">
        <f>EXP(-LN(2)/35)*Z36+(1-EXP(-LN(2)/35))/(LN(2)/35)*V37*W37*VLOOKUP('Données projet'!$B$9,Paramètres!$A$1:$I$89,3,0)*0.475*44/12</f>
        <v>9.6365288437175085</v>
      </c>
      <c r="AA37" s="21">
        <f>EXP(-LN(2)/25)*AA36+(1-EXP(-LN(2)/25))/(LN(2)/25)*Calculateur!V37*Calculateur!X37*VLOOKUP('Données projet'!$B$9,Paramètres!$A$1:$I$89,3,0)*0.475*44/12</f>
        <v>14.205907513624572</v>
      </c>
      <c r="AB37" s="21">
        <f>EXP(-LN(2)/2)*AB36+(1-EXP(-LN(2)/2))/(LN(2)/2)*V37*Y37*VLOOKUP('Données projet'!$B$9,Paramètres!$A$1:$I$89,3,0)*0.475*44/12</f>
        <v>22.730485236380446</v>
      </c>
      <c r="AC37" s="22">
        <f t="shared" si="3"/>
        <v>46.572921593722526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12.833333333333334</v>
      </c>
      <c r="AI37" s="13">
        <f>IF('Données projet'!$A$62&gt;35,AI36+AH37-AQ36,IF(A37&lt;'Données projet'!$A$62,$AF$205^A37,IF(A37='Données projet'!$A$62,'Données projet'!$B$62,AI36+AH37-AQ36)))</f>
        <v>222.33333333333331</v>
      </c>
      <c r="AJ37" s="13">
        <f>AI37*VLOOKUP('Données projet'!$B$10,Paramètres!$A$1:$I$89,3,0)*VLOOKUP('Données projet'!$B$10,Paramètres!$A$1:$I$89,5,0)</f>
        <v>138.73599999999999</v>
      </c>
      <c r="AK37" s="13">
        <f t="shared" si="35"/>
        <v>36.007288175538044</v>
      </c>
      <c r="AL37" s="20">
        <f t="shared" si="4"/>
        <v>304.34456023906205</v>
      </c>
      <c r="AM37" s="59">
        <f t="shared" si="5"/>
        <v>597.67789357239531</v>
      </c>
      <c r="AN37" s="59">
        <f ca="1">AVERAGE(OFFSET($AM$3,0,0,'Données projet'!$E$10+1,1))-AVERAGE(OFFSET($H$3,0,0,'Données projet'!$E$10+1,1))</f>
        <v>179.4725256147085</v>
      </c>
      <c r="AO37" s="59">
        <f t="shared" si="36"/>
        <v>282.16750121151176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21.849455929536351</v>
      </c>
      <c r="AV37" s="21">
        <f>EXP(-LN(2)/25)*AV36+(1-EXP(-LN(2)/25))/(LN(2)/25)*Calculateur!AQ37*Calculateur!AS37*VLOOKUP('Données projet'!$B$10,Paramètres!$A$1:$I$89,3,0)*0.475*44/12</f>
        <v>14.384429364743633</v>
      </c>
      <c r="AW37" s="21">
        <f>EXP(-LN(2)/2)*AW36+(1-EXP(-LN(2)/2))/(LN(2)/2)*AQ37*AT37*VLOOKUP('Données projet'!$B$10,Paramètres!$A$1:$I$89,3,0)*0.475*44/12</f>
        <v>2.2136620069357078</v>
      </c>
      <c r="AX37" s="21">
        <f t="shared" si="6"/>
        <v>38.447547301215693</v>
      </c>
      <c r="AY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5.3214035087719296</v>
      </c>
      <c r="BD37" s="12">
        <f>IF('Données projet'!$A$88&gt;35,BD36+BC37-BL36,IF(A37&lt;'Données projet'!$A$88,$BA$205^A37,IF(A37='Données projet'!$A$88,'Données projet'!$B$88,BD36+BC37-BL36)))</f>
        <v>180.92771929824576</v>
      </c>
      <c r="BE37" s="13">
        <f>BD37*VLOOKUP('Données projet'!$B$11,Paramètres!$A$1:$I$89,3,0)*VLOOKUP('Données projet'!$B$11,Paramètres!$A$1:$I$89,5,0)</f>
        <v>155.23598315789488</v>
      </c>
      <c r="BF37" s="13">
        <f t="shared" si="37"/>
        <v>39.766095068765182</v>
      </c>
      <c r="BG37" s="20">
        <f t="shared" si="7"/>
        <v>339.62861957809957</v>
      </c>
      <c r="BH37" s="59">
        <f t="shared" si="8"/>
        <v>632.96195291143295</v>
      </c>
      <c r="BI37" s="59">
        <f ca="1">AVERAGE(OFFSET($BH$3,0,0,'Données projet'!$E$11+1,1))-AVERAGE(OFFSET($H$3,0,0,'Données projet'!$E$11+1,1))</f>
        <v>312.89478437044261</v>
      </c>
      <c r="BJ37" s="59">
        <f t="shared" si="38"/>
        <v>276.16555507854571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>
        <f>EXP(-LN(2)/35)*BP36+(1-EXP(-LN(2)/35))/(LN(2)/35)*BL37*BM37*VLOOKUP('Données projet'!$B$11,Paramètres!$A$1:$I$89,3,0)*0.475*44/12</f>
        <v>0</v>
      </c>
      <c r="BQ37" s="21">
        <f>EXP(-LN(2)/25)*BQ36+(1-EXP(-LN(2)/25))/(LN(2)/25)*Calculateur!BL37*Calculateur!BN37*VLOOKUP('Données projet'!$B$11,Paramètres!$A$1:$I$89,3,0)*0.475*44/12</f>
        <v>0</v>
      </c>
      <c r="BR37" s="21">
        <f>EXP(-LN(2)/2)*BR36+(1-EXP(-LN(2)/2))/(LN(2)/2)*BL37*BO37*VLOOKUP('Données projet'!$B$11,Paramètres!$A$1:$I$89,3,0)*0.475*44/12</f>
        <v>0</v>
      </c>
      <c r="BS37" s="22">
        <f t="shared" si="9"/>
        <v>0</v>
      </c>
      <c r="BT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0</v>
      </c>
      <c r="BY37" s="12">
        <f>IF('Données projet'!$A$114&gt;35,BY36+BX37-CG36,IF(A37&lt;'Données projet'!$A$114,$BV$205^A37,IF(A37='Données projet'!$A$114,'Données projet'!$B$114,BY36+BX37-CG36)))</f>
        <v>0</v>
      </c>
      <c r="BZ37" s="13" t="e">
        <f>BY37*VLOOKUP('Données projet'!$B$12,Paramètres!$A$1:$I$89,3,0)*VLOOKUP('Données projet'!$B$12,Paramètres!$A$1:$I$89,5,0)</f>
        <v>#N/A</v>
      </c>
      <c r="CA37" s="13" t="e">
        <f t="shared" si="39"/>
        <v>#N/A</v>
      </c>
      <c r="CB37" s="20" t="e">
        <f t="shared" si="10"/>
        <v>#N/A</v>
      </c>
      <c r="CC37" s="59" t="e">
        <f t="shared" si="11"/>
        <v>#N/A</v>
      </c>
      <c r="CD37" s="59" t="e">
        <f ca="1">AVERAGE(OFFSET($CC$3,0,0,'Données projet'!$E$12+1,1))-AVERAGE(OFFSET($H$3,0,0,'Données projet'!$E$12+1,1))</f>
        <v>#N/A</v>
      </c>
      <c r="CE37" s="59" t="e">
        <f t="shared" si="40"/>
        <v>#N/A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 t="e">
        <f>EXP(-LN(2)/35)*CK36+(1-EXP(-LN(2)/35))/(LN(2)/35)*CG37*CH37*VLOOKUP('Données projet'!$B$12,Paramètres!$A$1:$I$89,3,0)*0.475*44/12</f>
        <v>#N/A</v>
      </c>
      <c r="CL37" s="21" t="e">
        <f>EXP(-LN(2)/25)*CL36+(1-EXP(-LN(2)/25))/(LN(2)/25)*Calculateur!CG37*Calculateur!CI37*VLOOKUP('Données projet'!$B$12,Paramètres!$A$1:$I$89,3,0)*0.475*44/12</f>
        <v>#N/A</v>
      </c>
      <c r="CM37" s="21" t="e">
        <f>EXP(-LN(2)/2)*CM36+(1-EXP(-LN(2)/2))/(LN(2)/2)*CG37*CJ37*VLOOKUP('Données projet'!$B$12,Paramètres!$A$1:$I$89,3,0)*0.475*44/12</f>
        <v>#N/A</v>
      </c>
      <c r="CN37" s="22" t="e">
        <f t="shared" si="12"/>
        <v>#N/A</v>
      </c>
      <c r="CO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0</v>
      </c>
      <c r="CT37" s="12">
        <f>IF('Données projet'!$A$140&gt;35,CT36+CS37-DB36,IF(A37&lt;'Données projet'!$A$140,$CQ$205^A37,IF(A37='Données projet'!$A$140,'Données projet'!$B$140,CT36+CS37-DB36)))</f>
        <v>0</v>
      </c>
      <c r="CU37" s="17" t="e">
        <f>CT37*VLOOKUP('Données projet'!$B$13,Paramètres!$A$1:$I$89,3,0)*VLOOKUP('Données projet'!$B$13,Paramètres!$A$1:$I$89,5,0)</f>
        <v>#N/A</v>
      </c>
      <c r="CV37" s="13" t="e">
        <f t="shared" si="41"/>
        <v>#N/A</v>
      </c>
      <c r="CW37" s="20" t="e">
        <f t="shared" si="13"/>
        <v>#N/A</v>
      </c>
      <c r="CX37" s="59" t="e">
        <f t="shared" si="14"/>
        <v>#N/A</v>
      </c>
      <c r="CY37" s="59" t="e">
        <f ca="1">AVERAGE(OFFSET($CX$3,0,0,'Données projet'!$E$13+1,1))-AVERAGE(OFFSET($H$3,0,0,'Données projet'!$E$13+1,1))</f>
        <v>#N/A</v>
      </c>
      <c r="CZ37" s="59" t="e">
        <f t="shared" si="42"/>
        <v>#N/A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 t="e">
        <f>EXP(-LN(2)/35)*DF36+(1-EXP(-LN(2)/35))/(LN(2)/35)*DB37*DC37*VLOOKUP('Données projet'!$B$13,Paramètres!$A$1:$I$89,3,0)*0.475*44/12</f>
        <v>#N/A</v>
      </c>
      <c r="DG37" s="21" t="e">
        <f>EXP(-LN(2)/25)*DG36+(1-EXP(-LN(2)/25))/(LN(2)/25)*Calculateur!DB37*Calculateur!DD37*VLOOKUP('Données projet'!$B$13,Paramètres!$A$1:$I$89,3,0)*0.475*44/12</f>
        <v>#N/A</v>
      </c>
      <c r="DH37" s="21" t="e">
        <f>EXP(-LN(2)/2)*DH36+(1-EXP(-LN(2)/2))/(LN(2)/2)*DB37*DE37*VLOOKUP('Données projet'!$B$13,Paramètres!$A$1:$I$89,3,0)*0.475*44/12</f>
        <v>#N/A</v>
      </c>
      <c r="DI37" s="22" t="e">
        <f t="shared" si="15"/>
        <v>#N/A</v>
      </c>
      <c r="DJ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0</v>
      </c>
      <c r="DO37" s="12">
        <f>IF('Données projet'!$A$166&gt;35,DO36+DN37-DW36,IF(A37&lt;'Données projet'!$A$166,$DL$205^A37,IF(A37='Données projet'!$A$166,'Données projet'!$B$166,DO36+DN37-DW36)))</f>
        <v>0</v>
      </c>
      <c r="DP37" s="17" t="e">
        <f>DO37*VLOOKUP('Données projet'!$B$14,Paramètres!$A$1:$I$89,3,0)*VLOOKUP('Données projet'!$B$14,Paramètres!$A$1:$I$89,5,0)</f>
        <v>#N/A</v>
      </c>
      <c r="DQ37" s="13" t="e">
        <f t="shared" si="43"/>
        <v>#N/A</v>
      </c>
      <c r="DR37" s="20" t="e">
        <f t="shared" si="16"/>
        <v>#N/A</v>
      </c>
      <c r="DS37" s="59" t="e">
        <f t="shared" si="17"/>
        <v>#N/A</v>
      </c>
      <c r="DT37" s="59" t="e">
        <f ca="1">AVERAGE(OFFSET($DS$3,0,0,'Données projet'!$E$14+1,1))-AVERAGE(OFFSET($H$3,0,0,'Données projet'!$E$14+1,1))</f>
        <v>#N/A</v>
      </c>
      <c r="DU37" s="59" t="e">
        <f t="shared" si="44"/>
        <v>#N/A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 t="e">
        <f>EXP(-LN(2)/35)*EA36+(1-EXP(-LN(2)/35))/(LN(2)/35)*DW37*DX37*VLOOKUP('Données projet'!$B$14,Paramètres!$A$1:$I$89,3,0)*0.475*44/12</f>
        <v>#N/A</v>
      </c>
      <c r="EB37" s="21" t="e">
        <f>EXP(-LN(2)/25)*EB36+(1-EXP(-LN(2)/25))/(LN(2)/25)*Calculateur!DW37*Calculateur!DY37*VLOOKUP('Données projet'!$B$14,Paramètres!$A$1:$I$89,3,0)*0.475*44/12</f>
        <v>#N/A</v>
      </c>
      <c r="EC37" s="21" t="e">
        <f>EXP(-LN(2)/2)*EC36+(1-EXP(-LN(2)/2))/(LN(2)/2)*DW37*DZ37*VLOOKUP('Données projet'!$B$14,Paramètres!$A$1:$I$89,3,0)*0.475*44/12</f>
        <v>#N/A</v>
      </c>
      <c r="ED37" s="22" t="e">
        <f t="shared" si="18"/>
        <v>#N/A</v>
      </c>
      <c r="EE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0</v>
      </c>
      <c r="EJ37" s="12">
        <f>IF('Données projet'!$A$192&gt;35,EJ36+EI37-ER36,IF(A37&lt;'Données projet'!$A$192,$EG$205^A37,IF(A37='Données projet'!$A$192,'Données projet'!$B$192,EJ36+EI37-ER36)))</f>
        <v>0</v>
      </c>
      <c r="EK37" s="17" t="e">
        <f>EJ37*VLOOKUP('Données projet'!$B$15,Paramètres!$A$1:$I$89,3,0)*VLOOKUP('Données projet'!$B$15,Paramètres!$A$1:$I$89,5,0)</f>
        <v>#N/A</v>
      </c>
      <c r="EL37" s="13" t="e">
        <f t="shared" si="45"/>
        <v>#N/A</v>
      </c>
      <c r="EM37" s="20" t="e">
        <f t="shared" si="19"/>
        <v>#N/A</v>
      </c>
      <c r="EN37" s="59" t="e">
        <f t="shared" si="20"/>
        <v>#N/A</v>
      </c>
      <c r="EO37" s="59" t="e">
        <f ca="1">AVERAGE(OFFSET($EN$3,0,0,'Données projet'!$E$15+1,1))-AVERAGE(OFFSET($H$3,0,0,'Données projet'!$E$15+1,1))</f>
        <v>#N/A</v>
      </c>
      <c r="EP37" s="59" t="e">
        <f t="shared" si="46"/>
        <v>#N/A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 t="e">
        <f>EXP(-LN(2)/35)*EV36+(1-EXP(-LN(2)/35))/(LN(2)/35)*ER37*ES37*VLOOKUP('Données projet'!$B$15,Paramètres!$A$1:$I$89,3,0)*0.475*44/12</f>
        <v>#N/A</v>
      </c>
      <c r="EW37" s="21" t="e">
        <f>EXP(-LN(2)/25)*EW36+(1-EXP(-LN(2)/25))/(LN(2)/25)*Calculateur!ER37*Calculateur!ET37*VLOOKUP('Données projet'!$B$15,Paramètres!$A$1:$I$89,3,0)*0.475*44/12</f>
        <v>#N/A</v>
      </c>
      <c r="EX37" s="21" t="e">
        <f>EXP(-LN(2)/2)*EX36+(1-EXP(-LN(2)/2))/(LN(2)/2)*ER37*EU37*VLOOKUP('Données projet'!$B$15,Paramètres!$A$1:$I$89,3,0)*0.475*44/12</f>
        <v>#N/A</v>
      </c>
      <c r="EY37" s="22" t="e">
        <f t="shared" si="21"/>
        <v>#N/A</v>
      </c>
      <c r="EZ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45">
      <c r="A38" s="10">
        <f t="shared" si="31"/>
        <v>35</v>
      </c>
      <c r="B38" s="73">
        <f>'Scénario référence'!$B$16*5+'Scénario référence'!$B$17*0+'Scénario référence'!$B$18*5</f>
        <v>0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31.121999999999986</v>
      </c>
      <c r="D38" s="11">
        <f t="shared" si="32"/>
        <v>9.612282066778798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">
        <f>IF(OR('Scénario référence'!$F$8&gt;0,'Scénario référence'!$F$9&gt;0),('Scénario référence'!$F$8+'Scénario référence'!$F$9)*10,0)</f>
        <v>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314.44007209443271</v>
      </c>
      <c r="H38" s="67">
        <f t="shared" si="1"/>
        <v>327.61220793297304</v>
      </c>
      <c r="I38" s="7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 t="e">
        <f>VLOOKUP(A38,'Données projet'!$A$35:$I$55,2,0)</f>
        <v>#N/A</v>
      </c>
      <c r="L38" s="12" t="e">
        <f>VLOOKUP(A38,'Données projet'!$A$35:$I$55,9,0)</f>
        <v>#N/A</v>
      </c>
      <c r="M38" s="12">
        <f t="array" ref="M38">INDEX(L:L,MIN(IF(ISNUMBER(L38:L234),ROW(L38:L234),"")))</f>
        <v>14.286666666666665</v>
      </c>
      <c r="N38" s="13">
        <f>IF('Données projet'!$A$36&gt;35,N37+M38-V37,IF(A38&lt;'Données projet'!$A$36,$K$205^A38,IF(A38='Données projet'!$A$36,'Données projet'!$B$36,N37+M38-V37)))</f>
        <v>195.2166666666667</v>
      </c>
      <c r="O38" s="13">
        <f>N38*VLOOKUP('Données projet'!$B$9,Paramètres!$A$1:$I$89,3,0)*VLOOKUP('Données projet'!$B$9,Paramètres!$A$1:$I$89,5,0)</f>
        <v>109.12611666666669</v>
      </c>
      <c r="P38" s="13">
        <f t="shared" si="33"/>
        <v>29.12499536276615</v>
      </c>
      <c r="Q38" s="20">
        <f t="shared" si="53"/>
        <v>240.78735345126222</v>
      </c>
      <c r="R38" s="59">
        <f t="shared" si="0"/>
        <v>534.12068678459559</v>
      </c>
      <c r="S38" s="59">
        <f ca="1">AVERAGE(OFFSET($R$3,0,0,'Données projet'!$E$9+1,1))-AVERAGE(OFFSET($H$3,0,0,'Données projet'!$E$9+1,1))</f>
        <v>280.69347314340195</v>
      </c>
      <c r="T38" s="59">
        <f t="shared" si="34"/>
        <v>152.40533828556482</v>
      </c>
      <c r="U38" s="15">
        <f>IF(ISNA(VLOOKUP(A38,'Données projet'!$A$35:$I$55,3,0)),0,VLOOKUP(A38,'Données projet'!$A$35:$I$55,3,0))</f>
        <v>0</v>
      </c>
      <c r="V38" s="15">
        <f>IF(ISNA(VLOOKUP(A38,'Données projet'!$A$35:$I$55,4,0)),0,VLOOKUP(A38,'Données projet'!$A$35:$I$55,4,0))</f>
        <v>0</v>
      </c>
      <c r="W38" s="16">
        <f>IF(ISNA(VLOOKUP(A38,'Données projet'!$A$35:$I$55,5,0)),0%,VLOOKUP(A38,'Données projet'!$A$35:$I$55,5,0)*VLOOKUP('Données projet'!$B$9,Paramètres!$A$1:$I$89,7,0))</f>
        <v>0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9.4475623907944275</v>
      </c>
      <c r="AA38" s="21">
        <f>EXP(-LN(2)/25)*AA37+(1-EXP(-LN(2)/25))/(LN(2)/25)*Calculateur!V38*Calculateur!X38*VLOOKUP('Données projet'!$B$9,Paramètres!$A$1:$I$89,3,0)*0.475*44/12</f>
        <v>13.8174462256083</v>
      </c>
      <c r="AB38" s="21">
        <f>EXP(-LN(2)/2)*AB37+(1-EXP(-LN(2)/2))/(LN(2)/2)*V38*Y38*VLOOKUP('Données projet'!$B$9,Paramètres!$A$1:$I$89,3,0)*0.475*44/12</f>
        <v>16.072880250305317</v>
      </c>
      <c r="AC38" s="22">
        <f t="shared" si="3"/>
        <v>39.337888866708042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 t="e">
        <f>VLOOKUP(A38,'Données projet'!$A$61:$I$81,2,0)</f>
        <v>#N/A</v>
      </c>
      <c r="AG38" s="12" t="e">
        <f>VLOOKUP(A38,'Données projet'!$A$61:$I$81,9,0)</f>
        <v>#N/A</v>
      </c>
      <c r="AH38" s="12">
        <f t="array" ref="AH38">INDEX(AG:AG,MIN(IF(ISNUMBER(AG38:AG234),ROW(AG38:AG234),"")))</f>
        <v>12.833333333333334</v>
      </c>
      <c r="AI38" s="13">
        <f>IF('Données projet'!$A$62&gt;35,AI37+AH38-AQ37,IF(A38&lt;'Données projet'!$A$62,$AF$205^A38,IF(A38='Données projet'!$A$62,'Données projet'!$B$62,AI37+AH38-AQ37)))</f>
        <v>235.16666666666666</v>
      </c>
      <c r="AJ38" s="13">
        <f>AI38*VLOOKUP('Données projet'!$B$10,Paramètres!$A$1:$I$89,3,0)*VLOOKUP('Données projet'!$B$10,Paramètres!$A$1:$I$89,5,0)</f>
        <v>146.744</v>
      </c>
      <c r="AK38" s="13">
        <f t="shared" si="35"/>
        <v>37.837705514258651</v>
      </c>
      <c r="AL38" s="20">
        <f t="shared" si="4"/>
        <v>321.47980377066716</v>
      </c>
      <c r="AM38" s="59">
        <f t="shared" si="5"/>
        <v>614.81313710400048</v>
      </c>
      <c r="AN38" s="59">
        <f ca="1">AVERAGE(OFFSET($AM$3,0,0,'Données projet'!$E$10+1,1))-AVERAGE(OFFSET($H$3,0,0,'Données projet'!$E$10+1,1))</f>
        <v>179.4725256147085</v>
      </c>
      <c r="AO38" s="59">
        <f t="shared" si="36"/>
        <v>282.16750121151176</v>
      </c>
      <c r="AP38" s="15">
        <f>IF(ISNA(VLOOKUP(A38,'Données projet'!$A$61:$I$81,3,0)),0,VLOOKUP(A38,'Données projet'!$A$61:$I$81,3,0))</f>
        <v>0</v>
      </c>
      <c r="AQ38" s="15">
        <f>IF(ISNA(VLOOKUP(A38,'Données projet'!$A$61:$I$81,4,0)),0,VLOOKUP(A38,'Données projet'!$A$61:$I$81,4,0))</f>
        <v>0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>
        <f>EXP(-LN(2)/35)*AU37+(1-EXP(-LN(2)/35))/(LN(2)/35)*AQ38*AR38*VLOOKUP('Données projet'!$B$10,Paramètres!$A$1:$I$89,3,0)*0.475*44/12</f>
        <v>21.421001425610342</v>
      </c>
      <c r="AV38" s="21">
        <f>EXP(-LN(2)/25)*AV37+(1-EXP(-LN(2)/25))/(LN(2)/25)*Calculateur!AQ38*Calculateur!AS38*VLOOKUP('Données projet'!$B$10,Paramètres!$A$1:$I$89,3,0)*0.475*44/12</f>
        <v>13.991086387320454</v>
      </c>
      <c r="AW38" s="21">
        <f>EXP(-LN(2)/2)*AW37+(1-EXP(-LN(2)/2))/(LN(2)/2)*AQ38*AT38*VLOOKUP('Données projet'!$B$10,Paramètres!$A$1:$I$89,3,0)*0.475*44/12</f>
        <v>1.5652954163592614</v>
      </c>
      <c r="AX38" s="21">
        <f t="shared" si="6"/>
        <v>36.977383229290055</v>
      </c>
      <c r="AY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 t="e">
        <f>VLOOKUP(A38,'Données projet'!$A$87:$I$107,2,0)</f>
        <v>#N/A</v>
      </c>
      <c r="BB38" s="12" t="e">
        <f>VLOOKUP(A38,'Données projet'!$A$87:$I$107,9,0)</f>
        <v>#N/A</v>
      </c>
      <c r="BC38" s="12">
        <f t="array" ref="BC38">INDEX(BB:BB,MIN(IF(ISNUMBER(BB38:BB234),ROW(BB38:BB234),"")))</f>
        <v>5.3214035087719296</v>
      </c>
      <c r="BD38" s="12">
        <f>IF('Données projet'!$A$88&gt;35,BD37+BC38-BL37,IF(A38&lt;'Données projet'!$A$88,$BA$205^A38,IF(A38='Données projet'!$A$88,'Données projet'!$B$88,BD37+BC38-BL37)))</f>
        <v>186.2491228070177</v>
      </c>
      <c r="BE38" s="13">
        <f>BD38*VLOOKUP('Données projet'!$B$11,Paramètres!$A$1:$I$89,3,0)*VLOOKUP('Données projet'!$B$11,Paramètres!$A$1:$I$89,5,0)</f>
        <v>159.80174736842119</v>
      </c>
      <c r="BF38" s="13">
        <f t="shared" si="37"/>
        <v>40.797795746067536</v>
      </c>
      <c r="BG38" s="20">
        <f t="shared" si="7"/>
        <v>349.37753759106778</v>
      </c>
      <c r="BH38" s="59">
        <f t="shared" si="8"/>
        <v>642.71087092440109</v>
      </c>
      <c r="BI38" s="59">
        <f ca="1">AVERAGE(OFFSET($BH$3,0,0,'Données projet'!$E$11+1,1))-AVERAGE(OFFSET($H$3,0,0,'Données projet'!$E$11+1,1))</f>
        <v>312.89478437044261</v>
      </c>
      <c r="BJ38" s="59">
        <f t="shared" si="38"/>
        <v>276.16555507854571</v>
      </c>
      <c r="BK38" s="15">
        <f>IF(ISNA(VLOOKUP(A38,'Données projet'!$A$87:$I$107,3,0)),0,VLOOKUP(A38,'Données projet'!$A$87:$I$107,3,0))</f>
        <v>0</v>
      </c>
      <c r="BL38" s="15">
        <f>IF(ISNA(VLOOKUP(A38,'Données projet'!$A$87:$I$107,4,0)),0,VLOOKUP(A38,'Données projet'!$A$87:$I$107,4,0))</f>
        <v>0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>
        <f>EXP(-LN(2)/35)*BP37+(1-EXP(-LN(2)/35))/(LN(2)/35)*BL38*BM38*VLOOKUP('Données projet'!$B$11,Paramètres!$A$1:$I$89,3,0)*0.475*44/12</f>
        <v>0</v>
      </c>
      <c r="BQ38" s="21">
        <f>EXP(-LN(2)/25)*BQ37+(1-EXP(-LN(2)/25))/(LN(2)/25)*Calculateur!BL38*Calculateur!BN38*VLOOKUP('Données projet'!$B$11,Paramètres!$A$1:$I$89,3,0)*0.475*44/12</f>
        <v>0</v>
      </c>
      <c r="BR38" s="21">
        <f>EXP(-LN(2)/2)*BR37+(1-EXP(-LN(2)/2))/(LN(2)/2)*BL38*BO38*VLOOKUP('Données projet'!$B$11,Paramètres!$A$1:$I$89,3,0)*0.475*44/12</f>
        <v>0</v>
      </c>
      <c r="BS38" s="22">
        <f t="shared" si="9"/>
        <v>0</v>
      </c>
      <c r="BT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 t="e">
        <f>VLOOKUP(A38,'Données projet'!$A$113:$I$133,2,0)</f>
        <v>#N/A</v>
      </c>
      <c r="BW38" s="12" t="e">
        <f>VLOOKUP(A38,'Données projet'!$A$113:$I$133,9,0)</f>
        <v>#N/A</v>
      </c>
      <c r="BX38" s="12">
        <f t="array" ref="BX38">INDEX(BW:BW,MIN(IF(ISNUMBER(BW38:BW234),ROW(BW38:BW234),"")))</f>
        <v>0</v>
      </c>
      <c r="BY38" s="12">
        <f>IF('Données projet'!$A$114&gt;35,BY37+BX38-CG37,IF(A38&lt;'Données projet'!$A$114,$BV$205^A38,IF(A38='Données projet'!$A$114,'Données projet'!$B$114,BY37+BX38-CG37)))</f>
        <v>0</v>
      </c>
      <c r="BZ38" s="13" t="e">
        <f>BY38*VLOOKUP('Données projet'!$B$12,Paramètres!$A$1:$I$89,3,0)*VLOOKUP('Données projet'!$B$12,Paramètres!$A$1:$I$89,5,0)</f>
        <v>#N/A</v>
      </c>
      <c r="CA38" s="13" t="e">
        <f t="shared" si="39"/>
        <v>#N/A</v>
      </c>
      <c r="CB38" s="20" t="e">
        <f t="shared" si="10"/>
        <v>#N/A</v>
      </c>
      <c r="CC38" s="59" t="e">
        <f t="shared" si="11"/>
        <v>#N/A</v>
      </c>
      <c r="CD38" s="59" t="e">
        <f ca="1">AVERAGE(OFFSET($CC$3,0,0,'Données projet'!$E$12+1,1))-AVERAGE(OFFSET($H$3,0,0,'Données projet'!$E$12+1,1))</f>
        <v>#N/A</v>
      </c>
      <c r="CE38" s="59" t="e">
        <f t="shared" si="40"/>
        <v>#N/A</v>
      </c>
      <c r="CF38" s="15">
        <f>IF(ISNA(VLOOKUP(A38,'Données projet'!$A$113:$I$133,3,0)),0,VLOOKUP(A38,'Données projet'!$A$113:$I$133,3,0))</f>
        <v>0</v>
      </c>
      <c r="CG38" s="15">
        <f>IF(ISNA(VLOOKUP(A38,'Données projet'!$A$113:$I$133,4,0)),0,VLOOKUP(A38,'Données projet'!$A$113:$I$133,4,0))</f>
        <v>0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 t="e">
        <f>EXP(-LN(2)/35)*CK37+(1-EXP(-LN(2)/35))/(LN(2)/35)*CG38*CH38*VLOOKUP('Données projet'!$B$12,Paramètres!$A$1:$I$89,3,0)*0.475*44/12</f>
        <v>#N/A</v>
      </c>
      <c r="CL38" s="21" t="e">
        <f>EXP(-LN(2)/25)*CL37+(1-EXP(-LN(2)/25))/(LN(2)/25)*Calculateur!CG38*Calculateur!CI38*VLOOKUP('Données projet'!$B$12,Paramètres!$A$1:$I$89,3,0)*0.475*44/12</f>
        <v>#N/A</v>
      </c>
      <c r="CM38" s="21" t="e">
        <f>EXP(-LN(2)/2)*CM37+(1-EXP(-LN(2)/2))/(LN(2)/2)*CG38*CJ38*VLOOKUP('Données projet'!$B$12,Paramètres!$A$1:$I$89,3,0)*0.475*44/12</f>
        <v>#N/A</v>
      </c>
      <c r="CN38" s="22" t="e">
        <f t="shared" si="12"/>
        <v>#N/A</v>
      </c>
      <c r="CO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projet'!$A$139:$I$159,2,0)</f>
        <v>#N/A</v>
      </c>
      <c r="CR38" s="12" t="e">
        <f>VLOOKUP(A38,'Données projet'!$A$139:$I$159,9,0)</f>
        <v>#N/A</v>
      </c>
      <c r="CS38" s="12">
        <f t="array" ref="CS38">INDEX(CR:CR,MIN(IF(ISNUMBER(CR38:CR234),ROW(CR38:CR234),"")))</f>
        <v>0</v>
      </c>
      <c r="CT38" s="12">
        <f>IF('Données projet'!$A$140&gt;35,CT37+CS38-DB37,IF(A38&lt;'Données projet'!$A$140,$CQ$205^A38,IF(A38='Données projet'!$A$140,'Données projet'!$B$140,CT37+CS38-DB37)))</f>
        <v>0</v>
      </c>
      <c r="CU38" s="17" t="e">
        <f>CT38*VLOOKUP('Données projet'!$B$13,Paramètres!$A$1:$I$89,3,0)*VLOOKUP('Données projet'!$B$13,Paramètres!$A$1:$I$89,5,0)</f>
        <v>#N/A</v>
      </c>
      <c r="CV38" s="13" t="e">
        <f t="shared" si="41"/>
        <v>#N/A</v>
      </c>
      <c r="CW38" s="20" t="e">
        <f t="shared" si="13"/>
        <v>#N/A</v>
      </c>
      <c r="CX38" s="59" t="e">
        <f t="shared" si="14"/>
        <v>#N/A</v>
      </c>
      <c r="CY38" s="59" t="e">
        <f ca="1">AVERAGE(OFFSET($CX$3,0,0,'Données projet'!$E$13+1,1))-AVERAGE(OFFSET($H$3,0,0,'Données projet'!$E$13+1,1))</f>
        <v>#N/A</v>
      </c>
      <c r="CZ38" s="59" t="e">
        <f t="shared" si="42"/>
        <v>#N/A</v>
      </c>
      <c r="DA38" s="15">
        <f>IF(ISNA(VLOOKUP(A38,'Données projet'!$A$139:$I$159,3,0)),0,VLOOKUP(A38,'Données projet'!$A$139:$I$159,3,0))</f>
        <v>0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 t="e">
        <f>EXP(-LN(2)/35)*DF37+(1-EXP(-LN(2)/35))/(LN(2)/35)*DB38*DC38*VLOOKUP('Données projet'!$B$13,Paramètres!$A$1:$I$89,3,0)*0.475*44/12</f>
        <v>#N/A</v>
      </c>
      <c r="DG38" s="21" t="e">
        <f>EXP(-LN(2)/25)*DG37+(1-EXP(-LN(2)/25))/(LN(2)/25)*Calculateur!DB38*Calculateur!DD38*VLOOKUP('Données projet'!$B$13,Paramètres!$A$1:$I$89,3,0)*0.475*44/12</f>
        <v>#N/A</v>
      </c>
      <c r="DH38" s="21" t="e">
        <f>EXP(-LN(2)/2)*DH37+(1-EXP(-LN(2)/2))/(LN(2)/2)*DB38*DE38*VLOOKUP('Données projet'!$B$13,Paramètres!$A$1:$I$89,3,0)*0.475*44/12</f>
        <v>#N/A</v>
      </c>
      <c r="DI38" s="22" t="e">
        <f t="shared" si="15"/>
        <v>#N/A</v>
      </c>
      <c r="DJ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0</v>
      </c>
      <c r="DO38" s="12">
        <f>IF('Données projet'!$A$166&gt;35,DO37+DN38-DW37,IF(A38&lt;'Données projet'!$A$166,$DL$205^A38,IF(A38='Données projet'!$A$166,'Données projet'!$B$166,DO37+DN38-DW37)))</f>
        <v>0</v>
      </c>
      <c r="DP38" s="17" t="e">
        <f>DO38*VLOOKUP('Données projet'!$B$14,Paramètres!$A$1:$I$89,3,0)*VLOOKUP('Données projet'!$B$14,Paramètres!$A$1:$I$89,5,0)</f>
        <v>#N/A</v>
      </c>
      <c r="DQ38" s="13" t="e">
        <f t="shared" si="43"/>
        <v>#N/A</v>
      </c>
      <c r="DR38" s="20" t="e">
        <f t="shared" si="16"/>
        <v>#N/A</v>
      </c>
      <c r="DS38" s="59" t="e">
        <f t="shared" si="17"/>
        <v>#N/A</v>
      </c>
      <c r="DT38" s="59" t="e">
        <f ca="1">AVERAGE(OFFSET($DS$3,0,0,'Données projet'!$E$14+1,1))-AVERAGE(OFFSET($H$3,0,0,'Données projet'!$E$14+1,1))</f>
        <v>#N/A</v>
      </c>
      <c r="DU38" s="59" t="e">
        <f t="shared" si="44"/>
        <v>#N/A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 t="e">
        <f>EXP(-LN(2)/35)*EA37+(1-EXP(-LN(2)/35))/(LN(2)/35)*DW38*DX38*VLOOKUP('Données projet'!$B$14,Paramètres!$A$1:$I$89,3,0)*0.475*44/12</f>
        <v>#N/A</v>
      </c>
      <c r="EB38" s="21" t="e">
        <f>EXP(-LN(2)/25)*EB37+(1-EXP(-LN(2)/25))/(LN(2)/25)*Calculateur!DW38*Calculateur!DY38*VLOOKUP('Données projet'!$B$14,Paramètres!$A$1:$I$89,3,0)*0.475*44/12</f>
        <v>#N/A</v>
      </c>
      <c r="EC38" s="21" t="e">
        <f>EXP(-LN(2)/2)*EC37+(1-EXP(-LN(2)/2))/(LN(2)/2)*DW38*DZ38*VLOOKUP('Données projet'!$B$14,Paramètres!$A$1:$I$89,3,0)*0.475*44/12</f>
        <v>#N/A</v>
      </c>
      <c r="ED38" s="22" t="e">
        <f t="shared" si="18"/>
        <v>#N/A</v>
      </c>
      <c r="EE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0</v>
      </c>
      <c r="EJ38" s="12">
        <f>IF('Données projet'!$A$192&gt;35,EJ37+EI38-ER37,IF(A38&lt;'Données projet'!$A$192,$EG$205^A38,IF(A38='Données projet'!$A$192,'Données projet'!$B$192,EJ37+EI38-ER37)))</f>
        <v>0</v>
      </c>
      <c r="EK38" s="17" t="e">
        <f>EJ38*VLOOKUP('Données projet'!$B$15,Paramètres!$A$1:$I$89,3,0)*VLOOKUP('Données projet'!$B$15,Paramètres!$A$1:$I$89,5,0)</f>
        <v>#N/A</v>
      </c>
      <c r="EL38" s="13" t="e">
        <f t="shared" si="45"/>
        <v>#N/A</v>
      </c>
      <c r="EM38" s="20" t="e">
        <f t="shared" si="19"/>
        <v>#N/A</v>
      </c>
      <c r="EN38" s="59" t="e">
        <f t="shared" si="20"/>
        <v>#N/A</v>
      </c>
      <c r="EO38" s="59" t="e">
        <f ca="1">AVERAGE(OFFSET($EN$3,0,0,'Données projet'!$E$15+1,1))-AVERAGE(OFFSET($H$3,0,0,'Données projet'!$E$15+1,1))</f>
        <v>#N/A</v>
      </c>
      <c r="EP38" s="59" t="e">
        <f t="shared" si="46"/>
        <v>#N/A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 t="e">
        <f>EXP(-LN(2)/35)*EV37+(1-EXP(-LN(2)/35))/(LN(2)/35)*ER38*ES38*VLOOKUP('Données projet'!$B$15,Paramètres!$A$1:$I$89,3,0)*0.475*44/12</f>
        <v>#N/A</v>
      </c>
      <c r="EW38" s="21" t="e">
        <f>EXP(-LN(2)/25)*EW37+(1-EXP(-LN(2)/25))/(LN(2)/25)*Calculateur!ER38*Calculateur!ET38*VLOOKUP('Données projet'!$B$15,Paramètres!$A$1:$I$89,3,0)*0.475*44/12</f>
        <v>#N/A</v>
      </c>
      <c r="EX38" s="21" t="e">
        <f>EXP(-LN(2)/2)*EX37+(1-EXP(-LN(2)/2))/(LN(2)/2)*ER38*EU38*VLOOKUP('Données projet'!$B$15,Paramètres!$A$1:$I$89,3,0)*0.475*44/12</f>
        <v>#N/A</v>
      </c>
      <c r="EY38" s="22" t="e">
        <f t="shared" si="21"/>
        <v>#N/A</v>
      </c>
      <c r="EZ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45">
      <c r="A39" s="10">
        <f t="shared" si="31"/>
        <v>36</v>
      </c>
      <c r="B39" s="73">
        <f>'Scénario référence'!$B$16*5+'Scénario référence'!$B$17*0+'Scénario référence'!$B$18*5</f>
        <v>0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32.011199999999988</v>
      </c>
      <c r="D39" s="11">
        <f t="shared" si="32"/>
        <v>9.8545516964045738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">
        <f>IF(OR('Scénario référence'!$F$8&gt;0,'Scénario référence'!$F$9&gt;0),('Scénario référence'!$F$8+'Scénario référence'!$F$9)*10,0)</f>
        <v>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323.17422362136853</v>
      </c>
      <c r="H39" s="67">
        <f t="shared" si="1"/>
        <v>329.58285087123795</v>
      </c>
      <c r="I39" s="7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14.286666666666665</v>
      </c>
      <c r="N39" s="13">
        <f>IF('Données projet'!$A$36&gt;35,N38+M39-V38,IF(A39&lt;'Données projet'!$A$36,$K$205^A39,IF(A39='Données projet'!$A$36,'Données projet'!$B$36,N38+M39-V38)))</f>
        <v>209.50333333333336</v>
      </c>
      <c r="O39" s="13">
        <f>N39*VLOOKUP('Données projet'!$B$9,Paramètres!$A$1:$I$89,3,0)*VLOOKUP('Données projet'!$B$9,Paramètres!$A$1:$I$89,5,0)</f>
        <v>117.11236333333335</v>
      </c>
      <c r="P39" s="13">
        <f t="shared" si="33"/>
        <v>31.000553675639388</v>
      </c>
      <c r="Q39" s="20">
        <f t="shared" si="53"/>
        <v>257.96333045729415</v>
      </c>
      <c r="R39" s="59">
        <f t="shared" si="0"/>
        <v>551.29666379062746</v>
      </c>
      <c r="S39" s="59">
        <f ca="1">AVERAGE(OFFSET($R$3,0,0,'Données projet'!$E$9+1,1))-AVERAGE(OFFSET($H$3,0,0,'Données projet'!$E$9+1,1))</f>
        <v>280.69347314340195</v>
      </c>
      <c r="T39" s="59">
        <f t="shared" si="34"/>
        <v>152.40533828556482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9.2623014547550131</v>
      </c>
      <c r="AA39" s="21">
        <f>EXP(-LN(2)/25)*AA38+(1-EXP(-LN(2)/25))/(LN(2)/25)*Calculateur!V39*Calculateur!X39*VLOOKUP('Données projet'!$B$9,Paramètres!$A$1:$I$89,3,0)*0.475*44/12</f>
        <v>13.439607431941125</v>
      </c>
      <c r="AB39" s="21">
        <f>EXP(-LN(2)/2)*AB38+(1-EXP(-LN(2)/2))/(LN(2)/2)*V39*Y39*VLOOKUP('Données projet'!$B$9,Paramètres!$A$1:$I$89,3,0)*0.475*44/12</f>
        <v>11.365242618190225</v>
      </c>
      <c r="AC39" s="22">
        <f t="shared" si="3"/>
        <v>34.067151504886361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>
        <f>VLOOKUP(A39,'Données projet'!$A$61:$I$81,2,0)</f>
        <v>248</v>
      </c>
      <c r="AG39" s="12">
        <f>VLOOKUP(A39,'Données projet'!$A$61:$I$81,9,0)</f>
        <v>12.833333333333334</v>
      </c>
      <c r="AH39" s="12">
        <f t="array" ref="AH39">INDEX(AG:AG,MIN(IF(ISNUMBER(AG39:AG235),ROW(AG39:AG235),"")))</f>
        <v>12.833333333333334</v>
      </c>
      <c r="AI39" s="13">
        <f>IF('Données projet'!$A$62&gt;35,AI38+AH39-AQ38,IF(A39&lt;'Données projet'!$A$62,$AF$205^A39,IF(A39='Données projet'!$A$62,'Données projet'!$B$62,AI38+AH39-AQ38)))</f>
        <v>248</v>
      </c>
      <c r="AJ39" s="13">
        <f>AI39*VLOOKUP('Données projet'!$B$10,Paramètres!$A$1:$I$89,3,0)*VLOOKUP('Données projet'!$B$10,Paramètres!$A$1:$I$89,5,0)</f>
        <v>154.75199999999998</v>
      </c>
      <c r="AK39" s="13">
        <f t="shared" si="35"/>
        <v>39.656526650076415</v>
      </c>
      <c r="AL39" s="20">
        <f t="shared" si="4"/>
        <v>338.5948505822164</v>
      </c>
      <c r="AM39" s="59">
        <f t="shared" si="5"/>
        <v>631.92818391554965</v>
      </c>
      <c r="AN39" s="59">
        <f ca="1">AVERAGE(OFFSET($AM$3,0,0,'Données projet'!$E$10+1,1))-AVERAGE(OFFSET($H$3,0,0,'Données projet'!$E$10+1,1))</f>
        <v>179.4725256147085</v>
      </c>
      <c r="AO39" s="59">
        <f t="shared" si="36"/>
        <v>282.16750121151176</v>
      </c>
      <c r="AP39" s="15">
        <f>IF(ISNA(VLOOKUP(A39,'Données projet'!$A$61:$I$81,3,0)),0,VLOOKUP(A39,'Données projet'!$A$61:$I$81,3,0))</f>
        <v>5</v>
      </c>
      <c r="AQ39" s="15">
        <f>IF(ISNA(VLOOKUP(A39,'Données projet'!$A$61:$I$81,4,0)),0,VLOOKUP(A39,'Données projet'!$A$61:$I$81,4,0))</f>
        <v>62</v>
      </c>
      <c r="AR39" s="16">
        <f>IF(ISNA(VLOOKUP(A39,'Données projet'!$A$61:$I$81,5,0)),0%,VLOOKUP(A39,'Données projet'!$A$61:$I$81,5,0)*VLOOKUP('Données projet'!$B$10,Paramètres!$A$1:$I$89,7,0))</f>
        <v>0.36</v>
      </c>
      <c r="AS39" s="16">
        <f>IF(ISNA(VLOOKUP(A39,'Données projet'!$A$61:$I$81,6,0)),0%,VLOOKUP(A39,'Données projet'!$A$61:$I$81,6,0)*VLOOKUP('Données projet'!$B$10,Paramètres!$A$1:$I$89,7,0))</f>
        <v>0.12</v>
      </c>
      <c r="AT39" s="16">
        <f>IF(ISNA(VLOOKUP(A39,'Données projet'!$A$61:$I$81,7,0)),0%,VLOOKUP(A39,'Données projet'!$A$61:$I$81,7,0))</f>
        <v>0.2</v>
      </c>
      <c r="AU39" s="21">
        <f>EXP(-LN(2)/35)*AU38+(1-EXP(-LN(2)/35))/(LN(2)/35)*AQ39*AR39*VLOOKUP('Données projet'!$B$10,Paramètres!$A$1:$I$89,3,0)*0.475*44/12</f>
        <v>39.476913887911053</v>
      </c>
      <c r="AV39" s="21">
        <f>EXP(-LN(2)/25)*AV38+(1-EXP(-LN(2)/25))/(LN(2)/25)*Calculateur!AQ39*Calculateur!AS39*VLOOKUP('Données projet'!$B$10,Paramètres!$A$1:$I$89,3,0)*0.475*44/12</f>
        <v>19.742905500870702</v>
      </c>
      <c r="AW39" s="21">
        <f>EXP(-LN(2)/2)*AW38+(1-EXP(-LN(2)/2))/(LN(2)/2)*AQ39*AT39*VLOOKUP('Données projet'!$B$10,Paramètres!$A$1:$I$89,3,0)*0.475*44/12</f>
        <v>9.8675916288086363</v>
      </c>
      <c r="AX39" s="21">
        <f t="shared" si="6"/>
        <v>69.087411017590398</v>
      </c>
      <c r="AY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5.3214035087719296</v>
      </c>
      <c r="BD39" s="12">
        <f>IF('Données projet'!$A$88&gt;35,BD38+BC39-BL38,IF(A39&lt;'Données projet'!$A$88,$BA$205^A39,IF(A39='Données projet'!$A$88,'Données projet'!$B$88,BD38+BC39-BL38)))</f>
        <v>191.57052631578964</v>
      </c>
      <c r="BE39" s="13">
        <f>BD39*VLOOKUP('Données projet'!$B$11,Paramètres!$A$1:$I$89,3,0)*VLOOKUP('Données projet'!$B$11,Paramètres!$A$1:$I$89,5,0)</f>
        <v>164.36751157894753</v>
      </c>
      <c r="BF39" s="13">
        <f t="shared" si="37"/>
        <v>41.826070488348392</v>
      </c>
      <c r="BG39" s="20">
        <f t="shared" si="7"/>
        <v>359.12048876720706</v>
      </c>
      <c r="BH39" s="59">
        <f t="shared" si="8"/>
        <v>652.45382210054038</v>
      </c>
      <c r="BI39" s="59">
        <f ca="1">AVERAGE(OFFSET($BH$3,0,0,'Données projet'!$E$11+1,1))-AVERAGE(OFFSET($H$3,0,0,'Données projet'!$E$11+1,1))</f>
        <v>312.89478437044261</v>
      </c>
      <c r="BJ39" s="59">
        <f t="shared" si="38"/>
        <v>276.16555507854571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>
        <f>EXP(-LN(2)/35)*BP38+(1-EXP(-LN(2)/35))/(LN(2)/35)*BL39*BM39*VLOOKUP('Données projet'!$B$11,Paramètres!$A$1:$I$89,3,0)*0.475*44/12</f>
        <v>0</v>
      </c>
      <c r="BQ39" s="21">
        <f>EXP(-LN(2)/25)*BQ38+(1-EXP(-LN(2)/25))/(LN(2)/25)*Calculateur!BL39*Calculateur!BN39*VLOOKUP('Données projet'!$B$11,Paramètres!$A$1:$I$89,3,0)*0.475*44/12</f>
        <v>0</v>
      </c>
      <c r="BR39" s="21">
        <f>EXP(-LN(2)/2)*BR38+(1-EXP(-LN(2)/2))/(LN(2)/2)*BL39*BO39*VLOOKUP('Données projet'!$B$11,Paramètres!$A$1:$I$89,3,0)*0.475*44/12</f>
        <v>0</v>
      </c>
      <c r="BS39" s="22">
        <f t="shared" si="9"/>
        <v>0</v>
      </c>
      <c r="BT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0</v>
      </c>
      <c r="BY39" s="12">
        <f>IF('Données projet'!$A$114&gt;35,BY38+BX39-CG38,IF(A39&lt;'Données projet'!$A$114,$BV$205^A39,IF(A39='Données projet'!$A$114,'Données projet'!$B$114,BY38+BX39-CG38)))</f>
        <v>0</v>
      </c>
      <c r="BZ39" s="13" t="e">
        <f>BY39*VLOOKUP('Données projet'!$B$12,Paramètres!$A$1:$I$89,3,0)*VLOOKUP('Données projet'!$B$12,Paramètres!$A$1:$I$89,5,0)</f>
        <v>#N/A</v>
      </c>
      <c r="CA39" s="13" t="e">
        <f t="shared" si="39"/>
        <v>#N/A</v>
      </c>
      <c r="CB39" s="20" t="e">
        <f t="shared" si="10"/>
        <v>#N/A</v>
      </c>
      <c r="CC39" s="59" t="e">
        <f t="shared" si="11"/>
        <v>#N/A</v>
      </c>
      <c r="CD39" s="59" t="e">
        <f ca="1">AVERAGE(OFFSET($CC$3,0,0,'Données projet'!$E$12+1,1))-AVERAGE(OFFSET($H$3,0,0,'Données projet'!$E$12+1,1))</f>
        <v>#N/A</v>
      </c>
      <c r="CE39" s="59" t="e">
        <f t="shared" si="40"/>
        <v>#N/A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 t="e">
        <f>EXP(-LN(2)/35)*CK38+(1-EXP(-LN(2)/35))/(LN(2)/35)*CG39*CH39*VLOOKUP('Données projet'!$B$12,Paramètres!$A$1:$I$89,3,0)*0.475*44/12</f>
        <v>#N/A</v>
      </c>
      <c r="CL39" s="21" t="e">
        <f>EXP(-LN(2)/25)*CL38+(1-EXP(-LN(2)/25))/(LN(2)/25)*Calculateur!CG39*Calculateur!CI39*VLOOKUP('Données projet'!$B$12,Paramètres!$A$1:$I$89,3,0)*0.475*44/12</f>
        <v>#N/A</v>
      </c>
      <c r="CM39" s="21" t="e">
        <f>EXP(-LN(2)/2)*CM38+(1-EXP(-LN(2)/2))/(LN(2)/2)*CG39*CJ39*VLOOKUP('Données projet'!$B$12,Paramètres!$A$1:$I$89,3,0)*0.475*44/12</f>
        <v>#N/A</v>
      </c>
      <c r="CN39" s="22" t="e">
        <f t="shared" si="12"/>
        <v>#N/A</v>
      </c>
      <c r="CO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0</v>
      </c>
      <c r="CT39" s="12">
        <f>IF('Données projet'!$A$140&gt;35,CT38+CS39-DB38,IF(A39&lt;'Données projet'!$A$140,$CQ$205^A39,IF(A39='Données projet'!$A$140,'Données projet'!$B$140,CT38+CS39-DB38)))</f>
        <v>0</v>
      </c>
      <c r="CU39" s="17" t="e">
        <f>CT39*VLOOKUP('Données projet'!$B$13,Paramètres!$A$1:$I$89,3,0)*VLOOKUP('Données projet'!$B$13,Paramètres!$A$1:$I$89,5,0)</f>
        <v>#N/A</v>
      </c>
      <c r="CV39" s="13" t="e">
        <f t="shared" si="41"/>
        <v>#N/A</v>
      </c>
      <c r="CW39" s="20" t="e">
        <f t="shared" si="13"/>
        <v>#N/A</v>
      </c>
      <c r="CX39" s="59" t="e">
        <f t="shared" si="14"/>
        <v>#N/A</v>
      </c>
      <c r="CY39" s="59" t="e">
        <f ca="1">AVERAGE(OFFSET($CX$3,0,0,'Données projet'!$E$13+1,1))-AVERAGE(OFFSET($H$3,0,0,'Données projet'!$E$13+1,1))</f>
        <v>#N/A</v>
      </c>
      <c r="CZ39" s="59" t="e">
        <f t="shared" si="42"/>
        <v>#N/A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 t="e">
        <f>EXP(-LN(2)/35)*DF38+(1-EXP(-LN(2)/35))/(LN(2)/35)*DB39*DC39*VLOOKUP('Données projet'!$B$13,Paramètres!$A$1:$I$89,3,0)*0.475*44/12</f>
        <v>#N/A</v>
      </c>
      <c r="DG39" s="21" t="e">
        <f>EXP(-LN(2)/25)*DG38+(1-EXP(-LN(2)/25))/(LN(2)/25)*Calculateur!DB39*Calculateur!DD39*VLOOKUP('Données projet'!$B$13,Paramètres!$A$1:$I$89,3,0)*0.475*44/12</f>
        <v>#N/A</v>
      </c>
      <c r="DH39" s="21" t="e">
        <f>EXP(-LN(2)/2)*DH38+(1-EXP(-LN(2)/2))/(LN(2)/2)*DB39*DE39*VLOOKUP('Données projet'!$B$13,Paramètres!$A$1:$I$89,3,0)*0.475*44/12</f>
        <v>#N/A</v>
      </c>
      <c r="DI39" s="22" t="e">
        <f t="shared" si="15"/>
        <v>#N/A</v>
      </c>
      <c r="DJ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0</v>
      </c>
      <c r="DO39" s="12">
        <f>IF('Données projet'!$A$166&gt;35,DO38+DN39-DW38,IF(A39&lt;'Données projet'!$A$166,$DL$205^A39,IF(A39='Données projet'!$A$166,'Données projet'!$B$166,DO38+DN39-DW38)))</f>
        <v>0</v>
      </c>
      <c r="DP39" s="17" t="e">
        <f>DO39*VLOOKUP('Données projet'!$B$14,Paramètres!$A$1:$I$89,3,0)*VLOOKUP('Données projet'!$B$14,Paramètres!$A$1:$I$89,5,0)</f>
        <v>#N/A</v>
      </c>
      <c r="DQ39" s="13" t="e">
        <f t="shared" si="43"/>
        <v>#N/A</v>
      </c>
      <c r="DR39" s="20" t="e">
        <f t="shared" si="16"/>
        <v>#N/A</v>
      </c>
      <c r="DS39" s="59" t="e">
        <f t="shared" si="17"/>
        <v>#N/A</v>
      </c>
      <c r="DT39" s="59" t="e">
        <f ca="1">AVERAGE(OFFSET($DS$3,0,0,'Données projet'!$E$14+1,1))-AVERAGE(OFFSET($H$3,0,0,'Données projet'!$E$14+1,1))</f>
        <v>#N/A</v>
      </c>
      <c r="DU39" s="59" t="e">
        <f t="shared" si="44"/>
        <v>#N/A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 t="e">
        <f>EXP(-LN(2)/35)*EA38+(1-EXP(-LN(2)/35))/(LN(2)/35)*DW39*DX39*VLOOKUP('Données projet'!$B$14,Paramètres!$A$1:$I$89,3,0)*0.475*44/12</f>
        <v>#N/A</v>
      </c>
      <c r="EB39" s="21" t="e">
        <f>EXP(-LN(2)/25)*EB38+(1-EXP(-LN(2)/25))/(LN(2)/25)*Calculateur!DW39*Calculateur!DY39*VLOOKUP('Données projet'!$B$14,Paramètres!$A$1:$I$89,3,0)*0.475*44/12</f>
        <v>#N/A</v>
      </c>
      <c r="EC39" s="21" t="e">
        <f>EXP(-LN(2)/2)*EC38+(1-EXP(-LN(2)/2))/(LN(2)/2)*DW39*DZ39*VLOOKUP('Données projet'!$B$14,Paramètres!$A$1:$I$89,3,0)*0.475*44/12</f>
        <v>#N/A</v>
      </c>
      <c r="ED39" s="22" t="e">
        <f t="shared" si="18"/>
        <v>#N/A</v>
      </c>
      <c r="EE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0</v>
      </c>
      <c r="EJ39" s="12">
        <f>IF('Données projet'!$A$192&gt;35,EJ38+EI39-ER38,IF(A39&lt;'Données projet'!$A$192,$EG$205^A39,IF(A39='Données projet'!$A$192,'Données projet'!$B$192,EJ38+EI39-ER38)))</f>
        <v>0</v>
      </c>
      <c r="EK39" s="17" t="e">
        <f>EJ39*VLOOKUP('Données projet'!$B$15,Paramètres!$A$1:$I$89,3,0)*VLOOKUP('Données projet'!$B$15,Paramètres!$A$1:$I$89,5,0)</f>
        <v>#N/A</v>
      </c>
      <c r="EL39" s="13" t="e">
        <f t="shared" si="45"/>
        <v>#N/A</v>
      </c>
      <c r="EM39" s="20" t="e">
        <f t="shared" si="19"/>
        <v>#N/A</v>
      </c>
      <c r="EN39" s="59" t="e">
        <f t="shared" si="20"/>
        <v>#N/A</v>
      </c>
      <c r="EO39" s="59" t="e">
        <f ca="1">AVERAGE(OFFSET($EN$3,0,0,'Données projet'!$E$15+1,1))-AVERAGE(OFFSET($H$3,0,0,'Données projet'!$E$15+1,1))</f>
        <v>#N/A</v>
      </c>
      <c r="EP39" s="59" t="e">
        <f t="shared" si="46"/>
        <v>#N/A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 t="e">
        <f>EXP(-LN(2)/35)*EV38+(1-EXP(-LN(2)/35))/(LN(2)/35)*ER39*ES39*VLOOKUP('Données projet'!$B$15,Paramètres!$A$1:$I$89,3,0)*0.475*44/12</f>
        <v>#N/A</v>
      </c>
      <c r="EW39" s="21" t="e">
        <f>EXP(-LN(2)/25)*EW38+(1-EXP(-LN(2)/25))/(LN(2)/25)*Calculateur!ER39*Calculateur!ET39*VLOOKUP('Données projet'!$B$15,Paramètres!$A$1:$I$89,3,0)*0.475*44/12</f>
        <v>#N/A</v>
      </c>
      <c r="EX39" s="21" t="e">
        <f>EXP(-LN(2)/2)*EX38+(1-EXP(-LN(2)/2))/(LN(2)/2)*ER39*EU39*VLOOKUP('Données projet'!$B$15,Paramètres!$A$1:$I$89,3,0)*0.475*44/12</f>
        <v>#N/A</v>
      </c>
      <c r="EY39" s="22" t="e">
        <f t="shared" si="21"/>
        <v>#N/A</v>
      </c>
      <c r="EZ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45">
      <c r="A40" s="10">
        <f t="shared" si="31"/>
        <v>37</v>
      </c>
      <c r="B40" s="73">
        <f>'Scénario référence'!$B$16*5+'Scénario référence'!$B$17*0+'Scénario référence'!$B$18*5</f>
        <v>0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32.900399999999991</v>
      </c>
      <c r="D40" s="11">
        <f t="shared" si="32"/>
        <v>10.096039146303498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">
        <f>IF(OR('Scénario référence'!$F$8&gt;0,'Scénario référence'!$F$9&gt;0),('Scénario référence'!$F$8+'Scénario référence'!$F$9)*10,0)</f>
        <v>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331.90233726971115</v>
      </c>
      <c r="H40" s="67">
        <f t="shared" si="1"/>
        <v>331.55213151314524</v>
      </c>
      <c r="I40" s="7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14.286666666666665</v>
      </c>
      <c r="N40" s="13">
        <f>IF('Données projet'!$A$36&gt;35,N39+M40-V39,IF(A40&lt;'Données projet'!$A$36,$K$205^A40,IF(A40='Données projet'!$A$36,'Données projet'!$B$36,N39+M40-V39)))</f>
        <v>223.79000000000002</v>
      </c>
      <c r="O40" s="13">
        <f>N40*VLOOKUP('Données projet'!$B$9,Paramètres!$A$1:$I$89,3,0)*VLOOKUP('Données projet'!$B$9,Paramètres!$A$1:$I$89,5,0)</f>
        <v>125.09861000000002</v>
      </c>
      <c r="P40" s="13">
        <f t="shared" si="33"/>
        <v>32.861271221495493</v>
      </c>
      <c r="Q40" s="20">
        <f t="shared" si="53"/>
        <v>275.1134597941047</v>
      </c>
      <c r="R40" s="59">
        <f t="shared" si="0"/>
        <v>568.44679312743801</v>
      </c>
      <c r="S40" s="59">
        <f ca="1">AVERAGE(OFFSET($R$3,0,0,'Données projet'!$E$9+1,1))-AVERAGE(OFFSET($H$3,0,0,'Données projet'!$E$9+1,1))</f>
        <v>280.69347314340195</v>
      </c>
      <c r="T40" s="59">
        <f t="shared" si="34"/>
        <v>152.40533828556482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9.0806733726733189</v>
      </c>
      <c r="AA40" s="21">
        <f>EXP(-LN(2)/25)*AA39+(1-EXP(-LN(2)/25))/(LN(2)/25)*Calculateur!V40*Calculateur!X40*VLOOKUP('Données projet'!$B$9,Paramètres!$A$1:$I$89,3,0)*0.475*44/12</f>
        <v>13.072100659956456</v>
      </c>
      <c r="AB40" s="21">
        <f>EXP(-LN(2)/2)*AB39+(1-EXP(-LN(2)/2))/(LN(2)/2)*V40*Y40*VLOOKUP('Données projet'!$B$9,Paramètres!$A$1:$I$89,3,0)*0.475*44/12</f>
        <v>8.0364401251526605</v>
      </c>
      <c r="AC40" s="22">
        <f t="shared" si="3"/>
        <v>30.189214157782438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11.5</v>
      </c>
      <c r="AI40" s="13">
        <f>IF('Données projet'!$A$62&gt;35,AI39+AH40-AQ39,IF(A40&lt;'Données projet'!$A$62,$AF$205^A40,IF(A40='Données projet'!$A$62,'Données projet'!$B$62,AI39+AH40-AQ39)))</f>
        <v>197.5</v>
      </c>
      <c r="AJ40" s="13">
        <f>AI40*VLOOKUP('Données projet'!$B$10,Paramètres!$A$1:$I$89,3,0)*VLOOKUP('Données projet'!$B$10,Paramètres!$A$1:$I$89,5,0)</f>
        <v>123.24</v>
      </c>
      <c r="AK40" s="13">
        <f t="shared" si="35"/>
        <v>32.429500380369056</v>
      </c>
      <c r="AL40" s="20">
        <f t="shared" si="4"/>
        <v>271.12437982914275</v>
      </c>
      <c r="AM40" s="59">
        <f t="shared" si="5"/>
        <v>564.45771316247601</v>
      </c>
      <c r="AN40" s="59">
        <f ca="1">AVERAGE(OFFSET($AM$3,0,0,'Données projet'!$E$10+1,1))-AVERAGE(OFFSET($H$3,0,0,'Données projet'!$E$10+1,1))</f>
        <v>179.4725256147085</v>
      </c>
      <c r="AO40" s="59">
        <f t="shared" si="36"/>
        <v>282.16750121151176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38.702795685109031</v>
      </c>
      <c r="AV40" s="21">
        <f>EXP(-LN(2)/25)*AV39+(1-EXP(-LN(2)/25))/(LN(2)/25)*Calculateur!AQ40*Calculateur!AS40*VLOOKUP('Données projet'!$B$10,Paramètres!$A$1:$I$89,3,0)*0.475*44/12</f>
        <v>19.203034711715116</v>
      </c>
      <c r="AW40" s="21">
        <f>EXP(-LN(2)/2)*AW39+(1-EXP(-LN(2)/2))/(LN(2)/2)*AQ40*AT40*VLOOKUP('Données projet'!$B$10,Paramètres!$A$1:$I$89,3,0)*0.475*44/12</f>
        <v>6.9774409547101968</v>
      </c>
      <c r="AX40" s="21">
        <f t="shared" si="6"/>
        <v>64.883271351534347</v>
      </c>
      <c r="AY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5.3214035087719296</v>
      </c>
      <c r="BD40" s="12">
        <f>IF('Données projet'!$A$88&gt;35,BD39+BC40-BL39,IF(A40&lt;'Données projet'!$A$88,$BA$205^A40,IF(A40='Données projet'!$A$88,'Données projet'!$B$88,BD39+BC40-BL39)))</f>
        <v>196.89192982456157</v>
      </c>
      <c r="BE40" s="13">
        <f>BD40*VLOOKUP('Données projet'!$B$11,Paramètres!$A$1:$I$89,3,0)*VLOOKUP('Données projet'!$B$11,Paramètres!$A$1:$I$89,5,0)</f>
        <v>168.93327578947384</v>
      </c>
      <c r="BF40" s="13">
        <f t="shared" si="37"/>
        <v>42.851025393725678</v>
      </c>
      <c r="BG40" s="20">
        <f t="shared" si="7"/>
        <v>368.85765789407247</v>
      </c>
      <c r="BH40" s="59">
        <f t="shared" si="8"/>
        <v>662.19099122740579</v>
      </c>
      <c r="BI40" s="59">
        <f ca="1">AVERAGE(OFFSET($BH$3,0,0,'Données projet'!$E$11+1,1))-AVERAGE(OFFSET($H$3,0,0,'Données projet'!$E$11+1,1))</f>
        <v>312.89478437044261</v>
      </c>
      <c r="BJ40" s="59">
        <f t="shared" si="38"/>
        <v>276.16555507854571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>
        <f>EXP(-LN(2)/35)*BP39+(1-EXP(-LN(2)/35))/(LN(2)/35)*BL40*BM40*VLOOKUP('Données projet'!$B$11,Paramètres!$A$1:$I$89,3,0)*0.475*44/12</f>
        <v>0</v>
      </c>
      <c r="BQ40" s="21">
        <f>EXP(-LN(2)/25)*BQ39+(1-EXP(-LN(2)/25))/(LN(2)/25)*Calculateur!BL40*Calculateur!BN40*VLOOKUP('Données projet'!$B$11,Paramètres!$A$1:$I$89,3,0)*0.475*44/12</f>
        <v>0</v>
      </c>
      <c r="BR40" s="21">
        <f>EXP(-LN(2)/2)*BR39+(1-EXP(-LN(2)/2))/(LN(2)/2)*BL40*BO40*VLOOKUP('Données projet'!$B$11,Paramètres!$A$1:$I$89,3,0)*0.475*44/12</f>
        <v>0</v>
      </c>
      <c r="BS40" s="22">
        <f t="shared" si="9"/>
        <v>0</v>
      </c>
      <c r="BT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0</v>
      </c>
      <c r="BY40" s="12">
        <f>IF('Données projet'!$A$114&gt;35,BY39+BX40-CG39,IF(A40&lt;'Données projet'!$A$114,$BV$205^A40,IF(A40='Données projet'!$A$114,'Données projet'!$B$114,BY39+BX40-CG39)))</f>
        <v>0</v>
      </c>
      <c r="BZ40" s="13" t="e">
        <f>BY40*VLOOKUP('Données projet'!$B$12,Paramètres!$A$1:$I$89,3,0)*VLOOKUP('Données projet'!$B$12,Paramètres!$A$1:$I$89,5,0)</f>
        <v>#N/A</v>
      </c>
      <c r="CA40" s="13" t="e">
        <f t="shared" si="39"/>
        <v>#N/A</v>
      </c>
      <c r="CB40" s="20" t="e">
        <f t="shared" si="10"/>
        <v>#N/A</v>
      </c>
      <c r="CC40" s="59" t="e">
        <f t="shared" si="11"/>
        <v>#N/A</v>
      </c>
      <c r="CD40" s="59" t="e">
        <f ca="1">AVERAGE(OFFSET($CC$3,0,0,'Données projet'!$E$12+1,1))-AVERAGE(OFFSET($H$3,0,0,'Données projet'!$E$12+1,1))</f>
        <v>#N/A</v>
      </c>
      <c r="CE40" s="59" t="e">
        <f t="shared" si="40"/>
        <v>#N/A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 t="e">
        <f>EXP(-LN(2)/35)*CK39+(1-EXP(-LN(2)/35))/(LN(2)/35)*CG40*CH40*VLOOKUP('Données projet'!$B$12,Paramètres!$A$1:$I$89,3,0)*0.475*44/12</f>
        <v>#N/A</v>
      </c>
      <c r="CL40" s="21" t="e">
        <f>EXP(-LN(2)/25)*CL39+(1-EXP(-LN(2)/25))/(LN(2)/25)*Calculateur!CG40*Calculateur!CI40*VLOOKUP('Données projet'!$B$12,Paramètres!$A$1:$I$89,3,0)*0.475*44/12</f>
        <v>#N/A</v>
      </c>
      <c r="CM40" s="21" t="e">
        <f>EXP(-LN(2)/2)*CM39+(1-EXP(-LN(2)/2))/(LN(2)/2)*CG40*CJ40*VLOOKUP('Données projet'!$B$12,Paramètres!$A$1:$I$89,3,0)*0.475*44/12</f>
        <v>#N/A</v>
      </c>
      <c r="CN40" s="22" t="e">
        <f t="shared" si="12"/>
        <v>#N/A</v>
      </c>
      <c r="CO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0</v>
      </c>
      <c r="CT40" s="12">
        <f>IF('Données projet'!$A$140&gt;35,CT39+CS40-DB39,IF(A40&lt;'Données projet'!$A$140,$CQ$205^A40,IF(A40='Données projet'!$A$140,'Données projet'!$B$140,CT39+CS40-DB39)))</f>
        <v>0</v>
      </c>
      <c r="CU40" s="17" t="e">
        <f>CT40*VLOOKUP('Données projet'!$B$13,Paramètres!$A$1:$I$89,3,0)*VLOOKUP('Données projet'!$B$13,Paramètres!$A$1:$I$89,5,0)</f>
        <v>#N/A</v>
      </c>
      <c r="CV40" s="13" t="e">
        <f t="shared" si="41"/>
        <v>#N/A</v>
      </c>
      <c r="CW40" s="20" t="e">
        <f t="shared" si="13"/>
        <v>#N/A</v>
      </c>
      <c r="CX40" s="59" t="e">
        <f t="shared" si="14"/>
        <v>#N/A</v>
      </c>
      <c r="CY40" s="59" t="e">
        <f ca="1">AVERAGE(OFFSET($CX$3,0,0,'Données projet'!$E$13+1,1))-AVERAGE(OFFSET($H$3,0,0,'Données projet'!$E$13+1,1))</f>
        <v>#N/A</v>
      </c>
      <c r="CZ40" s="59" t="e">
        <f t="shared" si="42"/>
        <v>#N/A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 t="e">
        <f>EXP(-LN(2)/35)*DF39+(1-EXP(-LN(2)/35))/(LN(2)/35)*DB40*DC40*VLOOKUP('Données projet'!$B$13,Paramètres!$A$1:$I$89,3,0)*0.475*44/12</f>
        <v>#N/A</v>
      </c>
      <c r="DG40" s="21" t="e">
        <f>EXP(-LN(2)/25)*DG39+(1-EXP(-LN(2)/25))/(LN(2)/25)*Calculateur!DB40*Calculateur!DD40*VLOOKUP('Données projet'!$B$13,Paramètres!$A$1:$I$89,3,0)*0.475*44/12</f>
        <v>#N/A</v>
      </c>
      <c r="DH40" s="21" t="e">
        <f>EXP(-LN(2)/2)*DH39+(1-EXP(-LN(2)/2))/(LN(2)/2)*DB40*DE40*VLOOKUP('Données projet'!$B$13,Paramètres!$A$1:$I$89,3,0)*0.475*44/12</f>
        <v>#N/A</v>
      </c>
      <c r="DI40" s="22" t="e">
        <f t="shared" si="15"/>
        <v>#N/A</v>
      </c>
      <c r="DJ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0</v>
      </c>
      <c r="DO40" s="12">
        <f>IF('Données projet'!$A$166&gt;35,DO39+DN40-DW39,IF(A40&lt;'Données projet'!$A$166,$DL$205^A40,IF(A40='Données projet'!$A$166,'Données projet'!$B$166,DO39+DN40-DW39)))</f>
        <v>0</v>
      </c>
      <c r="DP40" s="17" t="e">
        <f>DO40*VLOOKUP('Données projet'!$B$14,Paramètres!$A$1:$I$89,3,0)*VLOOKUP('Données projet'!$B$14,Paramètres!$A$1:$I$89,5,0)</f>
        <v>#N/A</v>
      </c>
      <c r="DQ40" s="13" t="e">
        <f t="shared" si="43"/>
        <v>#N/A</v>
      </c>
      <c r="DR40" s="20" t="e">
        <f t="shared" si="16"/>
        <v>#N/A</v>
      </c>
      <c r="DS40" s="59" t="e">
        <f t="shared" si="17"/>
        <v>#N/A</v>
      </c>
      <c r="DT40" s="59" t="e">
        <f ca="1">AVERAGE(OFFSET($DS$3,0,0,'Données projet'!$E$14+1,1))-AVERAGE(OFFSET($H$3,0,0,'Données projet'!$E$14+1,1))</f>
        <v>#N/A</v>
      </c>
      <c r="DU40" s="59" t="e">
        <f t="shared" si="44"/>
        <v>#N/A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 t="e">
        <f>EXP(-LN(2)/35)*EA39+(1-EXP(-LN(2)/35))/(LN(2)/35)*DW40*DX40*VLOOKUP('Données projet'!$B$14,Paramètres!$A$1:$I$89,3,0)*0.475*44/12</f>
        <v>#N/A</v>
      </c>
      <c r="EB40" s="21" t="e">
        <f>EXP(-LN(2)/25)*EB39+(1-EXP(-LN(2)/25))/(LN(2)/25)*Calculateur!DW40*Calculateur!DY40*VLOOKUP('Données projet'!$B$14,Paramètres!$A$1:$I$89,3,0)*0.475*44/12</f>
        <v>#N/A</v>
      </c>
      <c r="EC40" s="21" t="e">
        <f>EXP(-LN(2)/2)*EC39+(1-EXP(-LN(2)/2))/(LN(2)/2)*DW40*DZ40*VLOOKUP('Données projet'!$B$14,Paramètres!$A$1:$I$89,3,0)*0.475*44/12</f>
        <v>#N/A</v>
      </c>
      <c r="ED40" s="22" t="e">
        <f t="shared" si="18"/>
        <v>#N/A</v>
      </c>
      <c r="EE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0</v>
      </c>
      <c r="EJ40" s="12">
        <f>IF('Données projet'!$A$192&gt;35,EJ39+EI40-ER39,IF(A40&lt;'Données projet'!$A$192,$EG$205^A40,IF(A40='Données projet'!$A$192,'Données projet'!$B$192,EJ39+EI40-ER39)))</f>
        <v>0</v>
      </c>
      <c r="EK40" s="17" t="e">
        <f>EJ40*VLOOKUP('Données projet'!$B$15,Paramètres!$A$1:$I$89,3,0)*VLOOKUP('Données projet'!$B$15,Paramètres!$A$1:$I$89,5,0)</f>
        <v>#N/A</v>
      </c>
      <c r="EL40" s="13" t="e">
        <f t="shared" si="45"/>
        <v>#N/A</v>
      </c>
      <c r="EM40" s="20" t="e">
        <f t="shared" si="19"/>
        <v>#N/A</v>
      </c>
      <c r="EN40" s="59" t="e">
        <f t="shared" si="20"/>
        <v>#N/A</v>
      </c>
      <c r="EO40" s="59" t="e">
        <f ca="1">AVERAGE(OFFSET($EN$3,0,0,'Données projet'!$E$15+1,1))-AVERAGE(OFFSET($H$3,0,0,'Données projet'!$E$15+1,1))</f>
        <v>#N/A</v>
      </c>
      <c r="EP40" s="59" t="e">
        <f t="shared" si="46"/>
        <v>#N/A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 t="e">
        <f>EXP(-LN(2)/35)*EV39+(1-EXP(-LN(2)/35))/(LN(2)/35)*ER40*ES40*VLOOKUP('Données projet'!$B$15,Paramètres!$A$1:$I$89,3,0)*0.475*44/12</f>
        <v>#N/A</v>
      </c>
      <c r="EW40" s="21" t="e">
        <f>EXP(-LN(2)/25)*EW39+(1-EXP(-LN(2)/25))/(LN(2)/25)*Calculateur!ER40*Calculateur!ET40*VLOOKUP('Données projet'!$B$15,Paramètres!$A$1:$I$89,3,0)*0.475*44/12</f>
        <v>#N/A</v>
      </c>
      <c r="EX40" s="21" t="e">
        <f>EXP(-LN(2)/2)*EX39+(1-EXP(-LN(2)/2))/(LN(2)/2)*ER40*EU40*VLOOKUP('Données projet'!$B$15,Paramètres!$A$1:$I$89,3,0)*0.475*44/12</f>
        <v>#N/A</v>
      </c>
      <c r="EY40" s="22" t="e">
        <f t="shared" si="21"/>
        <v>#N/A</v>
      </c>
      <c r="EZ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45">
      <c r="A41" s="10">
        <f t="shared" si="31"/>
        <v>38</v>
      </c>
      <c r="B41" s="73">
        <f>'Scénario référence'!$B$16*5+'Scénario référence'!$B$17*0+'Scénario référence'!$B$18*5</f>
        <v>0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33.789599999999993</v>
      </c>
      <c r="D41" s="11">
        <f t="shared" si="32"/>
        <v>10.336767985889495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">
        <f>IF(OR('Scénario référence'!$F$8&gt;0,'Scénario référence'!$F$9&gt;0),('Scénario référence'!$F$8+'Scénario référence'!$F$9)*10,0)</f>
        <v>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340.62459497879604</v>
      </c>
      <c r="H41" s="67">
        <f t="shared" si="1"/>
        <v>333.52009090875754</v>
      </c>
      <c r="I41" s="7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14.286666666666665</v>
      </c>
      <c r="N41" s="13">
        <f>IF('Données projet'!$A$36&gt;35,N40+M41-V40,IF(A41&lt;'Données projet'!$A$36,$K$205^A41,IF(A41='Données projet'!$A$36,'Données projet'!$B$36,N40+M41-V40)))</f>
        <v>238.07666666666668</v>
      </c>
      <c r="O41" s="13">
        <f>N41*VLOOKUP('Données projet'!$B$9,Paramètres!$A$1:$I$89,3,0)*VLOOKUP('Données projet'!$B$9,Paramètres!$A$1:$I$89,5,0)</f>
        <v>133.08485666666667</v>
      </c>
      <c r="P41" s="13">
        <f t="shared" si="33"/>
        <v>34.708203268514559</v>
      </c>
      <c r="Q41" s="20">
        <f t="shared" si="53"/>
        <v>292.23957938710726</v>
      </c>
      <c r="R41" s="59">
        <f t="shared" si="0"/>
        <v>585.57291272044063</v>
      </c>
      <c r="S41" s="59">
        <f ca="1">AVERAGE(OFFSET($R$3,0,0,'Données projet'!$E$9+1,1))-AVERAGE(OFFSET($H$3,0,0,'Données projet'!$E$9+1,1))</f>
        <v>280.69347314340195</v>
      </c>
      <c r="T41" s="59">
        <f t="shared" si="34"/>
        <v>152.40533828556482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8.9026069064990541</v>
      </c>
      <c r="AA41" s="21">
        <f>EXP(-LN(2)/25)*AA40+(1-EXP(-LN(2)/25))/(LN(2)/25)*Calculateur!V41*Calculateur!X41*VLOOKUP('Données projet'!$B$9,Paramètres!$A$1:$I$89,3,0)*0.475*44/12</f>
        <v>12.71464337997805</v>
      </c>
      <c r="AB41" s="21">
        <f>EXP(-LN(2)/2)*AB40+(1-EXP(-LN(2)/2))/(LN(2)/2)*V41*Y41*VLOOKUP('Données projet'!$B$9,Paramètres!$A$1:$I$89,3,0)*0.475*44/12</f>
        <v>5.6826213090951132</v>
      </c>
      <c r="AC41" s="22">
        <f t="shared" si="3"/>
        <v>27.299871595572213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11.5</v>
      </c>
      <c r="AI41" s="13">
        <f>IF('Données projet'!$A$62&gt;35,AI40+AH41-AQ40,IF(A41&lt;'Données projet'!$A$62,$AF$205^A41,IF(A41='Données projet'!$A$62,'Données projet'!$B$62,AI40+AH41-AQ40)))</f>
        <v>209</v>
      </c>
      <c r="AJ41" s="13">
        <f>AI41*VLOOKUP('Données projet'!$B$10,Paramètres!$A$1:$I$89,3,0)*VLOOKUP('Données projet'!$B$10,Paramètres!$A$1:$I$89,5,0)</f>
        <v>130.416</v>
      </c>
      <c r="AK41" s="13">
        <f t="shared" si="35"/>
        <v>34.092466837179941</v>
      </c>
      <c r="AL41" s="20">
        <f t="shared" si="4"/>
        <v>286.51891307475506</v>
      </c>
      <c r="AM41" s="59">
        <f t="shared" si="5"/>
        <v>579.85224640808838</v>
      </c>
      <c r="AN41" s="59">
        <f ca="1">AVERAGE(OFFSET($AM$3,0,0,'Données projet'!$E$10+1,1))-AVERAGE(OFFSET($H$3,0,0,'Données projet'!$E$10+1,1))</f>
        <v>179.4725256147085</v>
      </c>
      <c r="AO41" s="59">
        <f t="shared" si="36"/>
        <v>282.16750121151176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37.943857468098471</v>
      </c>
      <c r="AV41" s="21">
        <f>EXP(-LN(2)/25)*AV40+(1-EXP(-LN(2)/25))/(LN(2)/25)*Calculateur!AQ41*Calculateur!AS41*VLOOKUP('Données projet'!$B$10,Paramètres!$A$1:$I$89,3,0)*0.475*44/12</f>
        <v>18.677926717679561</v>
      </c>
      <c r="AW41" s="21">
        <f>EXP(-LN(2)/2)*AW40+(1-EXP(-LN(2)/2))/(LN(2)/2)*AQ41*AT41*VLOOKUP('Données projet'!$B$10,Paramètres!$A$1:$I$89,3,0)*0.475*44/12</f>
        <v>4.933795814404319</v>
      </c>
      <c r="AX41" s="21">
        <f t="shared" si="6"/>
        <v>61.555580000182353</v>
      </c>
      <c r="AY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5.3214035087719296</v>
      </c>
      <c r="BD41" s="12">
        <f>IF('Données projet'!$A$88&gt;35,BD40+BC41-BL40,IF(A41&lt;'Données projet'!$A$88,$BA$205^A41,IF(A41='Données projet'!$A$88,'Données projet'!$B$88,BD40+BC41-BL40)))</f>
        <v>202.21333333333351</v>
      </c>
      <c r="BE41" s="13">
        <f>BD41*VLOOKUP('Données projet'!$B$11,Paramètres!$A$1:$I$89,3,0)*VLOOKUP('Données projet'!$B$11,Paramètres!$A$1:$I$89,5,0)</f>
        <v>173.49904000000018</v>
      </c>
      <c r="BF41" s="13">
        <f t="shared" si="37"/>
        <v>43.872760498811765</v>
      </c>
      <c r="BG41" s="20">
        <f t="shared" si="7"/>
        <v>378.58921920209747</v>
      </c>
      <c r="BH41" s="59">
        <f t="shared" si="8"/>
        <v>671.92255253543078</v>
      </c>
      <c r="BI41" s="59">
        <f ca="1">AVERAGE(OFFSET($BH$3,0,0,'Données projet'!$E$11+1,1))-AVERAGE(OFFSET($H$3,0,0,'Données projet'!$E$11+1,1))</f>
        <v>312.89478437044261</v>
      </c>
      <c r="BJ41" s="59">
        <f t="shared" si="38"/>
        <v>276.16555507854571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>
        <f>EXP(-LN(2)/35)*BP40+(1-EXP(-LN(2)/35))/(LN(2)/35)*BL41*BM41*VLOOKUP('Données projet'!$B$11,Paramètres!$A$1:$I$89,3,0)*0.475*44/12</f>
        <v>0</v>
      </c>
      <c r="BQ41" s="21">
        <f>EXP(-LN(2)/25)*BQ40+(1-EXP(-LN(2)/25))/(LN(2)/25)*Calculateur!BL41*Calculateur!BN41*VLOOKUP('Données projet'!$B$11,Paramètres!$A$1:$I$89,3,0)*0.475*44/12</f>
        <v>0</v>
      </c>
      <c r="BR41" s="21">
        <f>EXP(-LN(2)/2)*BR40+(1-EXP(-LN(2)/2))/(LN(2)/2)*BL41*BO41*VLOOKUP('Données projet'!$B$11,Paramètres!$A$1:$I$89,3,0)*0.475*44/12</f>
        <v>0</v>
      </c>
      <c r="BS41" s="22">
        <f t="shared" si="9"/>
        <v>0</v>
      </c>
      <c r="BT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0</v>
      </c>
      <c r="BY41" s="12">
        <f>IF('Données projet'!$A$114&gt;35,BY40+BX41-CG40,IF(A41&lt;'Données projet'!$A$114,$BV$205^A41,IF(A41='Données projet'!$A$114,'Données projet'!$B$114,BY40+BX41-CG40)))</f>
        <v>0</v>
      </c>
      <c r="BZ41" s="13" t="e">
        <f>BY41*VLOOKUP('Données projet'!$B$12,Paramètres!$A$1:$I$89,3,0)*VLOOKUP('Données projet'!$B$12,Paramètres!$A$1:$I$89,5,0)</f>
        <v>#N/A</v>
      </c>
      <c r="CA41" s="13" t="e">
        <f t="shared" si="39"/>
        <v>#N/A</v>
      </c>
      <c r="CB41" s="20" t="e">
        <f t="shared" si="10"/>
        <v>#N/A</v>
      </c>
      <c r="CC41" s="59" t="e">
        <f t="shared" si="11"/>
        <v>#N/A</v>
      </c>
      <c r="CD41" s="59" t="e">
        <f ca="1">AVERAGE(OFFSET($CC$3,0,0,'Données projet'!$E$12+1,1))-AVERAGE(OFFSET($H$3,0,0,'Données projet'!$E$12+1,1))</f>
        <v>#N/A</v>
      </c>
      <c r="CE41" s="59" t="e">
        <f t="shared" si="40"/>
        <v>#N/A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 t="e">
        <f>EXP(-LN(2)/35)*CK40+(1-EXP(-LN(2)/35))/(LN(2)/35)*CG41*CH41*VLOOKUP('Données projet'!$B$12,Paramètres!$A$1:$I$89,3,0)*0.475*44/12</f>
        <v>#N/A</v>
      </c>
      <c r="CL41" s="21" t="e">
        <f>EXP(-LN(2)/25)*CL40+(1-EXP(-LN(2)/25))/(LN(2)/25)*Calculateur!CG41*Calculateur!CI41*VLOOKUP('Données projet'!$B$12,Paramètres!$A$1:$I$89,3,0)*0.475*44/12</f>
        <v>#N/A</v>
      </c>
      <c r="CM41" s="21" t="e">
        <f>EXP(-LN(2)/2)*CM40+(1-EXP(-LN(2)/2))/(LN(2)/2)*CG41*CJ41*VLOOKUP('Données projet'!$B$12,Paramètres!$A$1:$I$89,3,0)*0.475*44/12</f>
        <v>#N/A</v>
      </c>
      <c r="CN41" s="22" t="e">
        <f t="shared" si="12"/>
        <v>#N/A</v>
      </c>
      <c r="CO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0</v>
      </c>
      <c r="CT41" s="12">
        <f>IF('Données projet'!$A$140&gt;35,CT40+CS41-DB40,IF(A41&lt;'Données projet'!$A$140,$CQ$205^A41,IF(A41='Données projet'!$A$140,'Données projet'!$B$140,CT40+CS41-DB40)))</f>
        <v>0</v>
      </c>
      <c r="CU41" s="17" t="e">
        <f>CT41*VLOOKUP('Données projet'!$B$13,Paramètres!$A$1:$I$89,3,0)*VLOOKUP('Données projet'!$B$13,Paramètres!$A$1:$I$89,5,0)</f>
        <v>#N/A</v>
      </c>
      <c r="CV41" s="13" t="e">
        <f t="shared" si="41"/>
        <v>#N/A</v>
      </c>
      <c r="CW41" s="20" t="e">
        <f t="shared" si="13"/>
        <v>#N/A</v>
      </c>
      <c r="CX41" s="59" t="e">
        <f t="shared" si="14"/>
        <v>#N/A</v>
      </c>
      <c r="CY41" s="59" t="e">
        <f ca="1">AVERAGE(OFFSET($CX$3,0,0,'Données projet'!$E$13+1,1))-AVERAGE(OFFSET($H$3,0,0,'Données projet'!$E$13+1,1))</f>
        <v>#N/A</v>
      </c>
      <c r="CZ41" s="59" t="e">
        <f t="shared" si="42"/>
        <v>#N/A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 t="e">
        <f>EXP(-LN(2)/35)*DF40+(1-EXP(-LN(2)/35))/(LN(2)/35)*DB41*DC41*VLOOKUP('Données projet'!$B$13,Paramètres!$A$1:$I$89,3,0)*0.475*44/12</f>
        <v>#N/A</v>
      </c>
      <c r="DG41" s="21" t="e">
        <f>EXP(-LN(2)/25)*DG40+(1-EXP(-LN(2)/25))/(LN(2)/25)*Calculateur!DB41*Calculateur!DD41*VLOOKUP('Données projet'!$B$13,Paramètres!$A$1:$I$89,3,0)*0.475*44/12</f>
        <v>#N/A</v>
      </c>
      <c r="DH41" s="21" t="e">
        <f>EXP(-LN(2)/2)*DH40+(1-EXP(-LN(2)/2))/(LN(2)/2)*DB41*DE41*VLOOKUP('Données projet'!$B$13,Paramètres!$A$1:$I$89,3,0)*0.475*44/12</f>
        <v>#N/A</v>
      </c>
      <c r="DI41" s="22" t="e">
        <f t="shared" si="15"/>
        <v>#N/A</v>
      </c>
      <c r="DJ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0</v>
      </c>
      <c r="DO41" s="12">
        <f>IF('Données projet'!$A$166&gt;35,DO40+DN41-DW40,IF(A41&lt;'Données projet'!$A$166,$DL$205^A41,IF(A41='Données projet'!$A$166,'Données projet'!$B$166,DO40+DN41-DW40)))</f>
        <v>0</v>
      </c>
      <c r="DP41" s="17" t="e">
        <f>DO41*VLOOKUP('Données projet'!$B$14,Paramètres!$A$1:$I$89,3,0)*VLOOKUP('Données projet'!$B$14,Paramètres!$A$1:$I$89,5,0)</f>
        <v>#N/A</v>
      </c>
      <c r="DQ41" s="13" t="e">
        <f t="shared" si="43"/>
        <v>#N/A</v>
      </c>
      <c r="DR41" s="20" t="e">
        <f t="shared" si="16"/>
        <v>#N/A</v>
      </c>
      <c r="DS41" s="59" t="e">
        <f t="shared" si="17"/>
        <v>#N/A</v>
      </c>
      <c r="DT41" s="59" t="e">
        <f ca="1">AVERAGE(OFFSET($DS$3,0,0,'Données projet'!$E$14+1,1))-AVERAGE(OFFSET($H$3,0,0,'Données projet'!$E$14+1,1))</f>
        <v>#N/A</v>
      </c>
      <c r="DU41" s="59" t="e">
        <f t="shared" si="44"/>
        <v>#N/A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 t="e">
        <f>EXP(-LN(2)/35)*EA40+(1-EXP(-LN(2)/35))/(LN(2)/35)*DW41*DX41*VLOOKUP('Données projet'!$B$14,Paramètres!$A$1:$I$89,3,0)*0.475*44/12</f>
        <v>#N/A</v>
      </c>
      <c r="EB41" s="21" t="e">
        <f>EXP(-LN(2)/25)*EB40+(1-EXP(-LN(2)/25))/(LN(2)/25)*Calculateur!DW41*Calculateur!DY41*VLOOKUP('Données projet'!$B$14,Paramètres!$A$1:$I$89,3,0)*0.475*44/12</f>
        <v>#N/A</v>
      </c>
      <c r="EC41" s="21" t="e">
        <f>EXP(-LN(2)/2)*EC40+(1-EXP(-LN(2)/2))/(LN(2)/2)*DW41*DZ41*VLOOKUP('Données projet'!$B$14,Paramètres!$A$1:$I$89,3,0)*0.475*44/12</f>
        <v>#N/A</v>
      </c>
      <c r="ED41" s="22" t="e">
        <f t="shared" si="18"/>
        <v>#N/A</v>
      </c>
      <c r="EE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0</v>
      </c>
      <c r="EJ41" s="12">
        <f>IF('Données projet'!$A$192&gt;35,EJ40+EI41-ER40,IF(A41&lt;'Données projet'!$A$192,$EG$205^A41,IF(A41='Données projet'!$A$192,'Données projet'!$B$192,EJ40+EI41-ER40)))</f>
        <v>0</v>
      </c>
      <c r="EK41" s="17" t="e">
        <f>EJ41*VLOOKUP('Données projet'!$B$15,Paramètres!$A$1:$I$89,3,0)*VLOOKUP('Données projet'!$B$15,Paramètres!$A$1:$I$89,5,0)</f>
        <v>#N/A</v>
      </c>
      <c r="EL41" s="13" t="e">
        <f t="shared" si="45"/>
        <v>#N/A</v>
      </c>
      <c r="EM41" s="20" t="e">
        <f t="shared" si="19"/>
        <v>#N/A</v>
      </c>
      <c r="EN41" s="59" t="e">
        <f t="shared" si="20"/>
        <v>#N/A</v>
      </c>
      <c r="EO41" s="59" t="e">
        <f ca="1">AVERAGE(OFFSET($EN$3,0,0,'Données projet'!$E$15+1,1))-AVERAGE(OFFSET($H$3,0,0,'Données projet'!$E$15+1,1))</f>
        <v>#N/A</v>
      </c>
      <c r="EP41" s="59" t="e">
        <f t="shared" si="46"/>
        <v>#N/A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 t="e">
        <f>EXP(-LN(2)/35)*EV40+(1-EXP(-LN(2)/35))/(LN(2)/35)*ER41*ES41*VLOOKUP('Données projet'!$B$15,Paramètres!$A$1:$I$89,3,0)*0.475*44/12</f>
        <v>#N/A</v>
      </c>
      <c r="EW41" s="21" t="e">
        <f>EXP(-LN(2)/25)*EW40+(1-EXP(-LN(2)/25))/(LN(2)/25)*Calculateur!ER41*Calculateur!ET41*VLOOKUP('Données projet'!$B$15,Paramètres!$A$1:$I$89,3,0)*0.475*44/12</f>
        <v>#N/A</v>
      </c>
      <c r="EX41" s="21" t="e">
        <f>EXP(-LN(2)/2)*EX40+(1-EXP(-LN(2)/2))/(LN(2)/2)*ER41*EU41*VLOOKUP('Données projet'!$B$15,Paramètres!$A$1:$I$89,3,0)*0.475*44/12</f>
        <v>#N/A</v>
      </c>
      <c r="EY41" s="22" t="e">
        <f t="shared" si="21"/>
        <v>#N/A</v>
      </c>
      <c r="EZ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45">
      <c r="A42" s="10">
        <f t="shared" si="31"/>
        <v>39</v>
      </c>
      <c r="B42" s="73">
        <f>'Scénario référence'!$B$16*5+'Scénario référence'!$B$17*0+'Scénario référence'!$B$18*5</f>
        <v>0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34.678799999999995</v>
      </c>
      <c r="D42" s="11">
        <f t="shared" si="32"/>
        <v>10.576760473435781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">
        <f>IF(OR('Scénario référence'!$F$8&gt;0,'Scénario référence'!$F$9&gt;0),('Scénario référence'!$F$8+'Scénario référence'!$F$9)*10,0)</f>
        <v>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349.34116856687268</v>
      </c>
      <c r="H42" s="67">
        <f t="shared" si="1"/>
        <v>335.48676782456732</v>
      </c>
      <c r="I42" s="7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14.286666666666665</v>
      </c>
      <c r="N42" s="13">
        <f>IF('Données projet'!$A$36&gt;35,N41+M42-V41,IF(A42&lt;'Données projet'!$A$36,$K$205^A42,IF(A42='Données projet'!$A$36,'Données projet'!$B$36,N41+M42-V41)))</f>
        <v>252.36333333333334</v>
      </c>
      <c r="O42" s="13">
        <f>N42*VLOOKUP('Données projet'!$B$9,Paramètres!$A$1:$I$89,3,0)*VLOOKUP('Données projet'!$B$9,Paramètres!$A$1:$I$89,5,0)</f>
        <v>141.07110333333333</v>
      </c>
      <c r="P42" s="13">
        <f t="shared" si="33"/>
        <v>36.542271278831187</v>
      </c>
      <c r="Q42" s="20">
        <f t="shared" si="53"/>
        <v>309.34329411618654</v>
      </c>
      <c r="R42" s="59">
        <f t="shared" si="0"/>
        <v>602.67662744951986</v>
      </c>
      <c r="S42" s="59">
        <f ca="1">AVERAGE(OFFSET($R$3,0,0,'Données projet'!$E$9+1,1))-AVERAGE(OFFSET($H$3,0,0,'Données projet'!$E$9+1,1))</f>
        <v>280.69347314340195</v>
      </c>
      <c r="T42" s="59">
        <f t="shared" si="34"/>
        <v>152.40533828556482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8.728032215116647</v>
      </c>
      <c r="AA42" s="21">
        <f>EXP(-LN(2)/25)*AA41+(1-EXP(-LN(2)/25))/(LN(2)/25)*Calculateur!V42*Calculateur!X42*VLOOKUP('Données projet'!$B$9,Paramètres!$A$1:$I$89,3,0)*0.475*44/12</f>
        <v>12.366960788118515</v>
      </c>
      <c r="AB42" s="21">
        <f>EXP(-LN(2)/2)*AB41+(1-EXP(-LN(2)/2))/(LN(2)/2)*V42*Y42*VLOOKUP('Données projet'!$B$9,Paramètres!$A$1:$I$89,3,0)*0.475*44/12</f>
        <v>4.0182200625763311</v>
      </c>
      <c r="AC42" s="22">
        <f t="shared" si="3"/>
        <v>25.113213065811493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11.5</v>
      </c>
      <c r="AI42" s="13">
        <f>IF('Données projet'!$A$62&gt;35,AI41+AH42-AQ41,IF(A42&lt;'Données projet'!$A$62,$AF$205^A42,IF(A42='Données projet'!$A$62,'Données projet'!$B$62,AI41+AH42-AQ41)))</f>
        <v>220.5</v>
      </c>
      <c r="AJ42" s="13">
        <f>AI42*VLOOKUP('Données projet'!$B$10,Paramètres!$A$1:$I$89,3,0)*VLOOKUP('Données projet'!$B$10,Paramètres!$A$1:$I$89,5,0)</f>
        <v>137.59199999999998</v>
      </c>
      <c r="AK42" s="13">
        <f t="shared" si="35"/>
        <v>35.744810729505772</v>
      </c>
      <c r="AL42" s="20">
        <f t="shared" si="4"/>
        <v>301.89494535388923</v>
      </c>
      <c r="AM42" s="59">
        <f t="shared" si="5"/>
        <v>595.22827868722254</v>
      </c>
      <c r="AN42" s="59">
        <f ca="1">AVERAGE(OFFSET($AM$3,0,0,'Données projet'!$E$10+1,1))-AVERAGE(OFFSET($H$3,0,0,'Données projet'!$E$10+1,1))</f>
        <v>179.4725256147085</v>
      </c>
      <c r="AO42" s="59">
        <f t="shared" si="36"/>
        <v>282.16750121151176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37.199801566616891</v>
      </c>
      <c r="AV42" s="21">
        <f>EXP(-LN(2)/25)*AV41+(1-EXP(-LN(2)/25))/(LN(2)/25)*Calculateur!AQ42*Calculateur!AS42*VLOOKUP('Données projet'!$B$10,Paramètres!$A$1:$I$89,3,0)*0.475*44/12</f>
        <v>18.167177829355136</v>
      </c>
      <c r="AW42" s="21">
        <f>EXP(-LN(2)/2)*AW41+(1-EXP(-LN(2)/2))/(LN(2)/2)*AQ42*AT42*VLOOKUP('Données projet'!$B$10,Paramètres!$A$1:$I$89,3,0)*0.475*44/12</f>
        <v>3.4887204773550993</v>
      </c>
      <c r="AX42" s="21">
        <f t="shared" si="6"/>
        <v>58.855699873327126</v>
      </c>
      <c r="AY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5.3214035087719296</v>
      </c>
      <c r="BD42" s="12">
        <f>IF('Données projet'!$A$88&gt;35,BD41+BC42-BL41,IF(A42&lt;'Données projet'!$A$88,$BA$205^A42,IF(A42='Données projet'!$A$88,'Données projet'!$B$88,BD41+BC42-BL41)))</f>
        <v>207.53473684210545</v>
      </c>
      <c r="BE42" s="13">
        <f>BD42*VLOOKUP('Données projet'!$B$11,Paramètres!$A$1:$I$89,3,0)*VLOOKUP('Données projet'!$B$11,Paramètres!$A$1:$I$89,5,0)</f>
        <v>178.06480421052649</v>
      </c>
      <c r="BF42" s="13">
        <f t="shared" si="37"/>
        <v>44.89137027529172</v>
      </c>
      <c r="BG42" s="20">
        <f t="shared" si="7"/>
        <v>388.31533722946671</v>
      </c>
      <c r="BH42" s="59">
        <f t="shared" si="8"/>
        <v>681.64867056280002</v>
      </c>
      <c r="BI42" s="59">
        <f ca="1">AVERAGE(OFFSET($BH$3,0,0,'Données projet'!$E$11+1,1))-AVERAGE(OFFSET($H$3,0,0,'Données projet'!$E$11+1,1))</f>
        <v>312.89478437044261</v>
      </c>
      <c r="BJ42" s="59">
        <f t="shared" si="38"/>
        <v>276.16555507854571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>
        <f>EXP(-LN(2)/35)*BP41+(1-EXP(-LN(2)/35))/(LN(2)/35)*BL42*BM42*VLOOKUP('Données projet'!$B$11,Paramètres!$A$1:$I$89,3,0)*0.475*44/12</f>
        <v>0</v>
      </c>
      <c r="BQ42" s="21">
        <f>EXP(-LN(2)/25)*BQ41+(1-EXP(-LN(2)/25))/(LN(2)/25)*Calculateur!BL42*Calculateur!BN42*VLOOKUP('Données projet'!$B$11,Paramètres!$A$1:$I$89,3,0)*0.475*44/12</f>
        <v>0</v>
      </c>
      <c r="BR42" s="21">
        <f>EXP(-LN(2)/2)*BR41+(1-EXP(-LN(2)/2))/(LN(2)/2)*BL42*BO42*VLOOKUP('Données projet'!$B$11,Paramètres!$A$1:$I$89,3,0)*0.475*44/12</f>
        <v>0</v>
      </c>
      <c r="BS42" s="22">
        <f t="shared" si="9"/>
        <v>0</v>
      </c>
      <c r="BT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0</v>
      </c>
      <c r="BY42" s="12">
        <f>IF('Données projet'!$A$114&gt;35,BY41+BX42-CG41,IF(A42&lt;'Données projet'!$A$114,$BV$205^A42,IF(A42='Données projet'!$A$114,'Données projet'!$B$114,BY41+BX42-CG41)))</f>
        <v>0</v>
      </c>
      <c r="BZ42" s="13" t="e">
        <f>BY42*VLOOKUP('Données projet'!$B$12,Paramètres!$A$1:$I$89,3,0)*VLOOKUP('Données projet'!$B$12,Paramètres!$A$1:$I$89,5,0)</f>
        <v>#N/A</v>
      </c>
      <c r="CA42" s="13" t="e">
        <f t="shared" si="39"/>
        <v>#N/A</v>
      </c>
      <c r="CB42" s="20" t="e">
        <f t="shared" si="10"/>
        <v>#N/A</v>
      </c>
      <c r="CC42" s="59" t="e">
        <f t="shared" si="11"/>
        <v>#N/A</v>
      </c>
      <c r="CD42" s="59" t="e">
        <f ca="1">AVERAGE(OFFSET($CC$3,0,0,'Données projet'!$E$12+1,1))-AVERAGE(OFFSET($H$3,0,0,'Données projet'!$E$12+1,1))</f>
        <v>#N/A</v>
      </c>
      <c r="CE42" s="59" t="e">
        <f t="shared" si="40"/>
        <v>#N/A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 t="e">
        <f>EXP(-LN(2)/35)*CK41+(1-EXP(-LN(2)/35))/(LN(2)/35)*CG42*CH42*VLOOKUP('Données projet'!$B$12,Paramètres!$A$1:$I$89,3,0)*0.475*44/12</f>
        <v>#N/A</v>
      </c>
      <c r="CL42" s="21" t="e">
        <f>EXP(-LN(2)/25)*CL41+(1-EXP(-LN(2)/25))/(LN(2)/25)*Calculateur!CG42*Calculateur!CI42*VLOOKUP('Données projet'!$B$12,Paramètres!$A$1:$I$89,3,0)*0.475*44/12</f>
        <v>#N/A</v>
      </c>
      <c r="CM42" s="21" t="e">
        <f>EXP(-LN(2)/2)*CM41+(1-EXP(-LN(2)/2))/(LN(2)/2)*CG42*CJ42*VLOOKUP('Données projet'!$B$12,Paramètres!$A$1:$I$89,3,0)*0.475*44/12</f>
        <v>#N/A</v>
      </c>
      <c r="CN42" s="22" t="e">
        <f t="shared" si="12"/>
        <v>#N/A</v>
      </c>
      <c r="CO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0</v>
      </c>
      <c r="CT42" s="12">
        <f>IF('Données projet'!$A$140&gt;35,CT41+CS42-DB41,IF(A42&lt;'Données projet'!$A$140,$CQ$205^A42,IF(A42='Données projet'!$A$140,'Données projet'!$B$140,CT41+CS42-DB41)))</f>
        <v>0</v>
      </c>
      <c r="CU42" s="17" t="e">
        <f>CT42*VLOOKUP('Données projet'!$B$13,Paramètres!$A$1:$I$89,3,0)*VLOOKUP('Données projet'!$B$13,Paramètres!$A$1:$I$89,5,0)</f>
        <v>#N/A</v>
      </c>
      <c r="CV42" s="13" t="e">
        <f t="shared" si="41"/>
        <v>#N/A</v>
      </c>
      <c r="CW42" s="20" t="e">
        <f t="shared" si="13"/>
        <v>#N/A</v>
      </c>
      <c r="CX42" s="59" t="e">
        <f t="shared" si="14"/>
        <v>#N/A</v>
      </c>
      <c r="CY42" s="59" t="e">
        <f ca="1">AVERAGE(OFFSET($CX$3,0,0,'Données projet'!$E$13+1,1))-AVERAGE(OFFSET($H$3,0,0,'Données projet'!$E$13+1,1))</f>
        <v>#N/A</v>
      </c>
      <c r="CZ42" s="59" t="e">
        <f t="shared" si="42"/>
        <v>#N/A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 t="e">
        <f>EXP(-LN(2)/35)*DF41+(1-EXP(-LN(2)/35))/(LN(2)/35)*DB42*DC42*VLOOKUP('Données projet'!$B$13,Paramètres!$A$1:$I$89,3,0)*0.475*44/12</f>
        <v>#N/A</v>
      </c>
      <c r="DG42" s="21" t="e">
        <f>EXP(-LN(2)/25)*DG41+(1-EXP(-LN(2)/25))/(LN(2)/25)*Calculateur!DB42*Calculateur!DD42*VLOOKUP('Données projet'!$B$13,Paramètres!$A$1:$I$89,3,0)*0.475*44/12</f>
        <v>#N/A</v>
      </c>
      <c r="DH42" s="21" t="e">
        <f>EXP(-LN(2)/2)*DH41+(1-EXP(-LN(2)/2))/(LN(2)/2)*DB42*DE42*VLOOKUP('Données projet'!$B$13,Paramètres!$A$1:$I$89,3,0)*0.475*44/12</f>
        <v>#N/A</v>
      </c>
      <c r="DI42" s="22" t="e">
        <f t="shared" si="15"/>
        <v>#N/A</v>
      </c>
      <c r="DJ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0</v>
      </c>
      <c r="DO42" s="12">
        <f>IF('Données projet'!$A$166&gt;35,DO41+DN42-DW41,IF(A42&lt;'Données projet'!$A$166,$DL$205^A42,IF(A42='Données projet'!$A$166,'Données projet'!$B$166,DO41+DN42-DW41)))</f>
        <v>0</v>
      </c>
      <c r="DP42" s="17" t="e">
        <f>DO42*VLOOKUP('Données projet'!$B$14,Paramètres!$A$1:$I$89,3,0)*VLOOKUP('Données projet'!$B$14,Paramètres!$A$1:$I$89,5,0)</f>
        <v>#N/A</v>
      </c>
      <c r="DQ42" s="13" t="e">
        <f t="shared" si="43"/>
        <v>#N/A</v>
      </c>
      <c r="DR42" s="20" t="e">
        <f t="shared" si="16"/>
        <v>#N/A</v>
      </c>
      <c r="DS42" s="59" t="e">
        <f t="shared" si="17"/>
        <v>#N/A</v>
      </c>
      <c r="DT42" s="59" t="e">
        <f ca="1">AVERAGE(OFFSET($DS$3,0,0,'Données projet'!$E$14+1,1))-AVERAGE(OFFSET($H$3,0,0,'Données projet'!$E$14+1,1))</f>
        <v>#N/A</v>
      </c>
      <c r="DU42" s="59" t="e">
        <f t="shared" si="44"/>
        <v>#N/A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 t="e">
        <f>EXP(-LN(2)/35)*EA41+(1-EXP(-LN(2)/35))/(LN(2)/35)*DW42*DX42*VLOOKUP('Données projet'!$B$14,Paramètres!$A$1:$I$89,3,0)*0.475*44/12</f>
        <v>#N/A</v>
      </c>
      <c r="EB42" s="21" t="e">
        <f>EXP(-LN(2)/25)*EB41+(1-EXP(-LN(2)/25))/(LN(2)/25)*Calculateur!DW42*Calculateur!DY42*VLOOKUP('Données projet'!$B$14,Paramètres!$A$1:$I$89,3,0)*0.475*44/12</f>
        <v>#N/A</v>
      </c>
      <c r="EC42" s="21" t="e">
        <f>EXP(-LN(2)/2)*EC41+(1-EXP(-LN(2)/2))/(LN(2)/2)*DW42*DZ42*VLOOKUP('Données projet'!$B$14,Paramètres!$A$1:$I$89,3,0)*0.475*44/12</f>
        <v>#N/A</v>
      </c>
      <c r="ED42" s="22" t="e">
        <f t="shared" si="18"/>
        <v>#N/A</v>
      </c>
      <c r="EE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0</v>
      </c>
      <c r="EJ42" s="12">
        <f>IF('Données projet'!$A$192&gt;35,EJ41+EI42-ER41,IF(A42&lt;'Données projet'!$A$192,$EG$205^A42,IF(A42='Données projet'!$A$192,'Données projet'!$B$192,EJ41+EI42-ER41)))</f>
        <v>0</v>
      </c>
      <c r="EK42" s="17" t="e">
        <f>EJ42*VLOOKUP('Données projet'!$B$15,Paramètres!$A$1:$I$89,3,0)*VLOOKUP('Données projet'!$B$15,Paramètres!$A$1:$I$89,5,0)</f>
        <v>#N/A</v>
      </c>
      <c r="EL42" s="13" t="e">
        <f t="shared" si="45"/>
        <v>#N/A</v>
      </c>
      <c r="EM42" s="20" t="e">
        <f t="shared" si="19"/>
        <v>#N/A</v>
      </c>
      <c r="EN42" s="59" t="e">
        <f t="shared" si="20"/>
        <v>#N/A</v>
      </c>
      <c r="EO42" s="59" t="e">
        <f ca="1">AVERAGE(OFFSET($EN$3,0,0,'Données projet'!$E$15+1,1))-AVERAGE(OFFSET($H$3,0,0,'Données projet'!$E$15+1,1))</f>
        <v>#N/A</v>
      </c>
      <c r="EP42" s="59" t="e">
        <f t="shared" si="46"/>
        <v>#N/A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 t="e">
        <f>EXP(-LN(2)/35)*EV41+(1-EXP(-LN(2)/35))/(LN(2)/35)*ER42*ES42*VLOOKUP('Données projet'!$B$15,Paramètres!$A$1:$I$89,3,0)*0.475*44/12</f>
        <v>#N/A</v>
      </c>
      <c r="EW42" s="21" t="e">
        <f>EXP(-LN(2)/25)*EW41+(1-EXP(-LN(2)/25))/(LN(2)/25)*Calculateur!ER42*Calculateur!ET42*VLOOKUP('Données projet'!$B$15,Paramètres!$A$1:$I$89,3,0)*0.475*44/12</f>
        <v>#N/A</v>
      </c>
      <c r="EX42" s="21" t="e">
        <f>EXP(-LN(2)/2)*EX41+(1-EXP(-LN(2)/2))/(LN(2)/2)*ER42*EU42*VLOOKUP('Données projet'!$B$15,Paramètres!$A$1:$I$89,3,0)*0.475*44/12</f>
        <v>#N/A</v>
      </c>
      <c r="EY42" s="22" t="e">
        <f t="shared" si="21"/>
        <v>#N/A</v>
      </c>
      <c r="EZ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45">
      <c r="A43" s="10">
        <f t="shared" si="31"/>
        <v>40</v>
      </c>
      <c r="B43" s="73">
        <f>'Scénario référence'!$B$16*5+'Scénario référence'!$B$17*0+'Scénario référence'!$B$18*5</f>
        <v>0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35.567999999999998</v>
      </c>
      <c r="D43" s="11">
        <f t="shared" si="32"/>
        <v>10.816037660735208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">
        <f>IF(OR('Scénario référence'!$F$8&gt;0,'Scénario référence'!$F$9&gt;0),('Scénario référence'!$F$8+'Scénario référence'!$F$9)*10,0)</f>
        <v>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358.0522205390086</v>
      </c>
      <c r="H43" s="67">
        <f t="shared" si="1"/>
        <v>337.45219892578052</v>
      </c>
      <c r="I43" s="7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 t="e">
        <f>VLOOKUP(A43,'Données projet'!$A$35:$I$55,2,0)</f>
        <v>#N/A</v>
      </c>
      <c r="L43" s="12" t="e">
        <f>VLOOKUP(A43,'Données projet'!$A$35:$I$55,9,0)</f>
        <v>#N/A</v>
      </c>
      <c r="M43" s="12">
        <f t="array" ref="M43">INDEX(L:L,MIN(IF(ISNUMBER(L43:L239),ROW(L43:L239),"")))</f>
        <v>14.286666666666665</v>
      </c>
      <c r="N43" s="13">
        <f>IF('Données projet'!$A$36&gt;35,N42+M43-V42,IF(A43&lt;'Données projet'!$A$36,$K$205^A43,IF(A43='Données projet'!$A$36,'Données projet'!$B$36,N42+M43-V42)))</f>
        <v>266.65000000000003</v>
      </c>
      <c r="O43" s="13">
        <f>N43*VLOOKUP('Données projet'!$B$9,Paramètres!$A$1:$I$89,3,0)*VLOOKUP('Données projet'!$B$9,Paramètres!$A$1:$I$89,5,0)</f>
        <v>149.05735000000001</v>
      </c>
      <c r="P43" s="13">
        <f t="shared" si="33"/>
        <v>38.364286491141797</v>
      </c>
      <c r="Q43" s="20">
        <f t="shared" si="53"/>
        <v>326.42601688873862</v>
      </c>
      <c r="R43" s="59">
        <f t="shared" si="0"/>
        <v>619.75935022207193</v>
      </c>
      <c r="S43" s="59">
        <f ca="1">AVERAGE(OFFSET($R$3,0,0,'Données projet'!$E$9+1,1))-AVERAGE(OFFSET($H$3,0,0,'Données projet'!$E$9+1,1))</f>
        <v>280.69347314340195</v>
      </c>
      <c r="T43" s="59">
        <f t="shared" si="34"/>
        <v>152.40533828556482</v>
      </c>
      <c r="U43" s="15">
        <f>IF(ISNA(VLOOKUP(A43,'Données projet'!$A$35:$I$55,3,0)),0,VLOOKUP(A43,'Données projet'!$A$35:$I$55,3,0))</f>
        <v>0</v>
      </c>
      <c r="V43" s="15">
        <f>IF(ISNA(VLOOKUP(A43,'Données projet'!$A$35:$I$55,4,0)),0,VLOOKUP(A43,'Données projet'!$A$35:$I$55,4,0))</f>
        <v>0</v>
      </c>
      <c r="W43" s="16">
        <f>IF(ISNA(VLOOKUP(A43,'Données projet'!$A$35:$I$55,5,0)),0%,VLOOKUP(A43,'Données projet'!$A$35:$I$55,5,0)*VLOOKUP('Données projet'!$B$9,Paramètres!$A$1:$I$89,7,0))</f>
        <v>0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8.5568808269522023</v>
      </c>
      <c r="AA43" s="21">
        <f>EXP(-LN(2)/25)*AA42+(1-EXP(-LN(2)/25))/(LN(2)/25)*Calculateur!V43*Calculateur!X43*VLOOKUP('Données projet'!$B$9,Paramètres!$A$1:$I$89,3,0)*0.475*44/12</f>
        <v>12.028785595017212</v>
      </c>
      <c r="AB43" s="21">
        <f>EXP(-LN(2)/2)*AB42+(1-EXP(-LN(2)/2))/(LN(2)/2)*V43*Y43*VLOOKUP('Données projet'!$B$9,Paramètres!$A$1:$I$89,3,0)*0.475*44/12</f>
        <v>2.8413106545475575</v>
      </c>
      <c r="AC43" s="22">
        <f t="shared" si="3"/>
        <v>23.42697707651697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 t="e">
        <f>VLOOKUP(A43,'Données projet'!$A$61:$I$81,2,0)</f>
        <v>#N/A</v>
      </c>
      <c r="AG43" s="12" t="e">
        <f>VLOOKUP(A43,'Données projet'!$A$61:$I$81,9,0)</f>
        <v>#N/A</v>
      </c>
      <c r="AH43" s="12">
        <f t="array" ref="AH43">INDEX(AG:AG,MIN(IF(ISNUMBER(AG43:AG239),ROW(AG43:AG239),"")))</f>
        <v>11.5</v>
      </c>
      <c r="AI43" s="13">
        <f>IF('Données projet'!$A$62&gt;35,AI42+AH43-AQ42,IF(A43&lt;'Données projet'!$A$62,$AF$205^A43,IF(A43='Données projet'!$A$62,'Données projet'!$B$62,AI42+AH43-AQ42)))</f>
        <v>232</v>
      </c>
      <c r="AJ43" s="13">
        <f>AI43*VLOOKUP('Données projet'!$B$10,Paramètres!$A$1:$I$89,3,0)*VLOOKUP('Données projet'!$B$10,Paramètres!$A$1:$I$89,5,0)</f>
        <v>144.768</v>
      </c>
      <c r="AK43" s="13">
        <f t="shared" si="35"/>
        <v>37.387149255707826</v>
      </c>
      <c r="AL43" s="20">
        <f t="shared" si="4"/>
        <v>317.25355162035777</v>
      </c>
      <c r="AM43" s="59">
        <f t="shared" si="5"/>
        <v>610.58688495369108</v>
      </c>
      <c r="AN43" s="59">
        <f ca="1">AVERAGE(OFFSET($AM$3,0,0,'Données projet'!$E$10+1,1))-AVERAGE(OFFSET($H$3,0,0,'Données projet'!$E$10+1,1))</f>
        <v>179.4725256147085</v>
      </c>
      <c r="AO43" s="59">
        <f t="shared" si="36"/>
        <v>282.16750121151176</v>
      </c>
      <c r="AP43" s="15">
        <f>IF(ISNA(VLOOKUP(A43,'Données projet'!$A$61:$I$81,3,0)),0,VLOOKUP(A43,'Données projet'!$A$61:$I$81,3,0))</f>
        <v>0</v>
      </c>
      <c r="AQ43" s="15">
        <f>IF(ISNA(VLOOKUP(A43,'Données projet'!$A$61:$I$81,4,0)),0,VLOOKUP(A43,'Données projet'!$A$61:$I$81,4,0))</f>
        <v>0</v>
      </c>
      <c r="AR43" s="16">
        <f>IF(ISNA(VLOOKUP(A43,'Données projet'!$A$61:$I$81,5,0)),0%,VLOOKUP(A43,'Données projet'!$A$61:$I$81,5,0)*VLOOKUP('Données projet'!$B$10,Paramètres!$A$1:$I$89,7,0))</f>
        <v>0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>
        <f>EXP(-LN(2)/35)*AU42+(1-EXP(-LN(2)/35))/(LN(2)/35)*AQ43*AR43*VLOOKUP('Données projet'!$B$10,Paramètres!$A$1:$I$89,3,0)*0.475*44/12</f>
        <v>36.470336147534077</v>
      </c>
      <c r="AV43" s="21">
        <f>EXP(-LN(2)/25)*AV42+(1-EXP(-LN(2)/25))/(LN(2)/25)*Calculateur!AQ43*Calculateur!AS43*VLOOKUP('Données projet'!$B$10,Paramètres!$A$1:$I$89,3,0)*0.475*44/12</f>
        <v>17.670395396241059</v>
      </c>
      <c r="AW43" s="21">
        <f>EXP(-LN(2)/2)*AW42+(1-EXP(-LN(2)/2))/(LN(2)/2)*AQ43*AT43*VLOOKUP('Données projet'!$B$10,Paramètres!$A$1:$I$89,3,0)*0.475*44/12</f>
        <v>2.46689790720216</v>
      </c>
      <c r="AX43" s="21">
        <f t="shared" si="6"/>
        <v>56.607629450977292</v>
      </c>
      <c r="AY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 t="e">
        <f>VLOOKUP(A43,'Données projet'!$A$87:$I$107,2,0)</f>
        <v>#N/A</v>
      </c>
      <c r="BB43" s="12" t="e">
        <f>VLOOKUP(A43,'Données projet'!$A$87:$I$107,9,0)</f>
        <v>#N/A</v>
      </c>
      <c r="BC43" s="12">
        <f t="array" ref="BC43">INDEX(BB:BB,MIN(IF(ISNUMBER(BB43:BB239),ROW(BB43:BB239),"")))</f>
        <v>5.3214035087719296</v>
      </c>
      <c r="BD43" s="12">
        <f>IF('Données projet'!$A$88&gt;35,BD42+BC43-BL42,IF(A43&lt;'Données projet'!$A$88,$BA$205^A43,IF(A43='Données projet'!$A$88,'Données projet'!$B$88,BD42+BC43-BL42)))</f>
        <v>212.85614035087738</v>
      </c>
      <c r="BE43" s="13">
        <f>BD43*VLOOKUP('Données projet'!$B$11,Paramètres!$A$1:$I$89,3,0)*VLOOKUP('Données projet'!$B$11,Paramètres!$A$1:$I$89,5,0)</f>
        <v>182.6305684210528</v>
      </c>
      <c r="BF43" s="13">
        <f t="shared" si="37"/>
        <v>45.906944074137463</v>
      </c>
      <c r="BG43" s="20">
        <f t="shared" si="7"/>
        <v>398.03616759578972</v>
      </c>
      <c r="BH43" s="59">
        <f t="shared" si="8"/>
        <v>691.36950092912298</v>
      </c>
      <c r="BI43" s="59">
        <f ca="1">AVERAGE(OFFSET($BH$3,0,0,'Données projet'!$E$11+1,1))-AVERAGE(OFFSET($H$3,0,0,'Données projet'!$E$11+1,1))</f>
        <v>312.89478437044261</v>
      </c>
      <c r="BJ43" s="59">
        <f t="shared" si="38"/>
        <v>276.16555507854571</v>
      </c>
      <c r="BK43" s="15">
        <f>IF(ISNA(VLOOKUP(A43,'Données projet'!$A$87:$I$107,3,0)),0,VLOOKUP(A43,'Données projet'!$A$87:$I$107,3,0))</f>
        <v>0</v>
      </c>
      <c r="BL43" s="15">
        <f>IF(ISNA(VLOOKUP(A43,'Données projet'!$A$87:$I$107,4,0)),0,VLOOKUP(A43,'Données projet'!$A$87:$I$107,4,0))</f>
        <v>0</v>
      </c>
      <c r="BM43" s="16">
        <f>IF(ISNA(VLOOKUP(A43,'Données projet'!$A$87:$I$107,5,0)),0%,VLOOKUP(A43,'Données projet'!$A$87:$I$107,5,0)*VLOOKUP('Données projet'!$B$11,Paramètres!$A$1:$I$89,7,0))</f>
        <v>0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>
        <f>EXP(-LN(2)/35)*BP42+(1-EXP(-LN(2)/35))/(LN(2)/35)*BL43*BM43*VLOOKUP('Données projet'!$B$11,Paramètres!$A$1:$I$89,3,0)*0.475*44/12</f>
        <v>0</v>
      </c>
      <c r="BQ43" s="21">
        <f>EXP(-LN(2)/25)*BQ42+(1-EXP(-LN(2)/25))/(LN(2)/25)*Calculateur!BL43*Calculateur!BN43*VLOOKUP('Données projet'!$B$11,Paramètres!$A$1:$I$89,3,0)*0.475*44/12</f>
        <v>0</v>
      </c>
      <c r="BR43" s="21">
        <f>EXP(-LN(2)/2)*BR42+(1-EXP(-LN(2)/2))/(LN(2)/2)*BL43*BO43*VLOOKUP('Données projet'!$B$11,Paramètres!$A$1:$I$89,3,0)*0.475*44/12</f>
        <v>0</v>
      </c>
      <c r="BS43" s="22">
        <f t="shared" si="9"/>
        <v>0</v>
      </c>
      <c r="BT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 t="e">
        <f>VLOOKUP(A43,'Données projet'!$A$113:$I$133,2,0)</f>
        <v>#N/A</v>
      </c>
      <c r="BW43" s="12" t="e">
        <f>VLOOKUP(A43,'Données projet'!$A$113:$I$133,9,0)</f>
        <v>#N/A</v>
      </c>
      <c r="BX43" s="12">
        <f t="array" ref="BX43">INDEX(BW:BW,MIN(IF(ISNUMBER(BW43:BW239),ROW(BW43:BW239),"")))</f>
        <v>0</v>
      </c>
      <c r="BY43" s="12">
        <f>IF('Données projet'!$A$114&gt;35,BY42+BX43-CG42,IF(A43&lt;'Données projet'!$A$114,$BV$205^A43,IF(A43='Données projet'!$A$114,'Données projet'!$B$114,BY42+BX43-CG42)))</f>
        <v>0</v>
      </c>
      <c r="BZ43" s="13" t="e">
        <f>BY43*VLOOKUP('Données projet'!$B$12,Paramètres!$A$1:$I$89,3,0)*VLOOKUP('Données projet'!$B$12,Paramètres!$A$1:$I$89,5,0)</f>
        <v>#N/A</v>
      </c>
      <c r="CA43" s="13" t="e">
        <f t="shared" si="39"/>
        <v>#N/A</v>
      </c>
      <c r="CB43" s="20" t="e">
        <f t="shared" si="10"/>
        <v>#N/A</v>
      </c>
      <c r="CC43" s="59" t="e">
        <f t="shared" si="11"/>
        <v>#N/A</v>
      </c>
      <c r="CD43" s="59" t="e">
        <f ca="1">AVERAGE(OFFSET($CC$3,0,0,'Données projet'!$E$12+1,1))-AVERAGE(OFFSET($H$3,0,0,'Données projet'!$E$12+1,1))</f>
        <v>#N/A</v>
      </c>
      <c r="CE43" s="59" t="e">
        <f t="shared" si="40"/>
        <v>#N/A</v>
      </c>
      <c r="CF43" s="15">
        <f>IF(ISNA(VLOOKUP(A43,'Données projet'!$A$113:$I$133,3,0)),0,VLOOKUP(A43,'Données projet'!$A$113:$I$133,3,0))</f>
        <v>0</v>
      </c>
      <c r="CG43" s="15">
        <f>IF(ISNA(VLOOKUP(A43,'Données projet'!$A$113:$I$133,4,0)),0,VLOOKUP(A43,'Données projet'!$A$113:$I$133,4,0))</f>
        <v>0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 t="e">
        <f>EXP(-LN(2)/35)*CK42+(1-EXP(-LN(2)/35))/(LN(2)/35)*CG43*CH43*VLOOKUP('Données projet'!$B$12,Paramètres!$A$1:$I$89,3,0)*0.475*44/12</f>
        <v>#N/A</v>
      </c>
      <c r="CL43" s="21" t="e">
        <f>EXP(-LN(2)/25)*CL42+(1-EXP(-LN(2)/25))/(LN(2)/25)*Calculateur!CG43*Calculateur!CI43*VLOOKUP('Données projet'!$B$12,Paramètres!$A$1:$I$89,3,0)*0.475*44/12</f>
        <v>#N/A</v>
      </c>
      <c r="CM43" s="21" t="e">
        <f>EXP(-LN(2)/2)*CM42+(1-EXP(-LN(2)/2))/(LN(2)/2)*CG43*CJ43*VLOOKUP('Données projet'!$B$12,Paramètres!$A$1:$I$89,3,0)*0.475*44/12</f>
        <v>#N/A</v>
      </c>
      <c r="CN43" s="22" t="e">
        <f t="shared" si="12"/>
        <v>#N/A</v>
      </c>
      <c r="CO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 t="e">
        <f>VLOOKUP(A43,'Données projet'!$A$139:$I$159,2,0)</f>
        <v>#N/A</v>
      </c>
      <c r="CR43" s="12" t="e">
        <f>VLOOKUP(A43,'Données projet'!$A$139:$I$159,9,0)</f>
        <v>#N/A</v>
      </c>
      <c r="CS43" s="12">
        <f t="array" ref="CS43">INDEX(CR:CR,MIN(IF(ISNUMBER(CR43:CR239),ROW(CR43:CR239),"")))</f>
        <v>0</v>
      </c>
      <c r="CT43" s="12">
        <f>IF('Données projet'!$A$140&gt;35,CT42+CS43-DB42,IF(A43&lt;'Données projet'!$A$140,$CQ$205^A43,IF(A43='Données projet'!$A$140,'Données projet'!$B$140,CT42+CS43-DB42)))</f>
        <v>0</v>
      </c>
      <c r="CU43" s="17" t="e">
        <f>CT43*VLOOKUP('Données projet'!$B$13,Paramètres!$A$1:$I$89,3,0)*VLOOKUP('Données projet'!$B$13,Paramètres!$A$1:$I$89,5,0)</f>
        <v>#N/A</v>
      </c>
      <c r="CV43" s="13" t="e">
        <f t="shared" si="41"/>
        <v>#N/A</v>
      </c>
      <c r="CW43" s="20" t="e">
        <f t="shared" si="13"/>
        <v>#N/A</v>
      </c>
      <c r="CX43" s="59" t="e">
        <f t="shared" si="14"/>
        <v>#N/A</v>
      </c>
      <c r="CY43" s="59" t="e">
        <f ca="1">AVERAGE(OFFSET($CX$3,0,0,'Données projet'!$E$13+1,1))-AVERAGE(OFFSET($H$3,0,0,'Données projet'!$E$13+1,1))</f>
        <v>#N/A</v>
      </c>
      <c r="CZ43" s="59" t="e">
        <f t="shared" si="42"/>
        <v>#N/A</v>
      </c>
      <c r="DA43" s="15">
        <f>IF(ISNA(VLOOKUP(A43,'Données projet'!$A$139:$I$159,3,0)),0,VLOOKUP(A43,'Données projet'!$A$139:$I$159,3,0))</f>
        <v>0</v>
      </c>
      <c r="DB43" s="15">
        <f>IF(ISNA(VLOOKUP(A43,'Données projet'!$A$139:$I$159,4,0)),0,VLOOKUP(A43,'Données projet'!$A$139:$I$159,4,0))</f>
        <v>0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 t="e">
        <f>EXP(-LN(2)/35)*DF42+(1-EXP(-LN(2)/35))/(LN(2)/35)*DB43*DC43*VLOOKUP('Données projet'!$B$13,Paramètres!$A$1:$I$89,3,0)*0.475*44/12</f>
        <v>#N/A</v>
      </c>
      <c r="DG43" s="21" t="e">
        <f>EXP(-LN(2)/25)*DG42+(1-EXP(-LN(2)/25))/(LN(2)/25)*Calculateur!DB43*Calculateur!DD43*VLOOKUP('Données projet'!$B$13,Paramètres!$A$1:$I$89,3,0)*0.475*44/12</f>
        <v>#N/A</v>
      </c>
      <c r="DH43" s="21" t="e">
        <f>EXP(-LN(2)/2)*DH42+(1-EXP(-LN(2)/2))/(LN(2)/2)*DB43*DE43*VLOOKUP('Données projet'!$B$13,Paramètres!$A$1:$I$89,3,0)*0.475*44/12</f>
        <v>#N/A</v>
      </c>
      <c r="DI43" s="22" t="e">
        <f t="shared" si="15"/>
        <v>#N/A</v>
      </c>
      <c r="DJ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 t="e">
        <f>VLOOKUP(A43,'Données projet'!$A$165:$I$185,2,0)</f>
        <v>#N/A</v>
      </c>
      <c r="DM43" s="12" t="e">
        <f>VLOOKUP(A43,'Données projet'!$A$165:$I$185,9,0)</f>
        <v>#N/A</v>
      </c>
      <c r="DN43" s="12">
        <f t="array" ref="DN43">INDEX(DM:DM,MIN(IF(ISNUMBER(DM43:DM239),ROW(DM43:DM239),"")))</f>
        <v>0</v>
      </c>
      <c r="DO43" s="12">
        <f>IF('Données projet'!$A$166&gt;35,DO42+DN43-DW42,IF(A43&lt;'Données projet'!$A$166,$DL$205^A43,IF(A43='Données projet'!$A$166,'Données projet'!$B$166,DO42+DN43-DW42)))</f>
        <v>0</v>
      </c>
      <c r="DP43" s="17" t="e">
        <f>DO43*VLOOKUP('Données projet'!$B$14,Paramètres!$A$1:$I$89,3,0)*VLOOKUP('Données projet'!$B$14,Paramètres!$A$1:$I$89,5,0)</f>
        <v>#N/A</v>
      </c>
      <c r="DQ43" s="13" t="e">
        <f t="shared" si="43"/>
        <v>#N/A</v>
      </c>
      <c r="DR43" s="20" t="e">
        <f t="shared" si="16"/>
        <v>#N/A</v>
      </c>
      <c r="DS43" s="59" t="e">
        <f t="shared" si="17"/>
        <v>#N/A</v>
      </c>
      <c r="DT43" s="59" t="e">
        <f ca="1">AVERAGE(OFFSET($DS$3,0,0,'Données projet'!$E$14+1,1))-AVERAGE(OFFSET($H$3,0,0,'Données projet'!$E$14+1,1))</f>
        <v>#N/A</v>
      </c>
      <c r="DU43" s="59" t="e">
        <f t="shared" si="44"/>
        <v>#N/A</v>
      </c>
      <c r="DV43" s="15">
        <f>IF(ISNA(VLOOKUP(A43,'Données projet'!$A$165:$I$185,3,0)),0,VLOOKUP(A43,'Données projet'!$A$165:$I$185,3,0))</f>
        <v>0</v>
      </c>
      <c r="DW43" s="15">
        <f>IF(ISNA(VLOOKUP(A43,'Données projet'!$A$165:$I$185,4,0)),0,VLOOKUP(A43,'Données projet'!$A$165:$I$185,4,0))</f>
        <v>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 t="e">
        <f>EXP(-LN(2)/35)*EA42+(1-EXP(-LN(2)/35))/(LN(2)/35)*DW43*DX43*VLOOKUP('Données projet'!$B$14,Paramètres!$A$1:$I$89,3,0)*0.475*44/12</f>
        <v>#N/A</v>
      </c>
      <c r="EB43" s="21" t="e">
        <f>EXP(-LN(2)/25)*EB42+(1-EXP(-LN(2)/25))/(LN(2)/25)*Calculateur!DW43*Calculateur!DY43*VLOOKUP('Données projet'!$B$14,Paramètres!$A$1:$I$89,3,0)*0.475*44/12</f>
        <v>#N/A</v>
      </c>
      <c r="EC43" s="21" t="e">
        <f>EXP(-LN(2)/2)*EC42+(1-EXP(-LN(2)/2))/(LN(2)/2)*DW43*DZ43*VLOOKUP('Données projet'!$B$14,Paramètres!$A$1:$I$89,3,0)*0.475*44/12</f>
        <v>#N/A</v>
      </c>
      <c r="ED43" s="22" t="e">
        <f t="shared" si="18"/>
        <v>#N/A</v>
      </c>
      <c r="EE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0</v>
      </c>
      <c r="EJ43" s="12">
        <f>IF('Données projet'!$A$192&gt;35,EJ42+EI43-ER42,IF(A43&lt;'Données projet'!$A$192,$EG$205^A43,IF(A43='Données projet'!$A$192,'Données projet'!$B$192,EJ42+EI43-ER42)))</f>
        <v>0</v>
      </c>
      <c r="EK43" s="17" t="e">
        <f>EJ43*VLOOKUP('Données projet'!$B$15,Paramètres!$A$1:$I$89,3,0)*VLOOKUP('Données projet'!$B$15,Paramètres!$A$1:$I$89,5,0)</f>
        <v>#N/A</v>
      </c>
      <c r="EL43" s="13" t="e">
        <f t="shared" si="45"/>
        <v>#N/A</v>
      </c>
      <c r="EM43" s="20" t="e">
        <f t="shared" si="19"/>
        <v>#N/A</v>
      </c>
      <c r="EN43" s="59" t="e">
        <f t="shared" si="20"/>
        <v>#N/A</v>
      </c>
      <c r="EO43" s="59" t="e">
        <f ca="1">AVERAGE(OFFSET($EN$3,0,0,'Données projet'!$E$15+1,1))-AVERAGE(OFFSET($H$3,0,0,'Données projet'!$E$15+1,1))</f>
        <v>#N/A</v>
      </c>
      <c r="EP43" s="59" t="e">
        <f t="shared" si="46"/>
        <v>#N/A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 t="e">
        <f>EXP(-LN(2)/35)*EV42+(1-EXP(-LN(2)/35))/(LN(2)/35)*ER43*ES43*VLOOKUP('Données projet'!$B$15,Paramètres!$A$1:$I$89,3,0)*0.475*44/12</f>
        <v>#N/A</v>
      </c>
      <c r="EW43" s="21" t="e">
        <f>EXP(-LN(2)/25)*EW42+(1-EXP(-LN(2)/25))/(LN(2)/25)*Calculateur!ER43*Calculateur!ET43*VLOOKUP('Données projet'!$B$15,Paramètres!$A$1:$I$89,3,0)*0.475*44/12</f>
        <v>#N/A</v>
      </c>
      <c r="EX43" s="21" t="e">
        <f>EXP(-LN(2)/2)*EX42+(1-EXP(-LN(2)/2))/(LN(2)/2)*ER43*EU43*VLOOKUP('Données projet'!$B$15,Paramètres!$A$1:$I$89,3,0)*0.475*44/12</f>
        <v>#N/A</v>
      </c>
      <c r="EY43" s="22" t="e">
        <f t="shared" si="21"/>
        <v>#N/A</v>
      </c>
      <c r="EZ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45">
      <c r="A44" s="10">
        <f t="shared" si="31"/>
        <v>41</v>
      </c>
      <c r="B44" s="73">
        <f>'Scénario référence'!$B$16*5+'Scénario référence'!$B$17*0+'Scénario référence'!$B$18*5</f>
        <v>0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36.4572</v>
      </c>
      <c r="D44" s="11">
        <f t="shared" si="32"/>
        <v>11.054619486999963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">
        <f>IF(OR('Scénario référence'!$F$8&gt;0,'Scénario référence'!$F$9&gt;0),('Scénario référence'!$F$8+'Scénario référence'!$F$9)*10,0)</f>
        <v>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366.75790481192956</v>
      </c>
      <c r="H44" s="67">
        <f t="shared" si="1"/>
        <v>339.41641893985832</v>
      </c>
      <c r="I44" s="7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14.286666666666665</v>
      </c>
      <c r="N44" s="13">
        <f>IF('Données projet'!$A$36&gt;35,N43+M44-V43,IF(A44&lt;'Données projet'!$A$36,$K$205^A44,IF(A44='Données projet'!$A$36,'Données projet'!$B$36,N43+M44-V43)))</f>
        <v>280.93666666666672</v>
      </c>
      <c r="O44" s="13">
        <f>N44*VLOOKUP('Données projet'!$B$9,Paramètres!$A$1:$I$89,3,0)*VLOOKUP('Données projet'!$B$9,Paramètres!$A$1:$I$89,5,0)</f>
        <v>157.0435966666667</v>
      </c>
      <c r="P44" s="13">
        <f t="shared" si="33"/>
        <v>40.174968304842523</v>
      </c>
      <c r="Q44" s="20">
        <f t="shared" si="53"/>
        <v>343.48900065871186</v>
      </c>
      <c r="R44" s="59">
        <f t="shared" si="0"/>
        <v>636.82233399204517</v>
      </c>
      <c r="S44" s="59">
        <f ca="1">AVERAGE(OFFSET($R$3,0,0,'Données projet'!$E$9+1,1))-AVERAGE(OFFSET($H$3,0,0,'Données projet'!$E$9+1,1))</f>
        <v>280.69347314340195</v>
      </c>
      <c r="T44" s="59">
        <f t="shared" si="34"/>
        <v>152.40533828556482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8.3890856131176221</v>
      </c>
      <c r="AA44" s="21">
        <f>EXP(-LN(2)/25)*AA43+(1-EXP(-LN(2)/25))/(LN(2)/25)*Calculateur!V44*Calculateur!X44*VLOOKUP('Données projet'!$B$9,Paramètres!$A$1:$I$89,3,0)*0.475*44/12</f>
        <v>11.699857820355124</v>
      </c>
      <c r="AB44" s="21">
        <f>EXP(-LN(2)/2)*AB43+(1-EXP(-LN(2)/2))/(LN(2)/2)*V44*Y44*VLOOKUP('Données projet'!$B$9,Paramètres!$A$1:$I$89,3,0)*0.475*44/12</f>
        <v>2.009110031288166</v>
      </c>
      <c r="AC44" s="22">
        <f t="shared" si="3"/>
        <v>22.098053464760913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11.5</v>
      </c>
      <c r="AI44" s="13">
        <f>IF('Données projet'!$A$62&gt;35,AI43+AH44-AQ43,IF(A44&lt;'Données projet'!$A$62,$AF$205^A44,IF(A44='Données projet'!$A$62,'Données projet'!$B$62,AI43+AH44-AQ43)))</f>
        <v>243.5</v>
      </c>
      <c r="AJ44" s="13">
        <f>AI44*VLOOKUP('Données projet'!$B$10,Paramètres!$A$1:$I$89,3,0)*VLOOKUP('Données projet'!$B$10,Paramètres!$A$1:$I$89,5,0)</f>
        <v>151.94399999999999</v>
      </c>
      <c r="AK44" s="13">
        <f t="shared" si="35"/>
        <v>39.02003496976517</v>
      </c>
      <c r="AL44" s="20">
        <f t="shared" si="4"/>
        <v>332.59569423900763</v>
      </c>
      <c r="AM44" s="59">
        <f t="shared" si="5"/>
        <v>625.92902757234094</v>
      </c>
      <c r="AN44" s="59">
        <f ca="1">AVERAGE(OFFSET($AM$3,0,0,'Données projet'!$E$10+1,1))-AVERAGE(OFFSET($H$3,0,0,'Données projet'!$E$10+1,1))</f>
        <v>179.4725256147085</v>
      </c>
      <c r="AO44" s="59">
        <f t="shared" si="36"/>
        <v>282.16750121151176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35.755175100389501</v>
      </c>
      <c r="AV44" s="21">
        <f>EXP(-LN(2)/25)*AV43+(1-EXP(-LN(2)/25))/(LN(2)/25)*Calculateur!AQ44*Calculateur!AS44*VLOOKUP('Données projet'!$B$10,Paramètres!$A$1:$I$89,3,0)*0.475*44/12</f>
        <v>17.187197504885138</v>
      </c>
      <c r="AW44" s="21">
        <f>EXP(-LN(2)/2)*AW43+(1-EXP(-LN(2)/2))/(LN(2)/2)*AQ44*AT44*VLOOKUP('Données projet'!$B$10,Paramètres!$A$1:$I$89,3,0)*0.475*44/12</f>
        <v>1.7443602386775499</v>
      </c>
      <c r="AX44" s="21">
        <f t="shared" si="6"/>
        <v>54.686732843952193</v>
      </c>
      <c r="AY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5.3214035087719296</v>
      </c>
      <c r="BD44" s="12">
        <f>IF('Données projet'!$A$88&gt;35,BD43+BC44-BL43,IF(A44&lt;'Données projet'!$A$88,$BA$205^A44,IF(A44='Données projet'!$A$88,'Données projet'!$B$88,BD43+BC44-BL43)))</f>
        <v>218.17754385964932</v>
      </c>
      <c r="BE44" s="13">
        <f>BD44*VLOOKUP('Données projet'!$B$11,Paramètres!$A$1:$I$89,3,0)*VLOOKUP('Données projet'!$B$11,Paramètres!$A$1:$I$89,5,0)</f>
        <v>187.19633263157914</v>
      </c>
      <c r="BF44" s="13">
        <f t="shared" si="37"/>
        <v>46.919566524150035</v>
      </c>
      <c r="BG44" s="20">
        <f t="shared" si="7"/>
        <v>407.75185769622823</v>
      </c>
      <c r="BH44" s="59">
        <f t="shared" si="8"/>
        <v>701.08519102956154</v>
      </c>
      <c r="BI44" s="59">
        <f ca="1">AVERAGE(OFFSET($BH$3,0,0,'Données projet'!$E$11+1,1))-AVERAGE(OFFSET($H$3,0,0,'Données projet'!$E$11+1,1))</f>
        <v>312.89478437044261</v>
      </c>
      <c r="BJ44" s="59">
        <f t="shared" si="38"/>
        <v>276.16555507854571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>
        <f>EXP(-LN(2)/35)*BP43+(1-EXP(-LN(2)/35))/(LN(2)/35)*BL44*BM44*VLOOKUP('Données projet'!$B$11,Paramètres!$A$1:$I$89,3,0)*0.475*44/12</f>
        <v>0</v>
      </c>
      <c r="BQ44" s="21">
        <f>EXP(-LN(2)/25)*BQ43+(1-EXP(-LN(2)/25))/(LN(2)/25)*Calculateur!BL44*Calculateur!BN44*VLOOKUP('Données projet'!$B$11,Paramètres!$A$1:$I$89,3,0)*0.475*44/12</f>
        <v>0</v>
      </c>
      <c r="BR44" s="21">
        <f>EXP(-LN(2)/2)*BR43+(1-EXP(-LN(2)/2))/(LN(2)/2)*BL44*BO44*VLOOKUP('Données projet'!$B$11,Paramètres!$A$1:$I$89,3,0)*0.475*44/12</f>
        <v>0</v>
      </c>
      <c r="BS44" s="22">
        <f t="shared" si="9"/>
        <v>0</v>
      </c>
      <c r="BT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0</v>
      </c>
      <c r="BY44" s="12">
        <f>IF('Données projet'!$A$114&gt;35,BY43+BX44-CG43,IF(A44&lt;'Données projet'!$A$114,$BV$205^A44,IF(A44='Données projet'!$A$114,'Données projet'!$B$114,BY43+BX44-CG43)))</f>
        <v>0</v>
      </c>
      <c r="BZ44" s="13" t="e">
        <f>BY44*VLOOKUP('Données projet'!$B$12,Paramètres!$A$1:$I$89,3,0)*VLOOKUP('Données projet'!$B$12,Paramètres!$A$1:$I$89,5,0)</f>
        <v>#N/A</v>
      </c>
      <c r="CA44" s="13" t="e">
        <f t="shared" si="39"/>
        <v>#N/A</v>
      </c>
      <c r="CB44" s="20" t="e">
        <f t="shared" si="10"/>
        <v>#N/A</v>
      </c>
      <c r="CC44" s="59" t="e">
        <f t="shared" si="11"/>
        <v>#N/A</v>
      </c>
      <c r="CD44" s="59" t="e">
        <f ca="1">AVERAGE(OFFSET($CC$3,0,0,'Données projet'!$E$12+1,1))-AVERAGE(OFFSET($H$3,0,0,'Données projet'!$E$12+1,1))</f>
        <v>#N/A</v>
      </c>
      <c r="CE44" s="59" t="e">
        <f t="shared" si="40"/>
        <v>#N/A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 t="e">
        <f>EXP(-LN(2)/35)*CK43+(1-EXP(-LN(2)/35))/(LN(2)/35)*CG44*CH44*VLOOKUP('Données projet'!$B$12,Paramètres!$A$1:$I$89,3,0)*0.475*44/12</f>
        <v>#N/A</v>
      </c>
      <c r="CL44" s="21" t="e">
        <f>EXP(-LN(2)/25)*CL43+(1-EXP(-LN(2)/25))/(LN(2)/25)*Calculateur!CG44*Calculateur!CI44*VLOOKUP('Données projet'!$B$12,Paramètres!$A$1:$I$89,3,0)*0.475*44/12</f>
        <v>#N/A</v>
      </c>
      <c r="CM44" s="21" t="e">
        <f>EXP(-LN(2)/2)*CM43+(1-EXP(-LN(2)/2))/(LN(2)/2)*CG44*CJ44*VLOOKUP('Données projet'!$B$12,Paramètres!$A$1:$I$89,3,0)*0.475*44/12</f>
        <v>#N/A</v>
      </c>
      <c r="CN44" s="22" t="e">
        <f t="shared" si="12"/>
        <v>#N/A</v>
      </c>
      <c r="CO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0</v>
      </c>
      <c r="CT44" s="12">
        <f>IF('Données projet'!$A$140&gt;35,CT43+CS44-DB43,IF(A44&lt;'Données projet'!$A$140,$CQ$205^A44,IF(A44='Données projet'!$A$140,'Données projet'!$B$140,CT43+CS44-DB43)))</f>
        <v>0</v>
      </c>
      <c r="CU44" s="17" t="e">
        <f>CT44*VLOOKUP('Données projet'!$B$13,Paramètres!$A$1:$I$89,3,0)*VLOOKUP('Données projet'!$B$13,Paramètres!$A$1:$I$89,5,0)</f>
        <v>#N/A</v>
      </c>
      <c r="CV44" s="13" t="e">
        <f t="shared" si="41"/>
        <v>#N/A</v>
      </c>
      <c r="CW44" s="20" t="e">
        <f t="shared" si="13"/>
        <v>#N/A</v>
      </c>
      <c r="CX44" s="59" t="e">
        <f t="shared" si="14"/>
        <v>#N/A</v>
      </c>
      <c r="CY44" s="59" t="e">
        <f ca="1">AVERAGE(OFFSET($CX$3,0,0,'Données projet'!$E$13+1,1))-AVERAGE(OFFSET($H$3,0,0,'Données projet'!$E$13+1,1))</f>
        <v>#N/A</v>
      </c>
      <c r="CZ44" s="59" t="e">
        <f t="shared" si="42"/>
        <v>#N/A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 t="e">
        <f>EXP(-LN(2)/35)*DF43+(1-EXP(-LN(2)/35))/(LN(2)/35)*DB44*DC44*VLOOKUP('Données projet'!$B$13,Paramètres!$A$1:$I$89,3,0)*0.475*44/12</f>
        <v>#N/A</v>
      </c>
      <c r="DG44" s="21" t="e">
        <f>EXP(-LN(2)/25)*DG43+(1-EXP(-LN(2)/25))/(LN(2)/25)*Calculateur!DB44*Calculateur!DD44*VLOOKUP('Données projet'!$B$13,Paramètres!$A$1:$I$89,3,0)*0.475*44/12</f>
        <v>#N/A</v>
      </c>
      <c r="DH44" s="21" t="e">
        <f>EXP(-LN(2)/2)*DH43+(1-EXP(-LN(2)/2))/(LN(2)/2)*DB44*DE44*VLOOKUP('Données projet'!$B$13,Paramètres!$A$1:$I$89,3,0)*0.475*44/12</f>
        <v>#N/A</v>
      </c>
      <c r="DI44" s="22" t="e">
        <f t="shared" si="15"/>
        <v>#N/A</v>
      </c>
      <c r="DJ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0</v>
      </c>
      <c r="DO44" s="12">
        <f>IF('Données projet'!$A$166&gt;35,DO43+DN44-DW43,IF(A44&lt;'Données projet'!$A$166,$DL$205^A44,IF(A44='Données projet'!$A$166,'Données projet'!$B$166,DO43+DN44-DW43)))</f>
        <v>0</v>
      </c>
      <c r="DP44" s="17" t="e">
        <f>DO44*VLOOKUP('Données projet'!$B$14,Paramètres!$A$1:$I$89,3,0)*VLOOKUP('Données projet'!$B$14,Paramètres!$A$1:$I$89,5,0)</f>
        <v>#N/A</v>
      </c>
      <c r="DQ44" s="13" t="e">
        <f t="shared" si="43"/>
        <v>#N/A</v>
      </c>
      <c r="DR44" s="20" t="e">
        <f t="shared" si="16"/>
        <v>#N/A</v>
      </c>
      <c r="DS44" s="59" t="e">
        <f t="shared" si="17"/>
        <v>#N/A</v>
      </c>
      <c r="DT44" s="59" t="e">
        <f ca="1">AVERAGE(OFFSET($DS$3,0,0,'Données projet'!$E$14+1,1))-AVERAGE(OFFSET($H$3,0,0,'Données projet'!$E$14+1,1))</f>
        <v>#N/A</v>
      </c>
      <c r="DU44" s="59" t="e">
        <f t="shared" si="44"/>
        <v>#N/A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 t="e">
        <f>EXP(-LN(2)/35)*EA43+(1-EXP(-LN(2)/35))/(LN(2)/35)*DW44*DX44*VLOOKUP('Données projet'!$B$14,Paramètres!$A$1:$I$89,3,0)*0.475*44/12</f>
        <v>#N/A</v>
      </c>
      <c r="EB44" s="21" t="e">
        <f>EXP(-LN(2)/25)*EB43+(1-EXP(-LN(2)/25))/(LN(2)/25)*Calculateur!DW44*Calculateur!DY44*VLOOKUP('Données projet'!$B$14,Paramètres!$A$1:$I$89,3,0)*0.475*44/12</f>
        <v>#N/A</v>
      </c>
      <c r="EC44" s="21" t="e">
        <f>EXP(-LN(2)/2)*EC43+(1-EXP(-LN(2)/2))/(LN(2)/2)*DW44*DZ44*VLOOKUP('Données projet'!$B$14,Paramètres!$A$1:$I$89,3,0)*0.475*44/12</f>
        <v>#N/A</v>
      </c>
      <c r="ED44" s="22" t="e">
        <f t="shared" si="18"/>
        <v>#N/A</v>
      </c>
      <c r="EE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0</v>
      </c>
      <c r="EJ44" s="12">
        <f>IF('Données projet'!$A$192&gt;35,EJ43+EI44-ER43,IF(A44&lt;'Données projet'!$A$192,$EG$205^A44,IF(A44='Données projet'!$A$192,'Données projet'!$B$192,EJ43+EI44-ER43)))</f>
        <v>0</v>
      </c>
      <c r="EK44" s="17" t="e">
        <f>EJ44*VLOOKUP('Données projet'!$B$15,Paramètres!$A$1:$I$89,3,0)*VLOOKUP('Données projet'!$B$15,Paramètres!$A$1:$I$89,5,0)</f>
        <v>#N/A</v>
      </c>
      <c r="EL44" s="13" t="e">
        <f t="shared" si="45"/>
        <v>#N/A</v>
      </c>
      <c r="EM44" s="20" t="e">
        <f t="shared" si="19"/>
        <v>#N/A</v>
      </c>
      <c r="EN44" s="59" t="e">
        <f t="shared" si="20"/>
        <v>#N/A</v>
      </c>
      <c r="EO44" s="59" t="e">
        <f ca="1">AVERAGE(OFFSET($EN$3,0,0,'Données projet'!$E$15+1,1))-AVERAGE(OFFSET($H$3,0,0,'Données projet'!$E$15+1,1))</f>
        <v>#N/A</v>
      </c>
      <c r="EP44" s="59" t="e">
        <f t="shared" si="46"/>
        <v>#N/A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 t="e">
        <f>EXP(-LN(2)/35)*EV43+(1-EXP(-LN(2)/35))/(LN(2)/35)*ER44*ES44*VLOOKUP('Données projet'!$B$15,Paramètres!$A$1:$I$89,3,0)*0.475*44/12</f>
        <v>#N/A</v>
      </c>
      <c r="EW44" s="21" t="e">
        <f>EXP(-LN(2)/25)*EW43+(1-EXP(-LN(2)/25))/(LN(2)/25)*Calculateur!ER44*Calculateur!ET44*VLOOKUP('Données projet'!$B$15,Paramètres!$A$1:$I$89,3,0)*0.475*44/12</f>
        <v>#N/A</v>
      </c>
      <c r="EX44" s="21" t="e">
        <f>EXP(-LN(2)/2)*EX43+(1-EXP(-LN(2)/2))/(LN(2)/2)*ER44*EU44*VLOOKUP('Données projet'!$B$15,Paramètres!$A$1:$I$89,3,0)*0.475*44/12</f>
        <v>#N/A</v>
      </c>
      <c r="EY44" s="22" t="e">
        <f t="shared" si="21"/>
        <v>#N/A</v>
      </c>
      <c r="EZ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45">
      <c r="A45" s="10">
        <f t="shared" si="31"/>
        <v>42</v>
      </c>
      <c r="B45" s="73">
        <f>'Scénario référence'!$B$16*5+'Scénario référence'!$B$17*0+'Scénario référence'!$B$18*5</f>
        <v>0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37.346400000000003</v>
      </c>
      <c r="D45" s="11">
        <f t="shared" si="32"/>
        <v>11.292524863342397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">
        <f>IF(OR('Scénario référence'!$F$8&gt;0,'Scénario référence'!$F$9&gt;0),('Scénario référence'!$F$8+'Scénario référence'!$F$9)*10,0)</f>
        <v>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375.45836736615183</v>
      </c>
      <c r="H45" s="67">
        <f t="shared" si="1"/>
        <v>341.37946080365469</v>
      </c>
      <c r="I45" s="7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 t="e">
        <f>VLOOKUP(A45,'Données projet'!$A$35:$I$55,2,0)</f>
        <v>#N/A</v>
      </c>
      <c r="L45" s="12" t="e">
        <f>VLOOKUP(A45,'Données projet'!$A$35:$I$55,9,0)</f>
        <v>#N/A</v>
      </c>
      <c r="M45" s="12">
        <f t="array" ref="M45">INDEX(L:L,MIN(IF(ISNUMBER(L45:L241),ROW(L45:L241),"")))</f>
        <v>14.286666666666665</v>
      </c>
      <c r="N45" s="13">
        <f>IF('Données projet'!$A$36&gt;35,N44+M45-V44,IF(A45&lt;'Données projet'!$A$36,$K$205^A45,IF(A45='Données projet'!$A$36,'Données projet'!$B$36,N44+M45-V44)))</f>
        <v>295.22333333333341</v>
      </c>
      <c r="O45" s="13">
        <f>N45*VLOOKUP('Données projet'!$B$9,Paramètres!$A$1:$I$89,3,0)*VLOOKUP('Données projet'!$B$9,Paramètres!$A$1:$I$89,5,0)</f>
        <v>165.02984333333336</v>
      </c>
      <c r="P45" s="13">
        <f t="shared" si="33"/>
        <v>41.974958818162669</v>
      </c>
      <c r="Q45" s="20">
        <f t="shared" si="53"/>
        <v>360.53336374718884</v>
      </c>
      <c r="R45" s="59">
        <f t="shared" si="0"/>
        <v>653.86669708052216</v>
      </c>
      <c r="S45" s="59">
        <f ca="1">AVERAGE(OFFSET($R$3,0,0,'Données projet'!$E$9+1,1))-AVERAGE(OFFSET($H$3,0,0,'Données projet'!$E$9+1,1))</f>
        <v>280.69347314340195</v>
      </c>
      <c r="T45" s="59">
        <f t="shared" si="34"/>
        <v>152.40533828556482</v>
      </c>
      <c r="U45" s="15">
        <f>IF(ISNA(VLOOKUP(A45,'Données projet'!$A$35:$I$55,3,0)),0,VLOOKUP(A45,'Données projet'!$A$35:$I$55,3,0))</f>
        <v>0</v>
      </c>
      <c r="V45" s="15">
        <f>IF(ISNA(VLOOKUP(A45,'Données projet'!$A$35:$I$55,4,0)),0,VLOOKUP(A45,'Données projet'!$A$35:$I$55,4,0))</f>
        <v>0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8.2245807610813646</v>
      </c>
      <c r="AA45" s="21">
        <f>EXP(-LN(2)/25)*AA44+(1-EXP(-LN(2)/25))/(LN(2)/25)*Calculateur!V45*Calculateur!X45*VLOOKUP('Données projet'!$B$9,Paramètres!$A$1:$I$89,3,0)*0.475*44/12</f>
        <v>11.379924592988731</v>
      </c>
      <c r="AB45" s="21">
        <f>EXP(-LN(2)/2)*AB44+(1-EXP(-LN(2)/2))/(LN(2)/2)*V45*Y45*VLOOKUP('Données projet'!$B$9,Paramètres!$A$1:$I$89,3,0)*0.475*44/12</f>
        <v>1.420655327273779</v>
      </c>
      <c r="AC45" s="22">
        <f t="shared" si="3"/>
        <v>21.025160681343873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>
        <f>VLOOKUP(A45,'Données projet'!$A$61:$I$81,2,0)</f>
        <v>255</v>
      </c>
      <c r="AG45" s="12">
        <f>VLOOKUP(A45,'Données projet'!$A$61:$I$81,9,0)</f>
        <v>11.5</v>
      </c>
      <c r="AH45" s="12">
        <f t="array" ref="AH45">INDEX(AG:AG,MIN(IF(ISNUMBER(AG45:AG241),ROW(AG45:AG241),"")))</f>
        <v>11.5</v>
      </c>
      <c r="AI45" s="13">
        <f>IF('Données projet'!$A$62&gt;35,AI44+AH45-AQ44,IF(A45&lt;'Données projet'!$A$62,$AF$205^A45,IF(A45='Données projet'!$A$62,'Données projet'!$B$62,AI44+AH45-AQ44)))</f>
        <v>255</v>
      </c>
      <c r="AJ45" s="13">
        <f>AI45*VLOOKUP('Données projet'!$B$10,Paramètres!$A$1:$I$89,3,0)*VLOOKUP('Données projet'!$B$10,Paramètres!$A$1:$I$89,5,0)</f>
        <v>159.12</v>
      </c>
      <c r="AK45" s="13">
        <f t="shared" si="35"/>
        <v>40.643965284387697</v>
      </c>
      <c r="AL45" s="20">
        <f t="shared" si="4"/>
        <v>347.92223953697521</v>
      </c>
      <c r="AM45" s="59">
        <f t="shared" si="5"/>
        <v>641.25557287030847</v>
      </c>
      <c r="AN45" s="59">
        <f ca="1">AVERAGE(OFFSET($AM$3,0,0,'Données projet'!$E$10+1,1))-AVERAGE(OFFSET($H$3,0,0,'Données projet'!$E$10+1,1))</f>
        <v>179.4725256147085</v>
      </c>
      <c r="AO45" s="59">
        <f t="shared" si="36"/>
        <v>282.16750121151176</v>
      </c>
      <c r="AP45" s="15">
        <f>IF(ISNA(VLOOKUP(A45,'Données projet'!$A$61:$I$81,3,0)),0,VLOOKUP(A45,'Données projet'!$A$61:$I$81,3,0))</f>
        <v>6</v>
      </c>
      <c r="AQ45" s="15">
        <f>IF(ISNA(VLOOKUP(A45,'Données projet'!$A$61:$I$81,4,0)),0,VLOOKUP(A45,'Données projet'!$A$61:$I$81,4,0))</f>
        <v>67</v>
      </c>
      <c r="AR45" s="16">
        <f>IF(ISNA(VLOOKUP(A45,'Données projet'!$A$61:$I$81,5,0)),0%,VLOOKUP(A45,'Données projet'!$A$61:$I$81,5,0)*VLOOKUP('Données projet'!$B$10,Paramètres!$A$1:$I$89,7,0))</f>
        <v>0.36</v>
      </c>
      <c r="AS45" s="16">
        <f>IF(ISNA(VLOOKUP(A45,'Données projet'!$A$61:$I$81,6,0)),0%,VLOOKUP(A45,'Données projet'!$A$61:$I$81,6,0)*VLOOKUP('Données projet'!$B$10,Paramètres!$A$1:$I$89,7,0))</f>
        <v>0.12</v>
      </c>
      <c r="AT45" s="16">
        <f>IF(ISNA(VLOOKUP(A45,'Données projet'!$A$61:$I$81,7,0)),0%,VLOOKUP(A45,'Données projet'!$A$61:$I$81,7,0))</f>
        <v>0.2</v>
      </c>
      <c r="AU45" s="21">
        <f>EXP(-LN(2)/35)*AU44+(1-EXP(-LN(2)/35))/(LN(2)/35)*AQ45*AR45*VLOOKUP('Données projet'!$B$10,Paramètres!$A$1:$I$89,3,0)*0.475*44/12</f>
        <v>55.020000356260127</v>
      </c>
      <c r="AV45" s="21">
        <f>EXP(-LN(2)/25)*AV44+(1-EXP(-LN(2)/25))/(LN(2)/25)*Calculateur!AQ45*Calculateur!AS45*VLOOKUP('Données projet'!$B$10,Paramètres!$A$1:$I$89,3,0)*0.475*44/12</f>
        <v>23.346328961734141</v>
      </c>
      <c r="AW45" s="21">
        <f>EXP(-LN(2)/2)*AW44+(1-EXP(-LN(2)/2))/(LN(2)/2)*AQ45*AT45*VLOOKUP('Données projet'!$B$10,Paramètres!$A$1:$I$89,3,0)*0.475*44/12</f>
        <v>10.700722532598377</v>
      </c>
      <c r="AX45" s="21">
        <f t="shared" si="6"/>
        <v>89.067051850592648</v>
      </c>
      <c r="AY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5.3214035087719296</v>
      </c>
      <c r="BD45" s="12">
        <f>IF('Données projet'!$A$88&gt;35,BD44+BC45-BL44,IF(A45&lt;'Données projet'!$A$88,$BA$205^A45,IF(A45='Données projet'!$A$88,'Données projet'!$B$88,BD44+BC45-BL44)))</f>
        <v>223.49894736842126</v>
      </c>
      <c r="BE45" s="13">
        <f>BD45*VLOOKUP('Données projet'!$B$11,Paramètres!$A$1:$I$89,3,0)*VLOOKUP('Données projet'!$B$11,Paramètres!$A$1:$I$89,5,0)</f>
        <v>191.76209684210545</v>
      </c>
      <c r="BF45" s="13">
        <f t="shared" si="37"/>
        <v>47.929317890524842</v>
      </c>
      <c r="BG45" s="20">
        <f t="shared" si="7"/>
        <v>417.46254732599772</v>
      </c>
      <c r="BH45" s="59">
        <f t="shared" si="8"/>
        <v>710.79588065933103</v>
      </c>
      <c r="BI45" s="59">
        <f ca="1">AVERAGE(OFFSET($BH$3,0,0,'Données projet'!$E$11+1,1))-AVERAGE(OFFSET($H$3,0,0,'Données projet'!$E$11+1,1))</f>
        <v>312.89478437044261</v>
      </c>
      <c r="BJ45" s="59">
        <f t="shared" si="38"/>
        <v>276.16555507854571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>
        <f>EXP(-LN(2)/35)*BP44+(1-EXP(-LN(2)/35))/(LN(2)/35)*BL45*BM45*VLOOKUP('Données projet'!$B$11,Paramètres!$A$1:$I$89,3,0)*0.475*44/12</f>
        <v>0</v>
      </c>
      <c r="BQ45" s="21">
        <f>EXP(-LN(2)/25)*BQ44+(1-EXP(-LN(2)/25))/(LN(2)/25)*Calculateur!BL45*Calculateur!BN45*VLOOKUP('Données projet'!$B$11,Paramètres!$A$1:$I$89,3,0)*0.475*44/12</f>
        <v>0</v>
      </c>
      <c r="BR45" s="21">
        <f>EXP(-LN(2)/2)*BR44+(1-EXP(-LN(2)/2))/(LN(2)/2)*BL45*BO45*VLOOKUP('Données projet'!$B$11,Paramètres!$A$1:$I$89,3,0)*0.475*44/12</f>
        <v>0</v>
      </c>
      <c r="BS45" s="22">
        <f t="shared" si="9"/>
        <v>0</v>
      </c>
      <c r="BT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0</v>
      </c>
      <c r="BY45" s="12">
        <f>IF('Données projet'!$A$114&gt;35,BY44+BX45-CG44,IF(A45&lt;'Données projet'!$A$114,$BV$205^A45,IF(A45='Données projet'!$A$114,'Données projet'!$B$114,BY44+BX45-CG44)))</f>
        <v>0</v>
      </c>
      <c r="BZ45" s="13" t="e">
        <f>BY45*VLOOKUP('Données projet'!$B$12,Paramètres!$A$1:$I$89,3,0)*VLOOKUP('Données projet'!$B$12,Paramètres!$A$1:$I$89,5,0)</f>
        <v>#N/A</v>
      </c>
      <c r="CA45" s="13" t="e">
        <f t="shared" si="39"/>
        <v>#N/A</v>
      </c>
      <c r="CB45" s="20" t="e">
        <f t="shared" si="10"/>
        <v>#N/A</v>
      </c>
      <c r="CC45" s="59" t="e">
        <f t="shared" si="11"/>
        <v>#N/A</v>
      </c>
      <c r="CD45" s="59" t="e">
        <f ca="1">AVERAGE(OFFSET($CC$3,0,0,'Données projet'!$E$12+1,1))-AVERAGE(OFFSET($H$3,0,0,'Données projet'!$E$12+1,1))</f>
        <v>#N/A</v>
      </c>
      <c r="CE45" s="59" t="e">
        <f t="shared" si="40"/>
        <v>#N/A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 t="e">
        <f>EXP(-LN(2)/35)*CK44+(1-EXP(-LN(2)/35))/(LN(2)/35)*CG45*CH45*VLOOKUP('Données projet'!$B$12,Paramètres!$A$1:$I$89,3,0)*0.475*44/12</f>
        <v>#N/A</v>
      </c>
      <c r="CL45" s="21" t="e">
        <f>EXP(-LN(2)/25)*CL44+(1-EXP(-LN(2)/25))/(LN(2)/25)*Calculateur!CG45*Calculateur!CI45*VLOOKUP('Données projet'!$B$12,Paramètres!$A$1:$I$89,3,0)*0.475*44/12</f>
        <v>#N/A</v>
      </c>
      <c r="CM45" s="21" t="e">
        <f>EXP(-LN(2)/2)*CM44+(1-EXP(-LN(2)/2))/(LN(2)/2)*CG45*CJ45*VLOOKUP('Données projet'!$B$12,Paramètres!$A$1:$I$89,3,0)*0.475*44/12</f>
        <v>#N/A</v>
      </c>
      <c r="CN45" s="22" t="e">
        <f t="shared" si="12"/>
        <v>#N/A</v>
      </c>
      <c r="CO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0</v>
      </c>
      <c r="CT45" s="12">
        <f>IF('Données projet'!$A$140&gt;35,CT44+CS45-DB44,IF(A45&lt;'Données projet'!$A$140,$CQ$205^A45,IF(A45='Données projet'!$A$140,'Données projet'!$B$140,CT44+CS45-DB44)))</f>
        <v>0</v>
      </c>
      <c r="CU45" s="17" t="e">
        <f>CT45*VLOOKUP('Données projet'!$B$13,Paramètres!$A$1:$I$89,3,0)*VLOOKUP('Données projet'!$B$13,Paramètres!$A$1:$I$89,5,0)</f>
        <v>#N/A</v>
      </c>
      <c r="CV45" s="13" t="e">
        <f t="shared" si="41"/>
        <v>#N/A</v>
      </c>
      <c r="CW45" s="20" t="e">
        <f t="shared" si="13"/>
        <v>#N/A</v>
      </c>
      <c r="CX45" s="59" t="e">
        <f t="shared" si="14"/>
        <v>#N/A</v>
      </c>
      <c r="CY45" s="59" t="e">
        <f ca="1">AVERAGE(OFFSET($CX$3,0,0,'Données projet'!$E$13+1,1))-AVERAGE(OFFSET($H$3,0,0,'Données projet'!$E$13+1,1))</f>
        <v>#N/A</v>
      </c>
      <c r="CZ45" s="59" t="e">
        <f t="shared" si="42"/>
        <v>#N/A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 t="e">
        <f>EXP(-LN(2)/35)*DF44+(1-EXP(-LN(2)/35))/(LN(2)/35)*DB45*DC45*VLOOKUP('Données projet'!$B$13,Paramètres!$A$1:$I$89,3,0)*0.475*44/12</f>
        <v>#N/A</v>
      </c>
      <c r="DG45" s="21" t="e">
        <f>EXP(-LN(2)/25)*DG44+(1-EXP(-LN(2)/25))/(LN(2)/25)*Calculateur!DB45*Calculateur!DD45*VLOOKUP('Données projet'!$B$13,Paramètres!$A$1:$I$89,3,0)*0.475*44/12</f>
        <v>#N/A</v>
      </c>
      <c r="DH45" s="21" t="e">
        <f>EXP(-LN(2)/2)*DH44+(1-EXP(-LN(2)/2))/(LN(2)/2)*DB45*DE45*VLOOKUP('Données projet'!$B$13,Paramètres!$A$1:$I$89,3,0)*0.475*44/12</f>
        <v>#N/A</v>
      </c>
      <c r="DI45" s="22" t="e">
        <f t="shared" si="15"/>
        <v>#N/A</v>
      </c>
      <c r="DJ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0</v>
      </c>
      <c r="DO45" s="12">
        <f>IF('Données projet'!$A$166&gt;35,DO44+DN45-DW44,IF(A45&lt;'Données projet'!$A$166,$DL$205^A45,IF(A45='Données projet'!$A$166,'Données projet'!$B$166,DO44+DN45-DW44)))</f>
        <v>0</v>
      </c>
      <c r="DP45" s="17" t="e">
        <f>DO45*VLOOKUP('Données projet'!$B$14,Paramètres!$A$1:$I$89,3,0)*VLOOKUP('Données projet'!$B$14,Paramètres!$A$1:$I$89,5,0)</f>
        <v>#N/A</v>
      </c>
      <c r="DQ45" s="13" t="e">
        <f t="shared" si="43"/>
        <v>#N/A</v>
      </c>
      <c r="DR45" s="20" t="e">
        <f t="shared" si="16"/>
        <v>#N/A</v>
      </c>
      <c r="DS45" s="59" t="e">
        <f t="shared" si="17"/>
        <v>#N/A</v>
      </c>
      <c r="DT45" s="59" t="e">
        <f ca="1">AVERAGE(OFFSET($DS$3,0,0,'Données projet'!$E$14+1,1))-AVERAGE(OFFSET($H$3,0,0,'Données projet'!$E$14+1,1))</f>
        <v>#N/A</v>
      </c>
      <c r="DU45" s="59" t="e">
        <f t="shared" si="44"/>
        <v>#N/A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 t="e">
        <f>EXP(-LN(2)/35)*EA44+(1-EXP(-LN(2)/35))/(LN(2)/35)*DW45*DX45*VLOOKUP('Données projet'!$B$14,Paramètres!$A$1:$I$89,3,0)*0.475*44/12</f>
        <v>#N/A</v>
      </c>
      <c r="EB45" s="21" t="e">
        <f>EXP(-LN(2)/25)*EB44+(1-EXP(-LN(2)/25))/(LN(2)/25)*Calculateur!DW45*Calculateur!DY45*VLOOKUP('Données projet'!$B$14,Paramètres!$A$1:$I$89,3,0)*0.475*44/12</f>
        <v>#N/A</v>
      </c>
      <c r="EC45" s="21" t="e">
        <f>EXP(-LN(2)/2)*EC44+(1-EXP(-LN(2)/2))/(LN(2)/2)*DW45*DZ45*VLOOKUP('Données projet'!$B$14,Paramètres!$A$1:$I$89,3,0)*0.475*44/12</f>
        <v>#N/A</v>
      </c>
      <c r="ED45" s="22" t="e">
        <f t="shared" si="18"/>
        <v>#N/A</v>
      </c>
      <c r="EE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0</v>
      </c>
      <c r="EJ45" s="12">
        <f>IF('Données projet'!$A$192&gt;35,EJ44+EI45-ER44,IF(A45&lt;'Données projet'!$A$192,$EG$205^A45,IF(A45='Données projet'!$A$192,'Données projet'!$B$192,EJ44+EI45-ER44)))</f>
        <v>0</v>
      </c>
      <c r="EK45" s="17" t="e">
        <f>EJ45*VLOOKUP('Données projet'!$B$15,Paramètres!$A$1:$I$89,3,0)*VLOOKUP('Données projet'!$B$15,Paramètres!$A$1:$I$89,5,0)</f>
        <v>#N/A</v>
      </c>
      <c r="EL45" s="13" t="e">
        <f t="shared" si="45"/>
        <v>#N/A</v>
      </c>
      <c r="EM45" s="20" t="e">
        <f t="shared" si="19"/>
        <v>#N/A</v>
      </c>
      <c r="EN45" s="59" t="e">
        <f t="shared" si="20"/>
        <v>#N/A</v>
      </c>
      <c r="EO45" s="59" t="e">
        <f ca="1">AVERAGE(OFFSET($EN$3,0,0,'Données projet'!$E$15+1,1))-AVERAGE(OFFSET($H$3,0,0,'Données projet'!$E$15+1,1))</f>
        <v>#N/A</v>
      </c>
      <c r="EP45" s="59" t="e">
        <f t="shared" si="46"/>
        <v>#N/A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 t="e">
        <f>EXP(-LN(2)/35)*EV44+(1-EXP(-LN(2)/35))/(LN(2)/35)*ER45*ES45*VLOOKUP('Données projet'!$B$15,Paramètres!$A$1:$I$89,3,0)*0.475*44/12</f>
        <v>#N/A</v>
      </c>
      <c r="EW45" s="21" t="e">
        <f>EXP(-LN(2)/25)*EW44+(1-EXP(-LN(2)/25))/(LN(2)/25)*Calculateur!ER45*Calculateur!ET45*VLOOKUP('Données projet'!$B$15,Paramètres!$A$1:$I$89,3,0)*0.475*44/12</f>
        <v>#N/A</v>
      </c>
      <c r="EX45" s="21" t="e">
        <f>EXP(-LN(2)/2)*EX44+(1-EXP(-LN(2)/2))/(LN(2)/2)*ER45*EU45*VLOOKUP('Données projet'!$B$15,Paramètres!$A$1:$I$89,3,0)*0.475*44/12</f>
        <v>#N/A</v>
      </c>
      <c r="EY45" s="22" t="e">
        <f t="shared" si="21"/>
        <v>#N/A</v>
      </c>
      <c r="EZ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45">
      <c r="A46" s="10">
        <f t="shared" si="31"/>
        <v>43</v>
      </c>
      <c r="B46" s="73">
        <f>'Scénario référence'!$B$16*5+'Scénario référence'!$B$17*0+'Scénario référence'!$B$18*5</f>
        <v>0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38.235600000000005</v>
      </c>
      <c r="D46" s="11">
        <f t="shared" si="32"/>
        <v>11.529771748983352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">
        <f>IF(OR('Scénario référence'!$F$8&gt;0,'Scénario référence'!$F$9&gt;0),('Scénario référence'!$F$8+'Scénario référence'!$F$9)*10,0)</f>
        <v>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384.15374683425745</v>
      </c>
      <c r="H46" s="67">
        <f t="shared" si="1"/>
        <v>343.34135579614605</v>
      </c>
      <c r="I46" s="7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>
        <f>VLOOKUP(A46,'Données projet'!$A$35:$I$55,2,0)</f>
        <v>309.51</v>
      </c>
      <c r="L46" s="12">
        <f>VLOOKUP(A46,'Données projet'!$A$35:$I$55,9,0)</f>
        <v>14.286666666666665</v>
      </c>
      <c r="M46" s="12">
        <f t="array" ref="M46">INDEX(L:L,MIN(IF(ISNUMBER(L46:L242),ROW(L46:L242),"")))</f>
        <v>14.286666666666665</v>
      </c>
      <c r="N46" s="13">
        <f>IF('Données projet'!$A$36&gt;35,N45+M46-V45,IF(A46&lt;'Données projet'!$A$36,$K$205^A46,IF(A46='Données projet'!$A$36,'Données projet'!$B$36,N45+M46-V45)))</f>
        <v>309.5100000000001</v>
      </c>
      <c r="O46" s="13">
        <f>N46*VLOOKUP('Données projet'!$B$9,Paramètres!$A$1:$I$89,3,0)*VLOOKUP('Données projet'!$B$9,Paramètres!$A$1:$I$89,5,0)</f>
        <v>173.01609000000005</v>
      </c>
      <c r="P46" s="13">
        <f t="shared" si="33"/>
        <v>43.764834472329383</v>
      </c>
      <c r="Q46" s="20">
        <f t="shared" si="53"/>
        <v>377.56011012264042</v>
      </c>
      <c r="R46" s="59">
        <f t="shared" si="0"/>
        <v>670.89344345597374</v>
      </c>
      <c r="S46" s="59">
        <f ca="1">AVERAGE(OFFSET($R$3,0,0,'Données projet'!$E$9+1,1))-AVERAGE(OFFSET($H$3,0,0,'Données projet'!$E$9+1,1))</f>
        <v>280.69347314340195</v>
      </c>
      <c r="T46" s="59">
        <f t="shared" si="34"/>
        <v>152.40533828556482</v>
      </c>
      <c r="U46" s="15">
        <f>IF(ISNA(VLOOKUP(A46,'Données projet'!$A$35:$I$55,3,0)),0,VLOOKUP(A46,'Données projet'!$A$35:$I$55,3,0))</f>
        <v>2</v>
      </c>
      <c r="V46" s="15">
        <f>IF(ISNA(VLOOKUP(A46,'Données projet'!$A$35:$I$55,4,0)),0,VLOOKUP(A46,'Données projet'!$A$35:$I$55,4,0))</f>
        <v>72.429999999999978</v>
      </c>
      <c r="W46" s="16">
        <f>IF(ISNA(VLOOKUP(A46,'Données projet'!$A$35:$I$55,5,0)),0%,VLOOKUP(A46,'Données projet'!$A$35:$I$55,5,0)*VLOOKUP('Données projet'!$B$9,Paramètres!$A$1:$I$89,7,0))</f>
        <v>0.13750000000000001</v>
      </c>
      <c r="X46" s="16">
        <f>IF(ISNA(VLOOKUP(A46,'Données projet'!$A$35:$I$55,6,0)),0%,VLOOKUP(A46,'Données projet'!$A$35:$I$55,6,0)*VLOOKUP('Données projet'!$B$9,Paramètres!$A$1:$I$89,7,0))</f>
        <v>0.20350000000000001</v>
      </c>
      <c r="Y46" s="16">
        <f>IF(ISNA(VLOOKUP(A46,'Données projet'!$A$35:$I$55,7,0)),0%,VLOOKUP(A46,'Données projet'!$A$35:$I$55,7,0))</f>
        <v>0.38</v>
      </c>
      <c r="Z46" s="21">
        <f>EXP(-LN(2)/35)*Z45+(1-EXP(-LN(2)/35))/(LN(2)/35)*V46*W46*VLOOKUP('Données projet'!$B$9,Paramètres!$A$1:$I$89,3,0)*0.475*44/12</f>
        <v>15.448486217699617</v>
      </c>
      <c r="AA46" s="21">
        <f>EXP(-LN(2)/25)*AA45+(1-EXP(-LN(2)/25))/(LN(2)/25)*Calculateur!V46*Calculateur!X46*VLOOKUP('Données projet'!$B$9,Paramètres!$A$1:$I$89,3,0)*0.475*44/12</f>
        <v>21.955777108298538</v>
      </c>
      <c r="AB46" s="21">
        <f>EXP(-LN(2)/2)*AB45+(1-EXP(-LN(2)/2))/(LN(2)/2)*V46*Y46*VLOOKUP('Données projet'!$B$9,Paramètres!$A$1:$I$89,3,0)*0.475*44/12</f>
        <v>18.424606287160699</v>
      </c>
      <c r="AC46" s="22">
        <f t="shared" si="3"/>
        <v>55.828869613158858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10.666666666666666</v>
      </c>
      <c r="AI46" s="13">
        <f>IF('Données projet'!$A$62&gt;35,AI45+AH46-AQ45,IF(A46&lt;'Données projet'!$A$62,$AF$205^A46,IF(A46='Données projet'!$A$62,'Données projet'!$B$62,AI45+AH46-AQ45)))</f>
        <v>198.66666666666669</v>
      </c>
      <c r="AJ46" s="13">
        <f>AI46*VLOOKUP('Données projet'!$B$10,Paramètres!$A$1:$I$89,3,0)*VLOOKUP('Données projet'!$B$10,Paramètres!$A$1:$I$89,5,0)</f>
        <v>123.968</v>
      </c>
      <c r="AK46" s="13">
        <f t="shared" si="35"/>
        <v>32.598710622532096</v>
      </c>
      <c r="AL46" s="20">
        <f t="shared" si="4"/>
        <v>272.68702100091008</v>
      </c>
      <c r="AM46" s="59">
        <f t="shared" si="5"/>
        <v>566.02035433424339</v>
      </c>
      <c r="AN46" s="59">
        <f ca="1">AVERAGE(OFFSET($AM$3,0,0,'Données projet'!$E$10+1,1))-AVERAGE(OFFSET($H$3,0,0,'Données projet'!$E$10+1,1))</f>
        <v>179.4725256147085</v>
      </c>
      <c r="AO46" s="59">
        <f t="shared" si="36"/>
        <v>282.16750121151176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53.941091708160421</v>
      </c>
      <c r="AV46" s="21">
        <f>EXP(-LN(2)/25)*AV45+(1-EXP(-LN(2)/25))/(LN(2)/25)*Calculateur!AQ46*Calculateur!AS46*VLOOKUP('Données projet'!$B$10,Paramètres!$A$1:$I$89,3,0)*0.475*44/12</f>
        <v>22.707922368545439</v>
      </c>
      <c r="AW46" s="21">
        <f>EXP(-LN(2)/2)*AW45+(1-EXP(-LN(2)/2))/(LN(2)/2)*AQ46*AT46*VLOOKUP('Données projet'!$B$10,Paramètres!$A$1:$I$89,3,0)*0.475*44/12</f>
        <v>7.5665534663959999</v>
      </c>
      <c r="AX46" s="21">
        <f t="shared" si="6"/>
        <v>84.215567543101869</v>
      </c>
      <c r="AY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5.3214035087719296</v>
      </c>
      <c r="BD46" s="12">
        <f>IF('Données projet'!$A$88&gt;35,BD45+BC46-BL45,IF(A46&lt;'Données projet'!$A$88,$BA$205^A46,IF(A46='Données projet'!$A$88,'Données projet'!$B$88,BD45+BC46-BL45)))</f>
        <v>228.82035087719319</v>
      </c>
      <c r="BE46" s="13">
        <f>BD46*VLOOKUP('Données projet'!$B$11,Paramètres!$A$1:$I$89,3,0)*VLOOKUP('Données projet'!$B$11,Paramètres!$A$1:$I$89,5,0)</f>
        <v>196.32786105263179</v>
      </c>
      <c r="BF46" s="13">
        <f t="shared" si="37"/>
        <v>48.936274398305876</v>
      </c>
      <c r="BG46" s="20">
        <f t="shared" si="7"/>
        <v>427.16836924371643</v>
      </c>
      <c r="BH46" s="59">
        <f t="shared" si="8"/>
        <v>720.50170257704974</v>
      </c>
      <c r="BI46" s="59">
        <f ca="1">AVERAGE(OFFSET($BH$3,0,0,'Données projet'!$E$11+1,1))-AVERAGE(OFFSET($H$3,0,0,'Données projet'!$E$11+1,1))</f>
        <v>312.89478437044261</v>
      </c>
      <c r="BJ46" s="59">
        <f t="shared" si="38"/>
        <v>276.16555507854571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>
        <f>EXP(-LN(2)/35)*BP45+(1-EXP(-LN(2)/35))/(LN(2)/35)*BL46*BM46*VLOOKUP('Données projet'!$B$11,Paramètres!$A$1:$I$89,3,0)*0.475*44/12</f>
        <v>0</v>
      </c>
      <c r="BQ46" s="21">
        <f>EXP(-LN(2)/25)*BQ45+(1-EXP(-LN(2)/25))/(LN(2)/25)*Calculateur!BL46*Calculateur!BN46*VLOOKUP('Données projet'!$B$11,Paramètres!$A$1:$I$89,3,0)*0.475*44/12</f>
        <v>0</v>
      </c>
      <c r="BR46" s="21">
        <f>EXP(-LN(2)/2)*BR45+(1-EXP(-LN(2)/2))/(LN(2)/2)*BL46*BO46*VLOOKUP('Données projet'!$B$11,Paramètres!$A$1:$I$89,3,0)*0.475*44/12</f>
        <v>0</v>
      </c>
      <c r="BS46" s="22">
        <f t="shared" si="9"/>
        <v>0</v>
      </c>
      <c r="BT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0</v>
      </c>
      <c r="BY46" s="12">
        <f>IF('Données projet'!$A$114&gt;35,BY45+BX46-CG45,IF(A46&lt;'Données projet'!$A$114,$BV$205^A46,IF(A46='Données projet'!$A$114,'Données projet'!$B$114,BY45+BX46-CG45)))</f>
        <v>0</v>
      </c>
      <c r="BZ46" s="13" t="e">
        <f>BY46*VLOOKUP('Données projet'!$B$12,Paramètres!$A$1:$I$89,3,0)*VLOOKUP('Données projet'!$B$12,Paramètres!$A$1:$I$89,5,0)</f>
        <v>#N/A</v>
      </c>
      <c r="CA46" s="13" t="e">
        <f t="shared" si="39"/>
        <v>#N/A</v>
      </c>
      <c r="CB46" s="20" t="e">
        <f t="shared" si="10"/>
        <v>#N/A</v>
      </c>
      <c r="CC46" s="59" t="e">
        <f t="shared" si="11"/>
        <v>#N/A</v>
      </c>
      <c r="CD46" s="59" t="e">
        <f ca="1">AVERAGE(OFFSET($CC$3,0,0,'Données projet'!$E$12+1,1))-AVERAGE(OFFSET($H$3,0,0,'Données projet'!$E$12+1,1))</f>
        <v>#N/A</v>
      </c>
      <c r="CE46" s="59" t="e">
        <f t="shared" si="40"/>
        <v>#N/A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 t="e">
        <f>EXP(-LN(2)/35)*CK45+(1-EXP(-LN(2)/35))/(LN(2)/35)*CG46*CH46*VLOOKUP('Données projet'!$B$12,Paramètres!$A$1:$I$89,3,0)*0.475*44/12</f>
        <v>#N/A</v>
      </c>
      <c r="CL46" s="21" t="e">
        <f>EXP(-LN(2)/25)*CL45+(1-EXP(-LN(2)/25))/(LN(2)/25)*Calculateur!CG46*Calculateur!CI46*VLOOKUP('Données projet'!$B$12,Paramètres!$A$1:$I$89,3,0)*0.475*44/12</f>
        <v>#N/A</v>
      </c>
      <c r="CM46" s="21" t="e">
        <f>EXP(-LN(2)/2)*CM45+(1-EXP(-LN(2)/2))/(LN(2)/2)*CG46*CJ46*VLOOKUP('Données projet'!$B$12,Paramètres!$A$1:$I$89,3,0)*0.475*44/12</f>
        <v>#N/A</v>
      </c>
      <c r="CN46" s="22" t="e">
        <f t="shared" si="12"/>
        <v>#N/A</v>
      </c>
      <c r="CO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0</v>
      </c>
      <c r="CT46" s="12">
        <f>IF('Données projet'!$A$140&gt;35,CT45+CS46-DB45,IF(A46&lt;'Données projet'!$A$140,$CQ$205^A46,IF(A46='Données projet'!$A$140,'Données projet'!$B$140,CT45+CS46-DB45)))</f>
        <v>0</v>
      </c>
      <c r="CU46" s="17" t="e">
        <f>CT46*VLOOKUP('Données projet'!$B$13,Paramètres!$A$1:$I$89,3,0)*VLOOKUP('Données projet'!$B$13,Paramètres!$A$1:$I$89,5,0)</f>
        <v>#N/A</v>
      </c>
      <c r="CV46" s="13" t="e">
        <f t="shared" si="41"/>
        <v>#N/A</v>
      </c>
      <c r="CW46" s="20" t="e">
        <f t="shared" si="13"/>
        <v>#N/A</v>
      </c>
      <c r="CX46" s="59" t="e">
        <f t="shared" si="14"/>
        <v>#N/A</v>
      </c>
      <c r="CY46" s="59" t="e">
        <f ca="1">AVERAGE(OFFSET($CX$3,0,0,'Données projet'!$E$13+1,1))-AVERAGE(OFFSET($H$3,0,0,'Données projet'!$E$13+1,1))</f>
        <v>#N/A</v>
      </c>
      <c r="CZ46" s="59" t="e">
        <f t="shared" si="42"/>
        <v>#N/A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 t="e">
        <f>EXP(-LN(2)/35)*DF45+(1-EXP(-LN(2)/35))/(LN(2)/35)*DB46*DC46*VLOOKUP('Données projet'!$B$13,Paramètres!$A$1:$I$89,3,0)*0.475*44/12</f>
        <v>#N/A</v>
      </c>
      <c r="DG46" s="21" t="e">
        <f>EXP(-LN(2)/25)*DG45+(1-EXP(-LN(2)/25))/(LN(2)/25)*Calculateur!DB46*Calculateur!DD46*VLOOKUP('Données projet'!$B$13,Paramètres!$A$1:$I$89,3,0)*0.475*44/12</f>
        <v>#N/A</v>
      </c>
      <c r="DH46" s="21" t="e">
        <f>EXP(-LN(2)/2)*DH45+(1-EXP(-LN(2)/2))/(LN(2)/2)*DB46*DE46*VLOOKUP('Données projet'!$B$13,Paramètres!$A$1:$I$89,3,0)*0.475*44/12</f>
        <v>#N/A</v>
      </c>
      <c r="DI46" s="22" t="e">
        <f t="shared" si="15"/>
        <v>#N/A</v>
      </c>
      <c r="DJ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0</v>
      </c>
      <c r="DO46" s="12">
        <f>IF('Données projet'!$A$166&gt;35,DO45+DN46-DW45,IF(A46&lt;'Données projet'!$A$166,$DL$205^A46,IF(A46='Données projet'!$A$166,'Données projet'!$B$166,DO45+DN46-DW45)))</f>
        <v>0</v>
      </c>
      <c r="DP46" s="17" t="e">
        <f>DO46*VLOOKUP('Données projet'!$B$14,Paramètres!$A$1:$I$89,3,0)*VLOOKUP('Données projet'!$B$14,Paramètres!$A$1:$I$89,5,0)</f>
        <v>#N/A</v>
      </c>
      <c r="DQ46" s="13" t="e">
        <f t="shared" si="43"/>
        <v>#N/A</v>
      </c>
      <c r="DR46" s="20" t="e">
        <f t="shared" si="16"/>
        <v>#N/A</v>
      </c>
      <c r="DS46" s="59" t="e">
        <f t="shared" si="17"/>
        <v>#N/A</v>
      </c>
      <c r="DT46" s="59" t="e">
        <f ca="1">AVERAGE(OFFSET($DS$3,0,0,'Données projet'!$E$14+1,1))-AVERAGE(OFFSET($H$3,0,0,'Données projet'!$E$14+1,1))</f>
        <v>#N/A</v>
      </c>
      <c r="DU46" s="59" t="e">
        <f t="shared" si="44"/>
        <v>#N/A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 t="e">
        <f>EXP(-LN(2)/35)*EA45+(1-EXP(-LN(2)/35))/(LN(2)/35)*DW46*DX46*VLOOKUP('Données projet'!$B$14,Paramètres!$A$1:$I$89,3,0)*0.475*44/12</f>
        <v>#N/A</v>
      </c>
      <c r="EB46" s="21" t="e">
        <f>EXP(-LN(2)/25)*EB45+(1-EXP(-LN(2)/25))/(LN(2)/25)*Calculateur!DW46*Calculateur!DY46*VLOOKUP('Données projet'!$B$14,Paramètres!$A$1:$I$89,3,0)*0.475*44/12</f>
        <v>#N/A</v>
      </c>
      <c r="EC46" s="21" t="e">
        <f>EXP(-LN(2)/2)*EC45+(1-EXP(-LN(2)/2))/(LN(2)/2)*DW46*DZ46*VLOOKUP('Données projet'!$B$14,Paramètres!$A$1:$I$89,3,0)*0.475*44/12</f>
        <v>#N/A</v>
      </c>
      <c r="ED46" s="22" t="e">
        <f t="shared" si="18"/>
        <v>#N/A</v>
      </c>
      <c r="EE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0</v>
      </c>
      <c r="EJ46" s="12">
        <f>IF('Données projet'!$A$192&gt;35,EJ45+EI46-ER45,IF(A46&lt;'Données projet'!$A$192,$EG$205^A46,IF(A46='Données projet'!$A$192,'Données projet'!$B$192,EJ45+EI46-ER45)))</f>
        <v>0</v>
      </c>
      <c r="EK46" s="17" t="e">
        <f>EJ46*VLOOKUP('Données projet'!$B$15,Paramètres!$A$1:$I$89,3,0)*VLOOKUP('Données projet'!$B$15,Paramètres!$A$1:$I$89,5,0)</f>
        <v>#N/A</v>
      </c>
      <c r="EL46" s="13" t="e">
        <f t="shared" si="45"/>
        <v>#N/A</v>
      </c>
      <c r="EM46" s="20" t="e">
        <f t="shared" si="19"/>
        <v>#N/A</v>
      </c>
      <c r="EN46" s="59" t="e">
        <f t="shared" si="20"/>
        <v>#N/A</v>
      </c>
      <c r="EO46" s="59" t="e">
        <f ca="1">AVERAGE(OFFSET($EN$3,0,0,'Données projet'!$E$15+1,1))-AVERAGE(OFFSET($H$3,0,0,'Données projet'!$E$15+1,1))</f>
        <v>#N/A</v>
      </c>
      <c r="EP46" s="59" t="e">
        <f t="shared" si="46"/>
        <v>#N/A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 t="e">
        <f>EXP(-LN(2)/35)*EV45+(1-EXP(-LN(2)/35))/(LN(2)/35)*ER46*ES46*VLOOKUP('Données projet'!$B$15,Paramètres!$A$1:$I$89,3,0)*0.475*44/12</f>
        <v>#N/A</v>
      </c>
      <c r="EW46" s="21" t="e">
        <f>EXP(-LN(2)/25)*EW45+(1-EXP(-LN(2)/25))/(LN(2)/25)*Calculateur!ER46*Calculateur!ET46*VLOOKUP('Données projet'!$B$15,Paramètres!$A$1:$I$89,3,0)*0.475*44/12</f>
        <v>#N/A</v>
      </c>
      <c r="EX46" s="21" t="e">
        <f>EXP(-LN(2)/2)*EX45+(1-EXP(-LN(2)/2))/(LN(2)/2)*ER46*EU46*VLOOKUP('Données projet'!$B$15,Paramètres!$A$1:$I$89,3,0)*0.475*44/12</f>
        <v>#N/A</v>
      </c>
      <c r="EY46" s="22" t="e">
        <f t="shared" si="21"/>
        <v>#N/A</v>
      </c>
      <c r="EZ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45">
      <c r="A47" s="10">
        <f t="shared" si="31"/>
        <v>44</v>
      </c>
      <c r="B47" s="73">
        <f>'Scénario référence'!$B$16*5+'Scénario référence'!$B$17*0+'Scénario référence'!$B$18*5</f>
        <v>0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39.124800000000008</v>
      </c>
      <c r="D47" s="11">
        <f t="shared" si="32"/>
        <v>11.766377220171686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">
        <f>IF(OR('Scénario référence'!$F$8&gt;0,'Scénario référence'!$F$9&gt;0),('Scénario référence'!$F$8+'Scénario référence'!$F$9)*10,0)</f>
        <v>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392.84417503290433</v>
      </c>
      <c r="H47" s="67">
        <f t="shared" si="1"/>
        <v>345.30213365846572</v>
      </c>
      <c r="I47" s="7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13.08111111111111</v>
      </c>
      <c r="N47" s="13">
        <f>IF('Données projet'!$A$36&gt;35,N46+M47-V46,IF(A47&lt;'Données projet'!$A$36,$K$205^A47,IF(A47='Données projet'!$A$36,'Données projet'!$B$36,N46+M47-V46)))</f>
        <v>250.16111111111124</v>
      </c>
      <c r="O47" s="13">
        <f>N47*VLOOKUP('Données projet'!$B$9,Paramètres!$A$1:$I$89,3,0)*VLOOKUP('Données projet'!$B$9,Paramètres!$A$1:$I$89,5,0)</f>
        <v>139.84006111111117</v>
      </c>
      <c r="P47" s="13">
        <f t="shared" si="33"/>
        <v>36.260363304326724</v>
      </c>
      <c r="Q47" s="20">
        <f t="shared" si="53"/>
        <v>306.70823919022098</v>
      </c>
      <c r="R47" s="59">
        <f t="shared" si="0"/>
        <v>600.04157252355435</v>
      </c>
      <c r="S47" s="59">
        <f ca="1">AVERAGE(OFFSET($R$3,0,0,'Données projet'!$E$9+1,1))-AVERAGE(OFFSET($H$3,0,0,'Données projet'!$E$9+1,1))</f>
        <v>280.69347314340195</v>
      </c>
      <c r="T47" s="59">
        <f t="shared" si="34"/>
        <v>152.40533828556482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15.145550825616711</v>
      </c>
      <c r="AA47" s="21">
        <f>EXP(-LN(2)/25)*AA46+(1-EXP(-LN(2)/25))/(LN(2)/25)*Calculateur!V47*Calculateur!X47*VLOOKUP('Données projet'!$B$9,Paramètres!$A$1:$I$89,3,0)*0.475*44/12</f>
        <v>21.355395228667977</v>
      </c>
      <c r="AB47" s="21">
        <f>EXP(-LN(2)/2)*AB46+(1-EXP(-LN(2)/2))/(LN(2)/2)*V47*Y47*VLOOKUP('Données projet'!$B$9,Paramètres!$A$1:$I$89,3,0)*0.475*44/12</f>
        <v>13.02816404634363</v>
      </c>
      <c r="AC47" s="22">
        <f t="shared" si="3"/>
        <v>49.529110100628316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10.666666666666666</v>
      </c>
      <c r="AI47" s="13">
        <f>IF('Données projet'!$A$62&gt;35,AI46+AH47-AQ46,IF(A47&lt;'Données projet'!$A$62,$AF$205^A47,IF(A47='Données projet'!$A$62,'Données projet'!$B$62,AI46+AH47-AQ46)))</f>
        <v>209.33333333333334</v>
      </c>
      <c r="AJ47" s="13">
        <f>AI47*VLOOKUP('Données projet'!$B$10,Paramètres!$A$1:$I$89,3,0)*VLOOKUP('Données projet'!$B$10,Paramètres!$A$1:$I$89,5,0)</f>
        <v>130.62400000000002</v>
      </c>
      <c r="AK47" s="13">
        <f t="shared" si="35"/>
        <v>34.140507202645395</v>
      </c>
      <c r="AL47" s="20">
        <f t="shared" si="4"/>
        <v>286.96485004460743</v>
      </c>
      <c r="AM47" s="59">
        <f t="shared" si="5"/>
        <v>580.29818337794075</v>
      </c>
      <c r="AN47" s="59">
        <f ca="1">AVERAGE(OFFSET($AM$3,0,0,'Données projet'!$E$10+1,1))-AVERAGE(OFFSET($H$3,0,0,'Données projet'!$E$10+1,1))</f>
        <v>179.4725256147085</v>
      </c>
      <c r="AO47" s="59">
        <f t="shared" si="36"/>
        <v>282.16750121151176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52.88333980058065</v>
      </c>
      <c r="AV47" s="21">
        <f>EXP(-LN(2)/25)*AV46+(1-EXP(-LN(2)/25))/(LN(2)/25)*Calculateur!AQ47*Calculateur!AS47*VLOOKUP('Données projet'!$B$10,Paramètres!$A$1:$I$89,3,0)*0.475*44/12</f>
        <v>22.086973037219828</v>
      </c>
      <c r="AW47" s="21">
        <f>EXP(-LN(2)/2)*AW46+(1-EXP(-LN(2)/2))/(LN(2)/2)*AQ47*AT47*VLOOKUP('Données projet'!$B$10,Paramètres!$A$1:$I$89,3,0)*0.475*44/12</f>
        <v>5.3503612662991893</v>
      </c>
      <c r="AX47" s="21">
        <f t="shared" si="6"/>
        <v>80.320674104099666</v>
      </c>
      <c r="AY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5.3214035087719296</v>
      </c>
      <c r="BD47" s="12">
        <f>IF('Données projet'!$A$88&gt;35,BD46+BC47-BL46,IF(A47&lt;'Données projet'!$A$88,$BA$205^A47,IF(A47='Données projet'!$A$88,'Données projet'!$B$88,BD46+BC47-BL46)))</f>
        <v>234.14175438596513</v>
      </c>
      <c r="BE47" s="13">
        <f>BD47*VLOOKUP('Données projet'!$B$11,Paramètres!$A$1:$I$89,3,0)*VLOOKUP('Données projet'!$B$11,Paramètres!$A$1:$I$89,5,0)</f>
        <v>200.8936252631581</v>
      </c>
      <c r="BF47" s="13">
        <f t="shared" si="37"/>
        <v>49.940508524903741</v>
      </c>
      <c r="BG47" s="20">
        <f t="shared" si="7"/>
        <v>436.86944968087437</v>
      </c>
      <c r="BH47" s="59">
        <f t="shared" si="8"/>
        <v>730.20278301420763</v>
      </c>
      <c r="BI47" s="59">
        <f ca="1">AVERAGE(OFFSET($BH$3,0,0,'Données projet'!$E$11+1,1))-AVERAGE(OFFSET($H$3,0,0,'Données projet'!$E$11+1,1))</f>
        <v>312.89478437044261</v>
      </c>
      <c r="BJ47" s="59">
        <f t="shared" si="38"/>
        <v>276.16555507854571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>
        <f>EXP(-LN(2)/35)*BP46+(1-EXP(-LN(2)/35))/(LN(2)/35)*BL47*BM47*VLOOKUP('Données projet'!$B$11,Paramètres!$A$1:$I$89,3,0)*0.475*44/12</f>
        <v>0</v>
      </c>
      <c r="BQ47" s="21">
        <f>EXP(-LN(2)/25)*BQ46+(1-EXP(-LN(2)/25))/(LN(2)/25)*Calculateur!BL47*Calculateur!BN47*VLOOKUP('Données projet'!$B$11,Paramètres!$A$1:$I$89,3,0)*0.475*44/12</f>
        <v>0</v>
      </c>
      <c r="BR47" s="21">
        <f>EXP(-LN(2)/2)*BR46+(1-EXP(-LN(2)/2))/(LN(2)/2)*BL47*BO47*VLOOKUP('Données projet'!$B$11,Paramètres!$A$1:$I$89,3,0)*0.475*44/12</f>
        <v>0</v>
      </c>
      <c r="BS47" s="22">
        <f t="shared" si="9"/>
        <v>0</v>
      </c>
      <c r="BT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0</v>
      </c>
      <c r="BY47" s="12">
        <f>IF('Données projet'!$A$114&gt;35,BY46+BX47-CG46,IF(A47&lt;'Données projet'!$A$114,$BV$205^A47,IF(A47='Données projet'!$A$114,'Données projet'!$B$114,BY46+BX47-CG46)))</f>
        <v>0</v>
      </c>
      <c r="BZ47" s="13" t="e">
        <f>BY47*VLOOKUP('Données projet'!$B$12,Paramètres!$A$1:$I$89,3,0)*VLOOKUP('Données projet'!$B$12,Paramètres!$A$1:$I$89,5,0)</f>
        <v>#N/A</v>
      </c>
      <c r="CA47" s="13" t="e">
        <f t="shared" si="39"/>
        <v>#N/A</v>
      </c>
      <c r="CB47" s="20" t="e">
        <f t="shared" si="10"/>
        <v>#N/A</v>
      </c>
      <c r="CC47" s="59" t="e">
        <f t="shared" si="11"/>
        <v>#N/A</v>
      </c>
      <c r="CD47" s="59" t="e">
        <f ca="1">AVERAGE(OFFSET($CC$3,0,0,'Données projet'!$E$12+1,1))-AVERAGE(OFFSET($H$3,0,0,'Données projet'!$E$12+1,1))</f>
        <v>#N/A</v>
      </c>
      <c r="CE47" s="59" t="e">
        <f t="shared" si="40"/>
        <v>#N/A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 t="e">
        <f>EXP(-LN(2)/35)*CK46+(1-EXP(-LN(2)/35))/(LN(2)/35)*CG47*CH47*VLOOKUP('Données projet'!$B$12,Paramètres!$A$1:$I$89,3,0)*0.475*44/12</f>
        <v>#N/A</v>
      </c>
      <c r="CL47" s="21" t="e">
        <f>EXP(-LN(2)/25)*CL46+(1-EXP(-LN(2)/25))/(LN(2)/25)*Calculateur!CG47*Calculateur!CI47*VLOOKUP('Données projet'!$B$12,Paramètres!$A$1:$I$89,3,0)*0.475*44/12</f>
        <v>#N/A</v>
      </c>
      <c r="CM47" s="21" t="e">
        <f>EXP(-LN(2)/2)*CM46+(1-EXP(-LN(2)/2))/(LN(2)/2)*CG47*CJ47*VLOOKUP('Données projet'!$B$12,Paramètres!$A$1:$I$89,3,0)*0.475*44/12</f>
        <v>#N/A</v>
      </c>
      <c r="CN47" s="22" t="e">
        <f t="shared" si="12"/>
        <v>#N/A</v>
      </c>
      <c r="CO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0</v>
      </c>
      <c r="CT47" s="12">
        <f>IF('Données projet'!$A$140&gt;35,CT46+CS47-DB46,IF(A47&lt;'Données projet'!$A$140,$CQ$205^A47,IF(A47='Données projet'!$A$140,'Données projet'!$B$140,CT46+CS47-DB46)))</f>
        <v>0</v>
      </c>
      <c r="CU47" s="17" t="e">
        <f>CT47*VLOOKUP('Données projet'!$B$13,Paramètres!$A$1:$I$89,3,0)*VLOOKUP('Données projet'!$B$13,Paramètres!$A$1:$I$89,5,0)</f>
        <v>#N/A</v>
      </c>
      <c r="CV47" s="13" t="e">
        <f t="shared" si="41"/>
        <v>#N/A</v>
      </c>
      <c r="CW47" s="20" t="e">
        <f t="shared" si="13"/>
        <v>#N/A</v>
      </c>
      <c r="CX47" s="59" t="e">
        <f t="shared" si="14"/>
        <v>#N/A</v>
      </c>
      <c r="CY47" s="59" t="e">
        <f ca="1">AVERAGE(OFFSET($CX$3,0,0,'Données projet'!$E$13+1,1))-AVERAGE(OFFSET($H$3,0,0,'Données projet'!$E$13+1,1))</f>
        <v>#N/A</v>
      </c>
      <c r="CZ47" s="59" t="e">
        <f t="shared" si="42"/>
        <v>#N/A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 t="e">
        <f>EXP(-LN(2)/35)*DF46+(1-EXP(-LN(2)/35))/(LN(2)/35)*DB47*DC47*VLOOKUP('Données projet'!$B$13,Paramètres!$A$1:$I$89,3,0)*0.475*44/12</f>
        <v>#N/A</v>
      </c>
      <c r="DG47" s="21" t="e">
        <f>EXP(-LN(2)/25)*DG46+(1-EXP(-LN(2)/25))/(LN(2)/25)*Calculateur!DB47*Calculateur!DD47*VLOOKUP('Données projet'!$B$13,Paramètres!$A$1:$I$89,3,0)*0.475*44/12</f>
        <v>#N/A</v>
      </c>
      <c r="DH47" s="21" t="e">
        <f>EXP(-LN(2)/2)*DH46+(1-EXP(-LN(2)/2))/(LN(2)/2)*DB47*DE47*VLOOKUP('Données projet'!$B$13,Paramètres!$A$1:$I$89,3,0)*0.475*44/12</f>
        <v>#N/A</v>
      </c>
      <c r="DI47" s="22" t="e">
        <f t="shared" si="15"/>
        <v>#N/A</v>
      </c>
      <c r="DJ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0</v>
      </c>
      <c r="DO47" s="12">
        <f>IF('Données projet'!$A$166&gt;35,DO46+DN47-DW46,IF(A47&lt;'Données projet'!$A$166,$DL$205^A47,IF(A47='Données projet'!$A$166,'Données projet'!$B$166,DO46+DN47-DW46)))</f>
        <v>0</v>
      </c>
      <c r="DP47" s="17" t="e">
        <f>DO47*VLOOKUP('Données projet'!$B$14,Paramètres!$A$1:$I$89,3,0)*VLOOKUP('Données projet'!$B$14,Paramètres!$A$1:$I$89,5,0)</f>
        <v>#N/A</v>
      </c>
      <c r="DQ47" s="13" t="e">
        <f t="shared" si="43"/>
        <v>#N/A</v>
      </c>
      <c r="DR47" s="20" t="e">
        <f t="shared" si="16"/>
        <v>#N/A</v>
      </c>
      <c r="DS47" s="59" t="e">
        <f t="shared" si="17"/>
        <v>#N/A</v>
      </c>
      <c r="DT47" s="59" t="e">
        <f ca="1">AVERAGE(OFFSET($DS$3,0,0,'Données projet'!$E$14+1,1))-AVERAGE(OFFSET($H$3,0,0,'Données projet'!$E$14+1,1))</f>
        <v>#N/A</v>
      </c>
      <c r="DU47" s="59" t="e">
        <f t="shared" si="44"/>
        <v>#N/A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 t="e">
        <f>EXP(-LN(2)/35)*EA46+(1-EXP(-LN(2)/35))/(LN(2)/35)*DW47*DX47*VLOOKUP('Données projet'!$B$14,Paramètres!$A$1:$I$89,3,0)*0.475*44/12</f>
        <v>#N/A</v>
      </c>
      <c r="EB47" s="21" t="e">
        <f>EXP(-LN(2)/25)*EB46+(1-EXP(-LN(2)/25))/(LN(2)/25)*Calculateur!DW47*Calculateur!DY47*VLOOKUP('Données projet'!$B$14,Paramètres!$A$1:$I$89,3,0)*0.475*44/12</f>
        <v>#N/A</v>
      </c>
      <c r="EC47" s="21" t="e">
        <f>EXP(-LN(2)/2)*EC46+(1-EXP(-LN(2)/2))/(LN(2)/2)*DW47*DZ47*VLOOKUP('Données projet'!$B$14,Paramètres!$A$1:$I$89,3,0)*0.475*44/12</f>
        <v>#N/A</v>
      </c>
      <c r="ED47" s="22" t="e">
        <f t="shared" si="18"/>
        <v>#N/A</v>
      </c>
      <c r="EE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0</v>
      </c>
      <c r="EJ47" s="12">
        <f>IF('Données projet'!$A$192&gt;35,EJ46+EI47-ER46,IF(A47&lt;'Données projet'!$A$192,$EG$205^A47,IF(A47='Données projet'!$A$192,'Données projet'!$B$192,EJ46+EI47-ER46)))</f>
        <v>0</v>
      </c>
      <c r="EK47" s="17" t="e">
        <f>EJ47*VLOOKUP('Données projet'!$B$15,Paramètres!$A$1:$I$89,3,0)*VLOOKUP('Données projet'!$B$15,Paramètres!$A$1:$I$89,5,0)</f>
        <v>#N/A</v>
      </c>
      <c r="EL47" s="13" t="e">
        <f t="shared" si="45"/>
        <v>#N/A</v>
      </c>
      <c r="EM47" s="20" t="e">
        <f t="shared" si="19"/>
        <v>#N/A</v>
      </c>
      <c r="EN47" s="59" t="e">
        <f t="shared" si="20"/>
        <v>#N/A</v>
      </c>
      <c r="EO47" s="59" t="e">
        <f ca="1">AVERAGE(OFFSET($EN$3,0,0,'Données projet'!$E$15+1,1))-AVERAGE(OFFSET($H$3,0,0,'Données projet'!$E$15+1,1))</f>
        <v>#N/A</v>
      </c>
      <c r="EP47" s="59" t="e">
        <f t="shared" si="46"/>
        <v>#N/A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 t="e">
        <f>EXP(-LN(2)/35)*EV46+(1-EXP(-LN(2)/35))/(LN(2)/35)*ER47*ES47*VLOOKUP('Données projet'!$B$15,Paramètres!$A$1:$I$89,3,0)*0.475*44/12</f>
        <v>#N/A</v>
      </c>
      <c r="EW47" s="21" t="e">
        <f>EXP(-LN(2)/25)*EW46+(1-EXP(-LN(2)/25))/(LN(2)/25)*Calculateur!ER47*Calculateur!ET47*VLOOKUP('Données projet'!$B$15,Paramètres!$A$1:$I$89,3,0)*0.475*44/12</f>
        <v>#N/A</v>
      </c>
      <c r="EX47" s="21" t="e">
        <f>EXP(-LN(2)/2)*EX46+(1-EXP(-LN(2)/2))/(LN(2)/2)*ER47*EU47*VLOOKUP('Données projet'!$B$15,Paramètres!$A$1:$I$89,3,0)*0.475*44/12</f>
        <v>#N/A</v>
      </c>
      <c r="EY47" s="22" t="e">
        <f t="shared" si="21"/>
        <v>#N/A</v>
      </c>
      <c r="EZ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45">
      <c r="A48" s="10">
        <f t="shared" si="31"/>
        <v>45</v>
      </c>
      <c r="B48" s="73">
        <f>'Scénario référence'!$B$16*5+'Scénario référence'!$B$17*0+'Scénario référence'!$B$18*5</f>
        <v>0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40.01400000000001</v>
      </c>
      <c r="D48" s="11">
        <f t="shared" si="32"/>
        <v>12.002357532661732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">
        <f>IF(OR('Scénario référence'!$F$8&gt;0,'Scénario référence'!$F$9&gt;0),('Scénario référence'!$F$8+'Scénario référence'!$F$9)*10,0)</f>
        <v>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401.52977744510821</v>
      </c>
      <c r="H48" s="67">
        <f t="shared" si="1"/>
        <v>347.2618227027192</v>
      </c>
      <c r="I48" s="7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 t="e">
        <f>VLOOKUP(A48,'Données projet'!$A$35:$I$55,2,0)</f>
        <v>#N/A</v>
      </c>
      <c r="L48" s="12" t="e">
        <f>VLOOKUP(A48,'Données projet'!$A$35:$I$55,9,0)</f>
        <v>#N/A</v>
      </c>
      <c r="M48" s="12">
        <f t="array" ref="M48">INDEX(L:L,MIN(IF(ISNUMBER(L48:L244),ROW(L48:L244),"")))</f>
        <v>13.08111111111111</v>
      </c>
      <c r="N48" s="13">
        <f>IF('Données projet'!$A$36&gt;35,N47+M48-V47,IF(A48&lt;'Données projet'!$A$36,$K$205^A48,IF(A48='Données projet'!$A$36,'Données projet'!$B$36,N47+M48-V47)))</f>
        <v>263.24222222222232</v>
      </c>
      <c r="O48" s="13">
        <f>N48*VLOOKUP('Données projet'!$B$9,Paramètres!$A$1:$I$89,3,0)*VLOOKUP('Données projet'!$B$9,Paramètres!$A$1:$I$89,5,0)</f>
        <v>147.15240222222229</v>
      </c>
      <c r="P48" s="13">
        <f t="shared" si="33"/>
        <v>37.930738715528179</v>
      </c>
      <c r="Q48" s="20">
        <f t="shared" si="53"/>
        <v>322.35313713324871</v>
      </c>
      <c r="R48" s="59">
        <f t="shared" si="0"/>
        <v>615.68647046658202</v>
      </c>
      <c r="S48" s="59">
        <f ca="1">AVERAGE(OFFSET($R$3,0,0,'Données projet'!$E$9+1,1))-AVERAGE(OFFSET($H$3,0,0,'Données projet'!$E$9+1,1))</f>
        <v>280.69347314340195</v>
      </c>
      <c r="T48" s="59">
        <f t="shared" si="34"/>
        <v>152.40533828556482</v>
      </c>
      <c r="U48" s="15">
        <f>IF(ISNA(VLOOKUP(A48,'Données projet'!$A$35:$I$55,3,0)),0,VLOOKUP(A48,'Données projet'!$A$35:$I$55,3,0))</f>
        <v>0</v>
      </c>
      <c r="V48" s="15">
        <f>IF(ISNA(VLOOKUP(A48,'Données projet'!$A$35:$I$55,4,0)),0,VLOOKUP(A48,'Données projet'!$A$35:$I$55,4,0))</f>
        <v>0</v>
      </c>
      <c r="W48" s="16">
        <f>IF(ISNA(VLOOKUP(A48,'Données projet'!$A$35:$I$55,5,0)),0%,VLOOKUP(A48,'Données projet'!$A$35:$I$55,5,0)*VLOOKUP('Données projet'!$B$9,Paramètres!$A$1:$I$89,7,0))</f>
        <v>0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14.848555811800207</v>
      </c>
      <c r="AA48" s="21">
        <f>EXP(-LN(2)/25)*AA47+(1-EXP(-LN(2)/25))/(LN(2)/25)*Calculateur!V48*Calculateur!X48*VLOOKUP('Données projet'!$B$9,Paramètres!$A$1:$I$89,3,0)*0.475*44/12</f>
        <v>20.771430823108624</v>
      </c>
      <c r="AB48" s="21">
        <f>EXP(-LN(2)/2)*AB47+(1-EXP(-LN(2)/2))/(LN(2)/2)*V48*Y48*VLOOKUP('Données projet'!$B$9,Paramètres!$A$1:$I$89,3,0)*0.475*44/12</f>
        <v>9.2123031435803515</v>
      </c>
      <c r="AC48" s="22">
        <f t="shared" si="3"/>
        <v>44.832289778489177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 t="e">
        <f>VLOOKUP(A48,'Données projet'!$A$61:$I$81,2,0)</f>
        <v>#N/A</v>
      </c>
      <c r="AG48" s="12" t="e">
        <f>VLOOKUP(A48,'Données projet'!$A$61:$I$81,9,0)</f>
        <v>#N/A</v>
      </c>
      <c r="AH48" s="12">
        <f t="array" ref="AH48">INDEX(AG:AG,MIN(IF(ISNUMBER(AG48:AG244),ROW(AG48:AG244),"")))</f>
        <v>10.666666666666666</v>
      </c>
      <c r="AI48" s="13">
        <f>IF('Données projet'!$A$62&gt;35,AI47+AH48-AQ47,IF(A48&lt;'Données projet'!$A$62,$AF$205^A48,IF(A48='Données projet'!$A$62,'Données projet'!$B$62,AI47+AH48-AQ47)))</f>
        <v>220</v>
      </c>
      <c r="AJ48" s="13">
        <f>AI48*VLOOKUP('Données projet'!$B$10,Paramètres!$A$1:$I$89,3,0)*VLOOKUP('Données projet'!$B$10,Paramètres!$A$1:$I$89,5,0)</f>
        <v>137.28</v>
      </c>
      <c r="AK48" s="13">
        <f t="shared" si="35"/>
        <v>35.673181961873446</v>
      </c>
      <c r="AL48" s="20">
        <f t="shared" si="4"/>
        <v>301.22679191692959</v>
      </c>
      <c r="AM48" s="59">
        <f t="shared" si="5"/>
        <v>594.5601252502629</v>
      </c>
      <c r="AN48" s="59">
        <f ca="1">AVERAGE(OFFSET($AM$3,0,0,'Données projet'!$E$10+1,1))-AVERAGE(OFFSET($H$3,0,0,'Données projet'!$E$10+1,1))</f>
        <v>179.4725256147085</v>
      </c>
      <c r="AO48" s="59">
        <f t="shared" si="36"/>
        <v>282.16750121151176</v>
      </c>
      <c r="AP48" s="15">
        <f>IF(ISNA(VLOOKUP(A48,'Données projet'!$A$61:$I$81,3,0)),0,VLOOKUP(A48,'Données projet'!$A$61:$I$81,3,0))</f>
        <v>0</v>
      </c>
      <c r="AQ48" s="15">
        <f>IF(ISNA(VLOOKUP(A48,'Données projet'!$A$61:$I$81,4,0)),0,VLOOKUP(A48,'Données projet'!$A$61:$I$81,4,0))</f>
        <v>0</v>
      </c>
      <c r="AR48" s="16">
        <f>IF(ISNA(VLOOKUP(A48,'Données projet'!$A$61:$I$81,5,0)),0%,VLOOKUP(A48,'Données projet'!$A$61:$I$81,5,0)*VLOOKUP('Données projet'!$B$10,Paramètres!$A$1:$I$89,7,0))</f>
        <v>0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>
        <f>EXP(-LN(2)/35)*AU47+(1-EXP(-LN(2)/35))/(LN(2)/35)*AQ48*AR48*VLOOKUP('Données projet'!$B$10,Paramètres!$A$1:$I$89,3,0)*0.475*44/12</f>
        <v>51.846329762743558</v>
      </c>
      <c r="AV48" s="21">
        <f>EXP(-LN(2)/25)*AV47+(1-EXP(-LN(2)/25))/(LN(2)/25)*Calculateur!AQ48*Calculateur!AS48*VLOOKUP('Données projet'!$B$10,Paramètres!$A$1:$I$89,3,0)*0.475*44/12</f>
        <v>21.483003598013621</v>
      </c>
      <c r="AW48" s="21">
        <f>EXP(-LN(2)/2)*AW47+(1-EXP(-LN(2)/2))/(LN(2)/2)*AQ48*AT48*VLOOKUP('Données projet'!$B$10,Paramètres!$A$1:$I$89,3,0)*0.475*44/12</f>
        <v>3.7832767331980004</v>
      </c>
      <c r="AX48" s="21">
        <f t="shared" si="6"/>
        <v>77.112610093955169</v>
      </c>
      <c r="AY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 t="e">
        <f>VLOOKUP(A48,'Données projet'!$A$87:$I$107,2,0)</f>
        <v>#N/A</v>
      </c>
      <c r="BB48" s="12" t="e">
        <f>VLOOKUP(A48,'Données projet'!$A$87:$I$107,9,0)</f>
        <v>#N/A</v>
      </c>
      <c r="BC48" s="12">
        <f t="array" ref="BC48">INDEX(BB:BB,MIN(IF(ISNUMBER(BB48:BB244),ROW(BB48:BB244),"")))</f>
        <v>5.3214035087719296</v>
      </c>
      <c r="BD48" s="12">
        <f>IF('Données projet'!$A$88&gt;35,BD47+BC48-BL47,IF(A48&lt;'Données projet'!$A$88,$BA$205^A48,IF(A48='Données projet'!$A$88,'Données projet'!$B$88,BD47+BC48-BL47)))</f>
        <v>239.46315789473707</v>
      </c>
      <c r="BE48" s="13">
        <f>BD48*VLOOKUP('Données projet'!$B$11,Paramètres!$A$1:$I$89,3,0)*VLOOKUP('Données projet'!$B$11,Paramètres!$A$1:$I$89,5,0)</f>
        <v>205.45938947368444</v>
      </c>
      <c r="BF48" s="13">
        <f t="shared" si="37"/>
        <v>50.94208926527093</v>
      </c>
      <c r="BG48" s="20">
        <f t="shared" si="7"/>
        <v>446.56590880368054</v>
      </c>
      <c r="BH48" s="59">
        <f t="shared" si="8"/>
        <v>739.89924213701386</v>
      </c>
      <c r="BI48" s="59">
        <f ca="1">AVERAGE(OFFSET($BH$3,0,0,'Données projet'!$E$11+1,1))-AVERAGE(OFFSET($H$3,0,0,'Données projet'!$E$11+1,1))</f>
        <v>312.89478437044261</v>
      </c>
      <c r="BJ48" s="59">
        <f t="shared" si="38"/>
        <v>276.16555507854571</v>
      </c>
      <c r="BK48" s="15">
        <f>IF(ISNA(VLOOKUP(A48,'Données projet'!$A$87:$I$107,3,0)),0,VLOOKUP(A48,'Données projet'!$A$87:$I$107,3,0))</f>
        <v>0</v>
      </c>
      <c r="BL48" s="15">
        <f>IF(ISNA(VLOOKUP(A48,'Données projet'!$A$87:$I$107,4,0)),0,VLOOKUP(A48,'Données projet'!$A$87:$I$107,4,0))</f>
        <v>0</v>
      </c>
      <c r="BM48" s="16">
        <f>IF(ISNA(VLOOKUP(A48,'Données projet'!$A$87:$I$107,5,0)),0%,VLOOKUP(A48,'Données projet'!$A$87:$I$107,5,0)*VLOOKUP('Données projet'!$B$11,Paramètres!$A$1:$I$89,7,0))</f>
        <v>0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>
        <f>EXP(-LN(2)/35)*BP47+(1-EXP(-LN(2)/35))/(LN(2)/35)*BL48*BM48*VLOOKUP('Données projet'!$B$11,Paramètres!$A$1:$I$89,3,0)*0.475*44/12</f>
        <v>0</v>
      </c>
      <c r="BQ48" s="21">
        <f>EXP(-LN(2)/25)*BQ47+(1-EXP(-LN(2)/25))/(LN(2)/25)*Calculateur!BL48*Calculateur!BN48*VLOOKUP('Données projet'!$B$11,Paramètres!$A$1:$I$89,3,0)*0.475*44/12</f>
        <v>0</v>
      </c>
      <c r="BR48" s="21">
        <f>EXP(-LN(2)/2)*BR47+(1-EXP(-LN(2)/2))/(LN(2)/2)*BL48*BO48*VLOOKUP('Données projet'!$B$11,Paramètres!$A$1:$I$89,3,0)*0.475*44/12</f>
        <v>0</v>
      </c>
      <c r="BS48" s="22">
        <f t="shared" si="9"/>
        <v>0</v>
      </c>
      <c r="BT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 t="e">
        <f>VLOOKUP(A48,'Données projet'!$A$113:$I$133,2,0)</f>
        <v>#N/A</v>
      </c>
      <c r="BW48" s="12" t="e">
        <f>VLOOKUP(A48,'Données projet'!$A$113:$I$133,9,0)</f>
        <v>#N/A</v>
      </c>
      <c r="BX48" s="12">
        <f t="array" ref="BX48">INDEX(BW:BW,MIN(IF(ISNUMBER(BW48:BW244),ROW(BW48:BW244),"")))</f>
        <v>0</v>
      </c>
      <c r="BY48" s="12">
        <f>IF('Données projet'!$A$114&gt;35,BY47+BX48-CG47,IF(A48&lt;'Données projet'!$A$114,$BV$205^A48,IF(A48='Données projet'!$A$114,'Données projet'!$B$114,BY47+BX48-CG47)))</f>
        <v>0</v>
      </c>
      <c r="BZ48" s="13" t="e">
        <f>BY48*VLOOKUP('Données projet'!$B$12,Paramètres!$A$1:$I$89,3,0)*VLOOKUP('Données projet'!$B$12,Paramètres!$A$1:$I$89,5,0)</f>
        <v>#N/A</v>
      </c>
      <c r="CA48" s="13" t="e">
        <f t="shared" si="39"/>
        <v>#N/A</v>
      </c>
      <c r="CB48" s="20" t="e">
        <f t="shared" si="10"/>
        <v>#N/A</v>
      </c>
      <c r="CC48" s="59" t="e">
        <f t="shared" si="11"/>
        <v>#N/A</v>
      </c>
      <c r="CD48" s="59" t="e">
        <f ca="1">AVERAGE(OFFSET($CC$3,0,0,'Données projet'!$E$12+1,1))-AVERAGE(OFFSET($H$3,0,0,'Données projet'!$E$12+1,1))</f>
        <v>#N/A</v>
      </c>
      <c r="CE48" s="59" t="e">
        <f t="shared" si="40"/>
        <v>#N/A</v>
      </c>
      <c r="CF48" s="15">
        <f>IF(ISNA(VLOOKUP(A48,'Données projet'!$A$113:$I$133,3,0)),0,VLOOKUP(A48,'Données projet'!$A$113:$I$133,3,0))</f>
        <v>0</v>
      </c>
      <c r="CG48" s="15">
        <f>IF(ISNA(VLOOKUP(A48,'Données projet'!$A$113:$I$133,4,0)),0,VLOOKUP(A48,'Données projet'!$A$113:$I$133,4,0))</f>
        <v>0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 t="e">
        <f>EXP(-LN(2)/35)*CK47+(1-EXP(-LN(2)/35))/(LN(2)/35)*CG48*CH48*VLOOKUP('Données projet'!$B$12,Paramètres!$A$1:$I$89,3,0)*0.475*44/12</f>
        <v>#N/A</v>
      </c>
      <c r="CL48" s="21" t="e">
        <f>EXP(-LN(2)/25)*CL47+(1-EXP(-LN(2)/25))/(LN(2)/25)*Calculateur!CG48*Calculateur!CI48*VLOOKUP('Données projet'!$B$12,Paramètres!$A$1:$I$89,3,0)*0.475*44/12</f>
        <v>#N/A</v>
      </c>
      <c r="CM48" s="21" t="e">
        <f>EXP(-LN(2)/2)*CM47+(1-EXP(-LN(2)/2))/(LN(2)/2)*CG48*CJ48*VLOOKUP('Données projet'!$B$12,Paramètres!$A$1:$I$89,3,0)*0.475*44/12</f>
        <v>#N/A</v>
      </c>
      <c r="CN48" s="22" t="e">
        <f t="shared" si="12"/>
        <v>#N/A</v>
      </c>
      <c r="CO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0</v>
      </c>
      <c r="CT48" s="12">
        <f>IF('Données projet'!$A$140&gt;35,CT47+CS48-DB47,IF(A48&lt;'Données projet'!$A$140,$CQ$205^A48,IF(A48='Données projet'!$A$140,'Données projet'!$B$140,CT47+CS48-DB47)))</f>
        <v>0</v>
      </c>
      <c r="CU48" s="17" t="e">
        <f>CT48*VLOOKUP('Données projet'!$B$13,Paramètres!$A$1:$I$89,3,0)*VLOOKUP('Données projet'!$B$13,Paramètres!$A$1:$I$89,5,0)</f>
        <v>#N/A</v>
      </c>
      <c r="CV48" s="13" t="e">
        <f t="shared" si="41"/>
        <v>#N/A</v>
      </c>
      <c r="CW48" s="20" t="e">
        <f t="shared" si="13"/>
        <v>#N/A</v>
      </c>
      <c r="CX48" s="59" t="e">
        <f t="shared" si="14"/>
        <v>#N/A</v>
      </c>
      <c r="CY48" s="59" t="e">
        <f ca="1">AVERAGE(OFFSET($CX$3,0,0,'Données projet'!$E$13+1,1))-AVERAGE(OFFSET($H$3,0,0,'Données projet'!$E$13+1,1))</f>
        <v>#N/A</v>
      </c>
      <c r="CZ48" s="59" t="e">
        <f t="shared" si="42"/>
        <v>#N/A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 t="e">
        <f>EXP(-LN(2)/35)*DF47+(1-EXP(-LN(2)/35))/(LN(2)/35)*DB48*DC48*VLOOKUP('Données projet'!$B$13,Paramètres!$A$1:$I$89,3,0)*0.475*44/12</f>
        <v>#N/A</v>
      </c>
      <c r="DG48" s="21" t="e">
        <f>EXP(-LN(2)/25)*DG47+(1-EXP(-LN(2)/25))/(LN(2)/25)*Calculateur!DB48*Calculateur!DD48*VLOOKUP('Données projet'!$B$13,Paramètres!$A$1:$I$89,3,0)*0.475*44/12</f>
        <v>#N/A</v>
      </c>
      <c r="DH48" s="21" t="e">
        <f>EXP(-LN(2)/2)*DH47+(1-EXP(-LN(2)/2))/(LN(2)/2)*DB48*DE48*VLOOKUP('Données projet'!$B$13,Paramètres!$A$1:$I$89,3,0)*0.475*44/12</f>
        <v>#N/A</v>
      </c>
      <c r="DI48" s="22" t="e">
        <f t="shared" si="15"/>
        <v>#N/A</v>
      </c>
      <c r="DJ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0</v>
      </c>
      <c r="DO48" s="12">
        <f>IF('Données projet'!$A$166&gt;35,DO47+DN48-DW47,IF(A48&lt;'Données projet'!$A$166,$DL$205^A48,IF(A48='Données projet'!$A$166,'Données projet'!$B$166,DO47+DN48-DW47)))</f>
        <v>0</v>
      </c>
      <c r="DP48" s="17" t="e">
        <f>DO48*VLOOKUP('Données projet'!$B$14,Paramètres!$A$1:$I$89,3,0)*VLOOKUP('Données projet'!$B$14,Paramètres!$A$1:$I$89,5,0)</f>
        <v>#N/A</v>
      </c>
      <c r="DQ48" s="13" t="e">
        <f t="shared" si="43"/>
        <v>#N/A</v>
      </c>
      <c r="DR48" s="20" t="e">
        <f t="shared" si="16"/>
        <v>#N/A</v>
      </c>
      <c r="DS48" s="59" t="e">
        <f t="shared" si="17"/>
        <v>#N/A</v>
      </c>
      <c r="DT48" s="59" t="e">
        <f ca="1">AVERAGE(OFFSET($DS$3,0,0,'Données projet'!$E$14+1,1))-AVERAGE(OFFSET($H$3,0,0,'Données projet'!$E$14+1,1))</f>
        <v>#N/A</v>
      </c>
      <c r="DU48" s="59" t="e">
        <f t="shared" si="44"/>
        <v>#N/A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 t="e">
        <f>EXP(-LN(2)/35)*EA47+(1-EXP(-LN(2)/35))/(LN(2)/35)*DW48*DX48*VLOOKUP('Données projet'!$B$14,Paramètres!$A$1:$I$89,3,0)*0.475*44/12</f>
        <v>#N/A</v>
      </c>
      <c r="EB48" s="21" t="e">
        <f>EXP(-LN(2)/25)*EB47+(1-EXP(-LN(2)/25))/(LN(2)/25)*Calculateur!DW48*Calculateur!DY48*VLOOKUP('Données projet'!$B$14,Paramètres!$A$1:$I$89,3,0)*0.475*44/12</f>
        <v>#N/A</v>
      </c>
      <c r="EC48" s="21" t="e">
        <f>EXP(-LN(2)/2)*EC47+(1-EXP(-LN(2)/2))/(LN(2)/2)*DW48*DZ48*VLOOKUP('Données projet'!$B$14,Paramètres!$A$1:$I$89,3,0)*0.475*44/12</f>
        <v>#N/A</v>
      </c>
      <c r="ED48" s="22" t="e">
        <f t="shared" si="18"/>
        <v>#N/A</v>
      </c>
      <c r="EE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0</v>
      </c>
      <c r="EJ48" s="12">
        <f>IF('Données projet'!$A$192&gt;35,EJ47+EI48-ER47,IF(A48&lt;'Données projet'!$A$192,$EG$205^A48,IF(A48='Données projet'!$A$192,'Données projet'!$B$192,EJ47+EI48-ER47)))</f>
        <v>0</v>
      </c>
      <c r="EK48" s="17" t="e">
        <f>EJ48*VLOOKUP('Données projet'!$B$15,Paramètres!$A$1:$I$89,3,0)*VLOOKUP('Données projet'!$B$15,Paramètres!$A$1:$I$89,5,0)</f>
        <v>#N/A</v>
      </c>
      <c r="EL48" s="13" t="e">
        <f t="shared" si="45"/>
        <v>#N/A</v>
      </c>
      <c r="EM48" s="20" t="e">
        <f t="shared" si="19"/>
        <v>#N/A</v>
      </c>
      <c r="EN48" s="59" t="e">
        <f t="shared" si="20"/>
        <v>#N/A</v>
      </c>
      <c r="EO48" s="59" t="e">
        <f ca="1">AVERAGE(OFFSET($EN$3,0,0,'Données projet'!$E$15+1,1))-AVERAGE(OFFSET($H$3,0,0,'Données projet'!$E$15+1,1))</f>
        <v>#N/A</v>
      </c>
      <c r="EP48" s="59" t="e">
        <f t="shared" si="46"/>
        <v>#N/A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 t="e">
        <f>EXP(-LN(2)/35)*EV47+(1-EXP(-LN(2)/35))/(LN(2)/35)*ER48*ES48*VLOOKUP('Données projet'!$B$15,Paramètres!$A$1:$I$89,3,0)*0.475*44/12</f>
        <v>#N/A</v>
      </c>
      <c r="EW48" s="21" t="e">
        <f>EXP(-LN(2)/25)*EW47+(1-EXP(-LN(2)/25))/(LN(2)/25)*Calculateur!ER48*Calculateur!ET48*VLOOKUP('Données projet'!$B$15,Paramètres!$A$1:$I$89,3,0)*0.475*44/12</f>
        <v>#N/A</v>
      </c>
      <c r="EX48" s="21" t="e">
        <f>EXP(-LN(2)/2)*EX47+(1-EXP(-LN(2)/2))/(LN(2)/2)*ER48*EU48*VLOOKUP('Données projet'!$B$15,Paramètres!$A$1:$I$89,3,0)*0.475*44/12</f>
        <v>#N/A</v>
      </c>
      <c r="EY48" s="22" t="e">
        <f t="shared" si="21"/>
        <v>#N/A</v>
      </c>
      <c r="EZ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45">
      <c r="A49" s="10">
        <f t="shared" si="31"/>
        <v>46</v>
      </c>
      <c r="B49" s="73">
        <f>'Scénario référence'!$B$16*5+'Scénario référence'!$B$17*0+'Scénario référence'!$B$18*5</f>
        <v>0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40.903200000000012</v>
      </c>
      <c r="D49" s="11">
        <f t="shared" si="32"/>
        <v>12.237728178480605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">
        <f>IF(OR('Scénario référence'!$F$8&gt;0,'Scénario référence'!$F$9&gt;0),('Scénario référence'!$F$8+'Scénario référence'!$F$9)*10,0)</f>
        <v>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410.21067365844692</v>
      </c>
      <c r="H49" s="67">
        <f t="shared" si="1"/>
        <v>349.22044991085374</v>
      </c>
      <c r="I49" s="7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13.08111111111111</v>
      </c>
      <c r="N49" s="13">
        <f>IF('Données projet'!$A$36&gt;35,N48+M49-V48,IF(A49&lt;'Données projet'!$A$36,$K$205^A49,IF(A49='Données projet'!$A$36,'Données projet'!$B$36,N48+M49-V48)))</f>
        <v>276.32333333333344</v>
      </c>
      <c r="O49" s="13">
        <f>N49*VLOOKUP('Données projet'!$B$9,Paramètres!$A$1:$I$89,3,0)*VLOOKUP('Données projet'!$B$9,Paramètres!$A$1:$I$89,5,0)</f>
        <v>154.46474333333339</v>
      </c>
      <c r="P49" s="13">
        <f t="shared" si="33"/>
        <v>39.591476069818206</v>
      </c>
      <c r="Q49" s="20">
        <f t="shared" si="53"/>
        <v>337.98124879382232</v>
      </c>
      <c r="R49" s="59">
        <f t="shared" si="0"/>
        <v>631.31458212715563</v>
      </c>
      <c r="S49" s="59">
        <f ca="1">AVERAGE(OFFSET($R$3,0,0,'Données projet'!$E$9+1,1))-AVERAGE(OFFSET($H$3,0,0,'Données projet'!$E$9+1,1))</f>
        <v>280.69347314340195</v>
      </c>
      <c r="T49" s="59">
        <f t="shared" si="34"/>
        <v>152.40533828556482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14.557384689055572</v>
      </c>
      <c r="AA49" s="21">
        <f>EXP(-LN(2)/25)*AA48+(1-EXP(-LN(2)/25))/(LN(2)/25)*Calculateur!V49*Calculateur!X49*VLOOKUP('Données projet'!$B$9,Paramètres!$A$1:$I$89,3,0)*0.475*44/12</f>
        <v>20.203434954928646</v>
      </c>
      <c r="AB49" s="21">
        <f>EXP(-LN(2)/2)*AB48+(1-EXP(-LN(2)/2))/(LN(2)/2)*V49*Y49*VLOOKUP('Données projet'!$B$9,Paramètres!$A$1:$I$89,3,0)*0.475*44/12</f>
        <v>6.5140820231718157</v>
      </c>
      <c r="AC49" s="22">
        <f t="shared" si="3"/>
        <v>41.274901667156037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10.666666666666666</v>
      </c>
      <c r="AI49" s="13">
        <f>IF('Données projet'!$A$62&gt;35,AI48+AH49-AQ48,IF(A49&lt;'Données projet'!$A$62,$AF$205^A49,IF(A49='Données projet'!$A$62,'Données projet'!$B$62,AI48+AH49-AQ48)))</f>
        <v>230.66666666666666</v>
      </c>
      <c r="AJ49" s="13">
        <f>AI49*VLOOKUP('Données projet'!$B$10,Paramètres!$A$1:$I$89,3,0)*VLOOKUP('Données projet'!$B$10,Paramètres!$A$1:$I$89,5,0)</f>
        <v>143.93599999999998</v>
      </c>
      <c r="AK49" s="13">
        <f t="shared" si="35"/>
        <v>37.197227655019397</v>
      </c>
      <c r="AL49" s="20">
        <f t="shared" si="4"/>
        <v>315.47370483249205</v>
      </c>
      <c r="AM49" s="59">
        <f t="shared" si="5"/>
        <v>608.80703816582536</v>
      </c>
      <c r="AN49" s="59">
        <f ca="1">AVERAGE(OFFSET($AM$3,0,0,'Données projet'!$E$10+1,1))-AVERAGE(OFFSET($H$3,0,0,'Données projet'!$E$10+1,1))</f>
        <v>179.4725256147085</v>
      </c>
      <c r="AO49" s="59">
        <f t="shared" si="36"/>
        <v>282.16750121151176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projet'!$B$10,Paramètres!$A$1:$I$89,3,0)*0.475*44/12</f>
        <v>50.829654859234786</v>
      </c>
      <c r="AV49" s="21">
        <f>EXP(-LN(2)/25)*AV48+(1-EXP(-LN(2)/25))/(LN(2)/25)*Calculateur!AQ49*Calculateur!AS49*VLOOKUP('Données projet'!$B$10,Paramètres!$A$1:$I$89,3,0)*0.475*44/12</f>
        <v>20.895549734883879</v>
      </c>
      <c r="AW49" s="21">
        <f>EXP(-LN(2)/2)*AW48+(1-EXP(-LN(2)/2))/(LN(2)/2)*AQ49*AT49*VLOOKUP('Données projet'!$B$10,Paramètres!$A$1:$I$89,3,0)*0.475*44/12</f>
        <v>2.6751806331495951</v>
      </c>
      <c r="AX49" s="21">
        <f t="shared" si="6"/>
        <v>74.400385227268259</v>
      </c>
      <c r="AY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5.3214035087719296</v>
      </c>
      <c r="BD49" s="12">
        <f>IF('Données projet'!$A$88&gt;35,BD48+BC49-BL48,IF(A49&lt;'Données projet'!$A$88,$BA$205^A49,IF(A49='Données projet'!$A$88,'Données projet'!$B$88,BD48+BC49-BL48)))</f>
        <v>244.784561403509</v>
      </c>
      <c r="BE49" s="13">
        <f>BD49*VLOOKUP('Données projet'!$B$11,Paramètres!$A$1:$I$89,3,0)*VLOOKUP('Données projet'!$B$11,Paramètres!$A$1:$I$89,5,0)</f>
        <v>210.02515368421075</v>
      </c>
      <c r="BF49" s="13">
        <f t="shared" si="37"/>
        <v>51.941082372841706</v>
      </c>
      <c r="BG49" s="20">
        <f t="shared" si="7"/>
        <v>456.2578611326997</v>
      </c>
      <c r="BH49" s="59">
        <f t="shared" si="8"/>
        <v>749.59119446603302</v>
      </c>
      <c r="BI49" s="59">
        <f ca="1">AVERAGE(OFFSET($BH$3,0,0,'Données projet'!$E$11+1,1))-AVERAGE(OFFSET($H$3,0,0,'Données projet'!$E$11+1,1))</f>
        <v>312.89478437044261</v>
      </c>
      <c r="BJ49" s="59">
        <f t="shared" si="38"/>
        <v>276.16555507854571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>
        <f>EXP(-LN(2)/35)*BP48+(1-EXP(-LN(2)/35))/(LN(2)/35)*BL49*BM49*VLOOKUP('Données projet'!$B$11,Paramètres!$A$1:$I$89,3,0)*0.475*44/12</f>
        <v>0</v>
      </c>
      <c r="BQ49" s="21">
        <f>EXP(-LN(2)/25)*BQ48+(1-EXP(-LN(2)/25))/(LN(2)/25)*Calculateur!BL49*Calculateur!BN49*VLOOKUP('Données projet'!$B$11,Paramètres!$A$1:$I$89,3,0)*0.475*44/12</f>
        <v>0</v>
      </c>
      <c r="BR49" s="21">
        <f>EXP(-LN(2)/2)*BR48+(1-EXP(-LN(2)/2))/(LN(2)/2)*BL49*BO49*VLOOKUP('Données projet'!$B$11,Paramètres!$A$1:$I$89,3,0)*0.475*44/12</f>
        <v>0</v>
      </c>
      <c r="BS49" s="22">
        <f t="shared" si="9"/>
        <v>0</v>
      </c>
      <c r="BT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0</v>
      </c>
      <c r="BY49" s="12">
        <f>IF('Données projet'!$A$114&gt;35,BY48+BX49-CG48,IF(A49&lt;'Données projet'!$A$114,$BV$205^A49,IF(A49='Données projet'!$A$114,'Données projet'!$B$114,BY48+BX49-CG48)))</f>
        <v>0</v>
      </c>
      <c r="BZ49" s="13" t="e">
        <f>BY49*VLOOKUP('Données projet'!$B$12,Paramètres!$A$1:$I$89,3,0)*VLOOKUP('Données projet'!$B$12,Paramètres!$A$1:$I$89,5,0)</f>
        <v>#N/A</v>
      </c>
      <c r="CA49" s="13" t="e">
        <f t="shared" si="39"/>
        <v>#N/A</v>
      </c>
      <c r="CB49" s="20" t="e">
        <f t="shared" si="10"/>
        <v>#N/A</v>
      </c>
      <c r="CC49" s="59" t="e">
        <f t="shared" si="11"/>
        <v>#N/A</v>
      </c>
      <c r="CD49" s="59" t="e">
        <f ca="1">AVERAGE(OFFSET($CC$3,0,0,'Données projet'!$E$12+1,1))-AVERAGE(OFFSET($H$3,0,0,'Données projet'!$E$12+1,1))</f>
        <v>#N/A</v>
      </c>
      <c r="CE49" s="59" t="e">
        <f t="shared" si="40"/>
        <v>#N/A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 t="e">
        <f>EXP(-LN(2)/35)*CK48+(1-EXP(-LN(2)/35))/(LN(2)/35)*CG49*CH49*VLOOKUP('Données projet'!$B$12,Paramètres!$A$1:$I$89,3,0)*0.475*44/12</f>
        <v>#N/A</v>
      </c>
      <c r="CL49" s="21" t="e">
        <f>EXP(-LN(2)/25)*CL48+(1-EXP(-LN(2)/25))/(LN(2)/25)*Calculateur!CG49*Calculateur!CI49*VLOOKUP('Données projet'!$B$12,Paramètres!$A$1:$I$89,3,0)*0.475*44/12</f>
        <v>#N/A</v>
      </c>
      <c r="CM49" s="21" t="e">
        <f>EXP(-LN(2)/2)*CM48+(1-EXP(-LN(2)/2))/(LN(2)/2)*CG49*CJ49*VLOOKUP('Données projet'!$B$12,Paramètres!$A$1:$I$89,3,0)*0.475*44/12</f>
        <v>#N/A</v>
      </c>
      <c r="CN49" s="22" t="e">
        <f t="shared" si="12"/>
        <v>#N/A</v>
      </c>
      <c r="CO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0</v>
      </c>
      <c r="CT49" s="12">
        <f>IF('Données projet'!$A$140&gt;35,CT48+CS49-DB48,IF(A49&lt;'Données projet'!$A$140,$CQ$205^A49,IF(A49='Données projet'!$A$140,'Données projet'!$B$140,CT48+CS49-DB48)))</f>
        <v>0</v>
      </c>
      <c r="CU49" s="17" t="e">
        <f>CT49*VLOOKUP('Données projet'!$B$13,Paramètres!$A$1:$I$89,3,0)*VLOOKUP('Données projet'!$B$13,Paramètres!$A$1:$I$89,5,0)</f>
        <v>#N/A</v>
      </c>
      <c r="CV49" s="13" t="e">
        <f t="shared" si="41"/>
        <v>#N/A</v>
      </c>
      <c r="CW49" s="20" t="e">
        <f t="shared" si="13"/>
        <v>#N/A</v>
      </c>
      <c r="CX49" s="59" t="e">
        <f t="shared" si="14"/>
        <v>#N/A</v>
      </c>
      <c r="CY49" s="59" t="e">
        <f ca="1">AVERAGE(OFFSET($CX$3,0,0,'Données projet'!$E$13+1,1))-AVERAGE(OFFSET($H$3,0,0,'Données projet'!$E$13+1,1))</f>
        <v>#N/A</v>
      </c>
      <c r="CZ49" s="59" t="e">
        <f t="shared" si="42"/>
        <v>#N/A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 t="e">
        <f>EXP(-LN(2)/35)*DF48+(1-EXP(-LN(2)/35))/(LN(2)/35)*DB49*DC49*VLOOKUP('Données projet'!$B$13,Paramètres!$A$1:$I$89,3,0)*0.475*44/12</f>
        <v>#N/A</v>
      </c>
      <c r="DG49" s="21" t="e">
        <f>EXP(-LN(2)/25)*DG48+(1-EXP(-LN(2)/25))/(LN(2)/25)*Calculateur!DB49*Calculateur!DD49*VLOOKUP('Données projet'!$B$13,Paramètres!$A$1:$I$89,3,0)*0.475*44/12</f>
        <v>#N/A</v>
      </c>
      <c r="DH49" s="21" t="e">
        <f>EXP(-LN(2)/2)*DH48+(1-EXP(-LN(2)/2))/(LN(2)/2)*DB49*DE49*VLOOKUP('Données projet'!$B$13,Paramètres!$A$1:$I$89,3,0)*0.475*44/12</f>
        <v>#N/A</v>
      </c>
      <c r="DI49" s="22" t="e">
        <f t="shared" si="15"/>
        <v>#N/A</v>
      </c>
      <c r="DJ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0</v>
      </c>
      <c r="DO49" s="12">
        <f>IF('Données projet'!$A$166&gt;35,DO48+DN49-DW48,IF(A49&lt;'Données projet'!$A$166,$DL$205^A49,IF(A49='Données projet'!$A$166,'Données projet'!$B$166,DO48+DN49-DW48)))</f>
        <v>0</v>
      </c>
      <c r="DP49" s="17" t="e">
        <f>DO49*VLOOKUP('Données projet'!$B$14,Paramètres!$A$1:$I$89,3,0)*VLOOKUP('Données projet'!$B$14,Paramètres!$A$1:$I$89,5,0)</f>
        <v>#N/A</v>
      </c>
      <c r="DQ49" s="13" t="e">
        <f t="shared" si="43"/>
        <v>#N/A</v>
      </c>
      <c r="DR49" s="20" t="e">
        <f t="shared" si="16"/>
        <v>#N/A</v>
      </c>
      <c r="DS49" s="59" t="e">
        <f t="shared" si="17"/>
        <v>#N/A</v>
      </c>
      <c r="DT49" s="59" t="e">
        <f ca="1">AVERAGE(OFFSET($DS$3,0,0,'Données projet'!$E$14+1,1))-AVERAGE(OFFSET($H$3,0,0,'Données projet'!$E$14+1,1))</f>
        <v>#N/A</v>
      </c>
      <c r="DU49" s="59" t="e">
        <f t="shared" si="44"/>
        <v>#N/A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 t="e">
        <f>EXP(-LN(2)/35)*EA48+(1-EXP(-LN(2)/35))/(LN(2)/35)*DW49*DX49*VLOOKUP('Données projet'!$B$14,Paramètres!$A$1:$I$89,3,0)*0.475*44/12</f>
        <v>#N/A</v>
      </c>
      <c r="EB49" s="21" t="e">
        <f>EXP(-LN(2)/25)*EB48+(1-EXP(-LN(2)/25))/(LN(2)/25)*Calculateur!DW49*Calculateur!DY49*VLOOKUP('Données projet'!$B$14,Paramètres!$A$1:$I$89,3,0)*0.475*44/12</f>
        <v>#N/A</v>
      </c>
      <c r="EC49" s="21" t="e">
        <f>EXP(-LN(2)/2)*EC48+(1-EXP(-LN(2)/2))/(LN(2)/2)*DW49*DZ49*VLOOKUP('Données projet'!$B$14,Paramètres!$A$1:$I$89,3,0)*0.475*44/12</f>
        <v>#N/A</v>
      </c>
      <c r="ED49" s="22" t="e">
        <f t="shared" si="18"/>
        <v>#N/A</v>
      </c>
      <c r="EE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0</v>
      </c>
      <c r="EJ49" s="12">
        <f>IF('Données projet'!$A$192&gt;35,EJ48+EI49-ER48,IF(A49&lt;'Données projet'!$A$192,$EG$205^A49,IF(A49='Données projet'!$A$192,'Données projet'!$B$192,EJ48+EI49-ER48)))</f>
        <v>0</v>
      </c>
      <c r="EK49" s="17" t="e">
        <f>EJ49*VLOOKUP('Données projet'!$B$15,Paramètres!$A$1:$I$89,3,0)*VLOOKUP('Données projet'!$B$15,Paramètres!$A$1:$I$89,5,0)</f>
        <v>#N/A</v>
      </c>
      <c r="EL49" s="13" t="e">
        <f t="shared" si="45"/>
        <v>#N/A</v>
      </c>
      <c r="EM49" s="20" t="e">
        <f t="shared" si="19"/>
        <v>#N/A</v>
      </c>
      <c r="EN49" s="59" t="e">
        <f t="shared" si="20"/>
        <v>#N/A</v>
      </c>
      <c r="EO49" s="59" t="e">
        <f ca="1">AVERAGE(OFFSET($EN$3,0,0,'Données projet'!$E$15+1,1))-AVERAGE(OFFSET($H$3,0,0,'Données projet'!$E$15+1,1))</f>
        <v>#N/A</v>
      </c>
      <c r="EP49" s="59" t="e">
        <f t="shared" si="46"/>
        <v>#N/A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 t="e">
        <f>EXP(-LN(2)/35)*EV48+(1-EXP(-LN(2)/35))/(LN(2)/35)*ER49*ES49*VLOOKUP('Données projet'!$B$15,Paramètres!$A$1:$I$89,3,0)*0.475*44/12</f>
        <v>#N/A</v>
      </c>
      <c r="EW49" s="21" t="e">
        <f>EXP(-LN(2)/25)*EW48+(1-EXP(-LN(2)/25))/(LN(2)/25)*Calculateur!ER49*Calculateur!ET49*VLOOKUP('Données projet'!$B$15,Paramètres!$A$1:$I$89,3,0)*0.475*44/12</f>
        <v>#N/A</v>
      </c>
      <c r="EX49" s="21" t="e">
        <f>EXP(-LN(2)/2)*EX48+(1-EXP(-LN(2)/2))/(LN(2)/2)*ER49*EU49*VLOOKUP('Données projet'!$B$15,Paramètres!$A$1:$I$89,3,0)*0.475*44/12</f>
        <v>#N/A</v>
      </c>
      <c r="EY49" s="22" t="e">
        <f t="shared" si="21"/>
        <v>#N/A</v>
      </c>
      <c r="EZ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45">
      <c r="A50" s="10">
        <f t="shared" si="31"/>
        <v>47</v>
      </c>
      <c r="B50" s="73">
        <f>'Scénario référence'!$B$16*5+'Scénario référence'!$B$17*0+'Scénario référence'!$B$18*5</f>
        <v>0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41.792400000000015</v>
      </c>
      <c r="D50" s="11">
        <f t="shared" si="32"/>
        <v>12.472503937619972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">
        <f>IF(OR('Scénario référence'!$F$8&gt;0,'Scénario référence'!$F$9&gt;0),('Scénario référence'!$F$8+'Scénario référence'!$F$9)*10,0)</f>
        <v>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418.88697776408418</v>
      </c>
      <c r="H50" s="67">
        <f t="shared" si="1"/>
        <v>351.17804102468818</v>
      </c>
      <c r="I50" s="7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13.08111111111111</v>
      </c>
      <c r="N50" s="13">
        <f>IF('Données projet'!$A$36&gt;35,N49+M50-V49,IF(A50&lt;'Données projet'!$A$36,$K$205^A50,IF(A50='Données projet'!$A$36,'Données projet'!$B$36,N49+M50-V49)))</f>
        <v>289.40444444444455</v>
      </c>
      <c r="O50" s="13">
        <f>N50*VLOOKUP('Données projet'!$B$9,Paramètres!$A$1:$I$89,3,0)*VLOOKUP('Données projet'!$B$9,Paramètres!$A$1:$I$89,5,0)</f>
        <v>161.77708444444451</v>
      </c>
      <c r="P50" s="13">
        <f t="shared" si="33"/>
        <v>41.243083728282301</v>
      </c>
      <c r="Q50" s="20">
        <f t="shared" si="53"/>
        <v>353.59345956749917</v>
      </c>
      <c r="R50" s="59">
        <f t="shared" si="0"/>
        <v>646.92679290083242</v>
      </c>
      <c r="S50" s="59">
        <f ca="1">AVERAGE(OFFSET($R$3,0,0,'Données projet'!$E$9+1,1))-AVERAGE(OFFSET($H$3,0,0,'Données projet'!$E$9+1,1))</f>
        <v>280.69347314340195</v>
      </c>
      <c r="T50" s="59">
        <f t="shared" si="34"/>
        <v>152.40533828556482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14.271923254431112</v>
      </c>
      <c r="AA50" s="21">
        <f>EXP(-LN(2)/25)*AA49+(1-EXP(-LN(2)/25))/(LN(2)/25)*Calculateur!V50*Calculateur!X50*VLOOKUP('Données projet'!$B$9,Paramètres!$A$1:$I$89,3,0)*0.475*44/12</f>
        <v>19.650970963633654</v>
      </c>
      <c r="AB50" s="21">
        <f>EXP(-LN(2)/2)*AB49+(1-EXP(-LN(2)/2))/(LN(2)/2)*V50*Y50*VLOOKUP('Données projet'!$B$9,Paramètres!$A$1:$I$89,3,0)*0.475*44/12</f>
        <v>4.6061515717901766</v>
      </c>
      <c r="AC50" s="22">
        <f t="shared" si="3"/>
        <v>38.529045789854948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10.666666666666666</v>
      </c>
      <c r="AI50" s="13">
        <f>IF('Données projet'!$A$62&gt;35,AI49+AH50-AQ49,IF(A50&lt;'Données projet'!$A$62,$AF$205^A50,IF(A50='Données projet'!$A$62,'Données projet'!$B$62,AI49+AH50-AQ49)))</f>
        <v>241.33333333333331</v>
      </c>
      <c r="AJ50" s="13">
        <f>AI50*VLOOKUP('Données projet'!$B$10,Paramètres!$A$1:$I$89,3,0)*VLOOKUP('Données projet'!$B$10,Paramètres!$A$1:$I$89,5,0)</f>
        <v>150.59199999999998</v>
      </c>
      <c r="AK50" s="13">
        <f t="shared" si="35"/>
        <v>38.713088888505631</v>
      </c>
      <c r="AL50" s="20">
        <f t="shared" si="4"/>
        <v>329.70636314748066</v>
      </c>
      <c r="AM50" s="59">
        <f t="shared" si="5"/>
        <v>623.03969648081397</v>
      </c>
      <c r="AN50" s="59">
        <f ca="1">AVERAGE(OFFSET($AM$3,0,0,'Données projet'!$E$10+1,1))-AVERAGE(OFFSET($H$3,0,0,'Données projet'!$E$10+1,1))</f>
        <v>179.4725256147085</v>
      </c>
      <c r="AO50" s="59">
        <f t="shared" si="36"/>
        <v>282.16750121151176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49.83291633047336</v>
      </c>
      <c r="AV50" s="21">
        <f>EXP(-LN(2)/25)*AV49+(1-EXP(-LN(2)/25))/(LN(2)/25)*Calculateur!AQ50*Calculateur!AS50*VLOOKUP('Données projet'!$B$10,Paramètres!$A$1:$I$89,3,0)*0.475*44/12</f>
        <v>20.324159828534277</v>
      </c>
      <c r="AW50" s="21">
        <f>EXP(-LN(2)/2)*AW49+(1-EXP(-LN(2)/2))/(LN(2)/2)*AQ50*AT50*VLOOKUP('Données projet'!$B$10,Paramètres!$A$1:$I$89,3,0)*0.475*44/12</f>
        <v>1.8916383665990004</v>
      </c>
      <c r="AX50" s="21">
        <f t="shared" si="6"/>
        <v>72.048714525606627</v>
      </c>
      <c r="AY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5.3214035087719296</v>
      </c>
      <c r="BD50" s="12">
        <f>IF('Données projet'!$A$88&gt;35,BD49+BC50-BL49,IF(A50&lt;'Données projet'!$A$88,$BA$205^A50,IF(A50='Données projet'!$A$88,'Données projet'!$B$88,BD49+BC50-BL49)))</f>
        <v>250.10596491228094</v>
      </c>
      <c r="BE50" s="13">
        <f>BD50*VLOOKUP('Données projet'!$B$11,Paramètres!$A$1:$I$89,3,0)*VLOOKUP('Données projet'!$B$11,Paramètres!$A$1:$I$89,5,0)</f>
        <v>214.59091789473709</v>
      </c>
      <c r="BF50" s="13">
        <f t="shared" si="37"/>
        <v>52.937550578929802</v>
      </c>
      <c r="BG50" s="20">
        <f t="shared" si="7"/>
        <v>465.94541592496972</v>
      </c>
      <c r="BH50" s="59">
        <f t="shared" si="8"/>
        <v>759.27874925830304</v>
      </c>
      <c r="BI50" s="59">
        <f ca="1">AVERAGE(OFFSET($BH$3,0,0,'Données projet'!$E$11+1,1))-AVERAGE(OFFSET($H$3,0,0,'Données projet'!$E$11+1,1))</f>
        <v>312.89478437044261</v>
      </c>
      <c r="BJ50" s="59">
        <f t="shared" si="38"/>
        <v>276.16555507854571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>
        <f>EXP(-LN(2)/35)*BP49+(1-EXP(-LN(2)/35))/(LN(2)/35)*BL50*BM50*VLOOKUP('Données projet'!$B$11,Paramètres!$A$1:$I$89,3,0)*0.475*44/12</f>
        <v>0</v>
      </c>
      <c r="BQ50" s="21">
        <f>EXP(-LN(2)/25)*BQ49+(1-EXP(-LN(2)/25))/(LN(2)/25)*Calculateur!BL50*Calculateur!BN50*VLOOKUP('Données projet'!$B$11,Paramètres!$A$1:$I$89,3,0)*0.475*44/12</f>
        <v>0</v>
      </c>
      <c r="BR50" s="21">
        <f>EXP(-LN(2)/2)*BR49+(1-EXP(-LN(2)/2))/(LN(2)/2)*BL50*BO50*VLOOKUP('Données projet'!$B$11,Paramètres!$A$1:$I$89,3,0)*0.475*44/12</f>
        <v>0</v>
      </c>
      <c r="BS50" s="22">
        <f t="shared" si="9"/>
        <v>0</v>
      </c>
      <c r="BT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0</v>
      </c>
      <c r="BY50" s="12">
        <f>IF('Données projet'!$A$114&gt;35,BY49+BX50-CG49,IF(A50&lt;'Données projet'!$A$114,$BV$205^A50,IF(A50='Données projet'!$A$114,'Données projet'!$B$114,BY49+BX50-CG49)))</f>
        <v>0</v>
      </c>
      <c r="BZ50" s="13" t="e">
        <f>BY50*VLOOKUP('Données projet'!$B$12,Paramètres!$A$1:$I$89,3,0)*VLOOKUP('Données projet'!$B$12,Paramètres!$A$1:$I$89,5,0)</f>
        <v>#N/A</v>
      </c>
      <c r="CA50" s="13" t="e">
        <f t="shared" si="39"/>
        <v>#N/A</v>
      </c>
      <c r="CB50" s="20" t="e">
        <f t="shared" si="10"/>
        <v>#N/A</v>
      </c>
      <c r="CC50" s="59" t="e">
        <f t="shared" si="11"/>
        <v>#N/A</v>
      </c>
      <c r="CD50" s="59" t="e">
        <f ca="1">AVERAGE(OFFSET($CC$3,0,0,'Données projet'!$E$12+1,1))-AVERAGE(OFFSET($H$3,0,0,'Données projet'!$E$12+1,1))</f>
        <v>#N/A</v>
      </c>
      <c r="CE50" s="59" t="e">
        <f t="shared" si="40"/>
        <v>#N/A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 t="e">
        <f>EXP(-LN(2)/35)*CK49+(1-EXP(-LN(2)/35))/(LN(2)/35)*CG50*CH50*VLOOKUP('Données projet'!$B$12,Paramètres!$A$1:$I$89,3,0)*0.475*44/12</f>
        <v>#N/A</v>
      </c>
      <c r="CL50" s="21" t="e">
        <f>EXP(-LN(2)/25)*CL49+(1-EXP(-LN(2)/25))/(LN(2)/25)*Calculateur!CG50*Calculateur!CI50*VLOOKUP('Données projet'!$B$12,Paramètres!$A$1:$I$89,3,0)*0.475*44/12</f>
        <v>#N/A</v>
      </c>
      <c r="CM50" s="21" t="e">
        <f>EXP(-LN(2)/2)*CM49+(1-EXP(-LN(2)/2))/(LN(2)/2)*CG50*CJ50*VLOOKUP('Données projet'!$B$12,Paramètres!$A$1:$I$89,3,0)*0.475*44/12</f>
        <v>#N/A</v>
      </c>
      <c r="CN50" s="22" t="e">
        <f t="shared" si="12"/>
        <v>#N/A</v>
      </c>
      <c r="CO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0</v>
      </c>
      <c r="CT50" s="12">
        <f>IF('Données projet'!$A$140&gt;35,CT49+CS50-DB49,IF(A50&lt;'Données projet'!$A$140,$CQ$205^A50,IF(A50='Données projet'!$A$140,'Données projet'!$B$140,CT49+CS50-DB49)))</f>
        <v>0</v>
      </c>
      <c r="CU50" s="17" t="e">
        <f>CT50*VLOOKUP('Données projet'!$B$13,Paramètres!$A$1:$I$89,3,0)*VLOOKUP('Données projet'!$B$13,Paramètres!$A$1:$I$89,5,0)</f>
        <v>#N/A</v>
      </c>
      <c r="CV50" s="13" t="e">
        <f t="shared" si="41"/>
        <v>#N/A</v>
      </c>
      <c r="CW50" s="20" t="e">
        <f t="shared" si="13"/>
        <v>#N/A</v>
      </c>
      <c r="CX50" s="59" t="e">
        <f t="shared" si="14"/>
        <v>#N/A</v>
      </c>
      <c r="CY50" s="59" t="e">
        <f ca="1">AVERAGE(OFFSET($CX$3,0,0,'Données projet'!$E$13+1,1))-AVERAGE(OFFSET($H$3,0,0,'Données projet'!$E$13+1,1))</f>
        <v>#N/A</v>
      </c>
      <c r="CZ50" s="59" t="e">
        <f t="shared" si="42"/>
        <v>#N/A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 t="e">
        <f>EXP(-LN(2)/35)*DF49+(1-EXP(-LN(2)/35))/(LN(2)/35)*DB50*DC50*VLOOKUP('Données projet'!$B$13,Paramètres!$A$1:$I$89,3,0)*0.475*44/12</f>
        <v>#N/A</v>
      </c>
      <c r="DG50" s="21" t="e">
        <f>EXP(-LN(2)/25)*DG49+(1-EXP(-LN(2)/25))/(LN(2)/25)*Calculateur!DB50*Calculateur!DD50*VLOOKUP('Données projet'!$B$13,Paramètres!$A$1:$I$89,3,0)*0.475*44/12</f>
        <v>#N/A</v>
      </c>
      <c r="DH50" s="21" t="e">
        <f>EXP(-LN(2)/2)*DH49+(1-EXP(-LN(2)/2))/(LN(2)/2)*DB50*DE50*VLOOKUP('Données projet'!$B$13,Paramètres!$A$1:$I$89,3,0)*0.475*44/12</f>
        <v>#N/A</v>
      </c>
      <c r="DI50" s="22" t="e">
        <f t="shared" si="15"/>
        <v>#N/A</v>
      </c>
      <c r="DJ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0</v>
      </c>
      <c r="DO50" s="12">
        <f>IF('Données projet'!$A$166&gt;35,DO49+DN50-DW49,IF(A50&lt;'Données projet'!$A$166,$DL$205^A50,IF(A50='Données projet'!$A$166,'Données projet'!$B$166,DO49+DN50-DW49)))</f>
        <v>0</v>
      </c>
      <c r="DP50" s="17" t="e">
        <f>DO50*VLOOKUP('Données projet'!$B$14,Paramètres!$A$1:$I$89,3,0)*VLOOKUP('Données projet'!$B$14,Paramètres!$A$1:$I$89,5,0)</f>
        <v>#N/A</v>
      </c>
      <c r="DQ50" s="13" t="e">
        <f t="shared" si="43"/>
        <v>#N/A</v>
      </c>
      <c r="DR50" s="20" t="e">
        <f t="shared" si="16"/>
        <v>#N/A</v>
      </c>
      <c r="DS50" s="59" t="e">
        <f t="shared" si="17"/>
        <v>#N/A</v>
      </c>
      <c r="DT50" s="59" t="e">
        <f ca="1">AVERAGE(OFFSET($DS$3,0,0,'Données projet'!$E$14+1,1))-AVERAGE(OFFSET($H$3,0,0,'Données projet'!$E$14+1,1))</f>
        <v>#N/A</v>
      </c>
      <c r="DU50" s="59" t="e">
        <f t="shared" si="44"/>
        <v>#N/A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 t="e">
        <f>EXP(-LN(2)/35)*EA49+(1-EXP(-LN(2)/35))/(LN(2)/35)*DW50*DX50*VLOOKUP('Données projet'!$B$14,Paramètres!$A$1:$I$89,3,0)*0.475*44/12</f>
        <v>#N/A</v>
      </c>
      <c r="EB50" s="21" t="e">
        <f>EXP(-LN(2)/25)*EB49+(1-EXP(-LN(2)/25))/(LN(2)/25)*Calculateur!DW50*Calculateur!DY50*VLOOKUP('Données projet'!$B$14,Paramètres!$A$1:$I$89,3,0)*0.475*44/12</f>
        <v>#N/A</v>
      </c>
      <c r="EC50" s="21" t="e">
        <f>EXP(-LN(2)/2)*EC49+(1-EXP(-LN(2)/2))/(LN(2)/2)*DW50*DZ50*VLOOKUP('Données projet'!$B$14,Paramètres!$A$1:$I$89,3,0)*0.475*44/12</f>
        <v>#N/A</v>
      </c>
      <c r="ED50" s="22" t="e">
        <f t="shared" si="18"/>
        <v>#N/A</v>
      </c>
      <c r="EE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0</v>
      </c>
      <c r="EJ50" s="12">
        <f>IF('Données projet'!$A$192&gt;35,EJ49+EI50-ER49,IF(A50&lt;'Données projet'!$A$192,$EG$205^A50,IF(A50='Données projet'!$A$192,'Données projet'!$B$192,EJ49+EI50-ER49)))</f>
        <v>0</v>
      </c>
      <c r="EK50" s="17" t="e">
        <f>EJ50*VLOOKUP('Données projet'!$B$15,Paramètres!$A$1:$I$89,3,0)*VLOOKUP('Données projet'!$B$15,Paramètres!$A$1:$I$89,5,0)</f>
        <v>#N/A</v>
      </c>
      <c r="EL50" s="13" t="e">
        <f t="shared" si="45"/>
        <v>#N/A</v>
      </c>
      <c r="EM50" s="20" t="e">
        <f t="shared" si="19"/>
        <v>#N/A</v>
      </c>
      <c r="EN50" s="59" t="e">
        <f t="shared" si="20"/>
        <v>#N/A</v>
      </c>
      <c r="EO50" s="59" t="e">
        <f ca="1">AVERAGE(OFFSET($EN$3,0,0,'Données projet'!$E$15+1,1))-AVERAGE(OFFSET($H$3,0,0,'Données projet'!$E$15+1,1))</f>
        <v>#N/A</v>
      </c>
      <c r="EP50" s="59" t="e">
        <f t="shared" si="46"/>
        <v>#N/A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 t="e">
        <f>EXP(-LN(2)/35)*EV49+(1-EXP(-LN(2)/35))/(LN(2)/35)*ER50*ES50*VLOOKUP('Données projet'!$B$15,Paramètres!$A$1:$I$89,3,0)*0.475*44/12</f>
        <v>#N/A</v>
      </c>
      <c r="EW50" s="21" t="e">
        <f>EXP(-LN(2)/25)*EW49+(1-EXP(-LN(2)/25))/(LN(2)/25)*Calculateur!ER50*Calculateur!ET50*VLOOKUP('Données projet'!$B$15,Paramètres!$A$1:$I$89,3,0)*0.475*44/12</f>
        <v>#N/A</v>
      </c>
      <c r="EX50" s="21" t="e">
        <f>EXP(-LN(2)/2)*EX49+(1-EXP(-LN(2)/2))/(LN(2)/2)*ER50*EU50*VLOOKUP('Données projet'!$B$15,Paramètres!$A$1:$I$89,3,0)*0.475*44/12</f>
        <v>#N/A</v>
      </c>
      <c r="EY50" s="22" t="e">
        <f t="shared" si="21"/>
        <v>#N/A</v>
      </c>
      <c r="EZ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45">
      <c r="A51" s="10">
        <f t="shared" si="31"/>
        <v>48</v>
      </c>
      <c r="B51" s="73">
        <f>'Scénario référence'!$B$16*5+'Scénario référence'!$B$17*0+'Scénario référence'!$B$18*5</f>
        <v>0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42.681600000000017</v>
      </c>
      <c r="D51" s="11">
        <f t="shared" si="32"/>
        <v>12.706698925204435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">
        <f>IF(OR('Scénario référence'!$F$8&gt;0,'Scénario référence'!$F$9&gt;0),('Scénario référence'!$F$8+'Scénario référence'!$F$9)*10,0)</f>
        <v>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427.55879872087644</v>
      </c>
      <c r="H51" s="67">
        <f t="shared" si="1"/>
        <v>353.13462062806445</v>
      </c>
      <c r="I51" s="7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13.08111111111111</v>
      </c>
      <c r="N51" s="13">
        <f>IF('Données projet'!$A$36&gt;35,N50+M51-V50,IF(A51&lt;'Données projet'!$A$36,$K$205^A51,IF(A51='Données projet'!$A$36,'Données projet'!$B$36,N50+M51-V50)))</f>
        <v>302.48555555555566</v>
      </c>
      <c r="O51" s="13">
        <f>N51*VLOOKUP('Données projet'!$B$9,Paramètres!$A$1:$I$89,3,0)*VLOOKUP('Données projet'!$B$9,Paramètres!$A$1:$I$89,5,0)</f>
        <v>169.08942555555564</v>
      </c>
      <c r="P51" s="13">
        <f t="shared" si="33"/>
        <v>42.88602149821061</v>
      </c>
      <c r="Q51" s="20">
        <f t="shared" si="53"/>
        <v>369.19057028530955</v>
      </c>
      <c r="R51" s="59">
        <f t="shared" si="0"/>
        <v>662.52390361864286</v>
      </c>
      <c r="S51" s="59">
        <f ca="1">AVERAGE(OFFSET($R$3,0,0,'Données projet'!$E$9+1,1))-AVERAGE(OFFSET($H$3,0,0,'Données projet'!$E$9+1,1))</f>
        <v>280.69347314340195</v>
      </c>
      <c r="T51" s="59">
        <f t="shared" si="34"/>
        <v>152.40533828556482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13.992059544425354</v>
      </c>
      <c r="AA51" s="21">
        <f>EXP(-LN(2)/25)*AA50+(1-EXP(-LN(2)/25))/(LN(2)/25)*Calculateur!V51*Calculateur!X51*VLOOKUP('Données projet'!$B$9,Paramètres!$A$1:$I$89,3,0)*0.475*44/12</f>
        <v>19.11361412923344</v>
      </c>
      <c r="AB51" s="21">
        <f>EXP(-LN(2)/2)*AB50+(1-EXP(-LN(2)/2))/(LN(2)/2)*V51*Y51*VLOOKUP('Données projet'!$B$9,Paramètres!$A$1:$I$89,3,0)*0.475*44/12</f>
        <v>3.2570410115859088</v>
      </c>
      <c r="AC51" s="22">
        <f t="shared" si="3"/>
        <v>36.362714685244704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>
        <f>VLOOKUP(A51,'Données projet'!$A$61:$I$81,2,0)</f>
        <v>252</v>
      </c>
      <c r="AG51" s="12">
        <f>VLOOKUP(A51,'Données projet'!$A$61:$I$81,9,0)</f>
        <v>10.666666666666666</v>
      </c>
      <c r="AH51" s="12">
        <f t="array" ref="AH51">INDEX(AG:AG,MIN(IF(ISNUMBER(AG51:AG247),ROW(AG51:AG247),"")))</f>
        <v>10.666666666666666</v>
      </c>
      <c r="AI51" s="13">
        <f>IF('Données projet'!$A$62&gt;35,AI50+AH51-AQ50,IF(A51&lt;'Données projet'!$A$62,$AF$205^A51,IF(A51='Données projet'!$A$62,'Données projet'!$B$62,AI50+AH51-AQ50)))</f>
        <v>251.99999999999997</v>
      </c>
      <c r="AJ51" s="13">
        <f>AI51*VLOOKUP('Données projet'!$B$10,Paramètres!$A$1:$I$89,3,0)*VLOOKUP('Données projet'!$B$10,Paramètres!$A$1:$I$89,5,0)</f>
        <v>157.24799999999999</v>
      </c>
      <c r="AK51" s="13">
        <f t="shared" si="35"/>
        <v>40.22116874434861</v>
      </c>
      <c r="AL51" s="20">
        <f t="shared" si="4"/>
        <v>343.92546889640715</v>
      </c>
      <c r="AM51" s="59">
        <f t="shared" si="5"/>
        <v>637.25880222974047</v>
      </c>
      <c r="AN51" s="59">
        <f ca="1">AVERAGE(OFFSET($AM$3,0,0,'Données projet'!$E$10+1,1))-AVERAGE(OFFSET($H$3,0,0,'Données projet'!$E$10+1,1))</f>
        <v>179.4725256147085</v>
      </c>
      <c r="AO51" s="59">
        <f t="shared" si="36"/>
        <v>282.16750121151176</v>
      </c>
      <c r="AP51" s="15">
        <f>IF(ISNA(VLOOKUP(A51,'Données projet'!$A$61:$I$81,3,0)),0,VLOOKUP(A51,'Données projet'!$A$61:$I$81,3,0))</f>
        <v>7</v>
      </c>
      <c r="AQ51" s="15">
        <f>IF(ISNA(VLOOKUP(A51,'Données projet'!$A$61:$I$81,4,0)),0,VLOOKUP(A51,'Données projet'!$A$61:$I$81,4,0))</f>
        <v>65</v>
      </c>
      <c r="AR51" s="16">
        <f>IF(ISNA(VLOOKUP(A51,'Données projet'!$A$61:$I$81,5,0)),0%,VLOOKUP(A51,'Données projet'!$A$61:$I$81,5,0)*VLOOKUP('Données projet'!$B$10,Paramètres!$A$1:$I$89,7,0))</f>
        <v>0.36</v>
      </c>
      <c r="AS51" s="16">
        <f>IF(ISNA(VLOOKUP(A51,'Données projet'!$A$61:$I$81,6,0)),0%,VLOOKUP(A51,'Données projet'!$A$61:$I$81,6,0)*VLOOKUP('Données projet'!$B$10,Paramètres!$A$1:$I$89,7,0))</f>
        <v>0.12</v>
      </c>
      <c r="AT51" s="16">
        <f>IF(ISNA(VLOOKUP(A51,'Données projet'!$A$61:$I$81,7,0)),0%,VLOOKUP(A51,'Données projet'!$A$61:$I$81,7,0))</f>
        <v>0.2</v>
      </c>
      <c r="AU51" s="21">
        <f>EXP(-LN(2)/35)*AU50+(1-EXP(-LN(2)/35))/(LN(2)/35)*AQ51*AR51*VLOOKUP('Données projet'!$B$10,Paramètres!$A$1:$I$89,3,0)*0.475*44/12</f>
        <v>68.225686788856464</v>
      </c>
      <c r="AV51" s="21">
        <f>EXP(-LN(2)/25)*AV50+(1-EXP(-LN(2)/25))/(LN(2)/25)*Calculateur!AQ51*Calculateur!AS51*VLOOKUP('Données projet'!$B$10,Paramètres!$A$1:$I$89,3,0)*0.475*44/12</f>
        <v>26.199626817723519</v>
      </c>
      <c r="AW51" s="21">
        <f>EXP(-LN(2)/2)*AW50+(1-EXP(-LN(2)/2))/(LN(2)/2)*AQ51*AT51*VLOOKUP('Données projet'!$B$10,Paramètres!$A$1:$I$89,3,0)*0.475*44/12</f>
        <v>10.522258714109489</v>
      </c>
      <c r="AX51" s="21">
        <f t="shared" si="6"/>
        <v>104.94757232068946</v>
      </c>
      <c r="AY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5.3214035087719296</v>
      </c>
      <c r="BD51" s="12">
        <f>IF('Données projet'!$A$88&gt;35,BD50+BC51-BL50,IF(A51&lt;'Données projet'!$A$88,$BA$205^A51,IF(A51='Données projet'!$A$88,'Données projet'!$B$88,BD50+BC51-BL50)))</f>
        <v>255.42736842105288</v>
      </c>
      <c r="BE51" s="13">
        <f>BD51*VLOOKUP('Données projet'!$B$11,Paramètres!$A$1:$I$89,3,0)*VLOOKUP('Données projet'!$B$11,Paramètres!$A$1:$I$89,5,0)</f>
        <v>219.1566821052634</v>
      </c>
      <c r="BF51" s="13">
        <f t="shared" si="37"/>
        <v>53.931553792926763</v>
      </c>
      <c r="BG51" s="20">
        <f t="shared" si="7"/>
        <v>475.62867752268113</v>
      </c>
      <c r="BH51" s="59">
        <f t="shared" si="8"/>
        <v>768.96201085601444</v>
      </c>
      <c r="BI51" s="59">
        <f ca="1">AVERAGE(OFFSET($BH$3,0,0,'Données projet'!$E$11+1,1))-AVERAGE(OFFSET($H$3,0,0,'Données projet'!$E$11+1,1))</f>
        <v>312.89478437044261</v>
      </c>
      <c r="BJ51" s="59">
        <f t="shared" si="38"/>
        <v>276.16555507854571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>
        <f>EXP(-LN(2)/35)*BP50+(1-EXP(-LN(2)/35))/(LN(2)/35)*BL51*BM51*VLOOKUP('Données projet'!$B$11,Paramètres!$A$1:$I$89,3,0)*0.475*44/12</f>
        <v>0</v>
      </c>
      <c r="BQ51" s="21">
        <f>EXP(-LN(2)/25)*BQ50+(1-EXP(-LN(2)/25))/(LN(2)/25)*Calculateur!BL51*Calculateur!BN51*VLOOKUP('Données projet'!$B$11,Paramètres!$A$1:$I$89,3,0)*0.475*44/12</f>
        <v>0</v>
      </c>
      <c r="BR51" s="21">
        <f>EXP(-LN(2)/2)*BR50+(1-EXP(-LN(2)/2))/(LN(2)/2)*BL51*BO51*VLOOKUP('Données projet'!$B$11,Paramètres!$A$1:$I$89,3,0)*0.475*44/12</f>
        <v>0</v>
      </c>
      <c r="BS51" s="22">
        <f t="shared" si="9"/>
        <v>0</v>
      </c>
      <c r="BT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0</v>
      </c>
      <c r="BY51" s="12">
        <f>IF('Données projet'!$A$114&gt;35,BY50+BX51-CG50,IF(A51&lt;'Données projet'!$A$114,$BV$205^A51,IF(A51='Données projet'!$A$114,'Données projet'!$B$114,BY50+BX51-CG50)))</f>
        <v>0</v>
      </c>
      <c r="BZ51" s="13" t="e">
        <f>BY51*VLOOKUP('Données projet'!$B$12,Paramètres!$A$1:$I$89,3,0)*VLOOKUP('Données projet'!$B$12,Paramètres!$A$1:$I$89,5,0)</f>
        <v>#N/A</v>
      </c>
      <c r="CA51" s="13" t="e">
        <f t="shared" si="39"/>
        <v>#N/A</v>
      </c>
      <c r="CB51" s="20" t="e">
        <f t="shared" si="10"/>
        <v>#N/A</v>
      </c>
      <c r="CC51" s="59" t="e">
        <f t="shared" si="11"/>
        <v>#N/A</v>
      </c>
      <c r="CD51" s="59" t="e">
        <f ca="1">AVERAGE(OFFSET($CC$3,0,0,'Données projet'!$E$12+1,1))-AVERAGE(OFFSET($H$3,0,0,'Données projet'!$E$12+1,1))</f>
        <v>#N/A</v>
      </c>
      <c r="CE51" s="59" t="e">
        <f t="shared" si="40"/>
        <v>#N/A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 t="e">
        <f>EXP(-LN(2)/35)*CK50+(1-EXP(-LN(2)/35))/(LN(2)/35)*CG51*CH51*VLOOKUP('Données projet'!$B$12,Paramètres!$A$1:$I$89,3,0)*0.475*44/12</f>
        <v>#N/A</v>
      </c>
      <c r="CL51" s="21" t="e">
        <f>EXP(-LN(2)/25)*CL50+(1-EXP(-LN(2)/25))/(LN(2)/25)*Calculateur!CG51*Calculateur!CI51*VLOOKUP('Données projet'!$B$12,Paramètres!$A$1:$I$89,3,0)*0.475*44/12</f>
        <v>#N/A</v>
      </c>
      <c r="CM51" s="21" t="e">
        <f>EXP(-LN(2)/2)*CM50+(1-EXP(-LN(2)/2))/(LN(2)/2)*CG51*CJ51*VLOOKUP('Données projet'!$B$12,Paramètres!$A$1:$I$89,3,0)*0.475*44/12</f>
        <v>#N/A</v>
      </c>
      <c r="CN51" s="22" t="e">
        <f t="shared" si="12"/>
        <v>#N/A</v>
      </c>
      <c r="CO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0</v>
      </c>
      <c r="CT51" s="12">
        <f>IF('Données projet'!$A$140&gt;35,CT50+CS51-DB50,IF(A51&lt;'Données projet'!$A$140,$CQ$205^A51,IF(A51='Données projet'!$A$140,'Données projet'!$B$140,CT50+CS51-DB50)))</f>
        <v>0</v>
      </c>
      <c r="CU51" s="17" t="e">
        <f>CT51*VLOOKUP('Données projet'!$B$13,Paramètres!$A$1:$I$89,3,0)*VLOOKUP('Données projet'!$B$13,Paramètres!$A$1:$I$89,5,0)</f>
        <v>#N/A</v>
      </c>
      <c r="CV51" s="13" t="e">
        <f t="shared" si="41"/>
        <v>#N/A</v>
      </c>
      <c r="CW51" s="20" t="e">
        <f t="shared" si="13"/>
        <v>#N/A</v>
      </c>
      <c r="CX51" s="59" t="e">
        <f t="shared" si="14"/>
        <v>#N/A</v>
      </c>
      <c r="CY51" s="59" t="e">
        <f ca="1">AVERAGE(OFFSET($CX$3,0,0,'Données projet'!$E$13+1,1))-AVERAGE(OFFSET($H$3,0,0,'Données projet'!$E$13+1,1))</f>
        <v>#N/A</v>
      </c>
      <c r="CZ51" s="59" t="e">
        <f t="shared" si="42"/>
        <v>#N/A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 t="e">
        <f>EXP(-LN(2)/35)*DF50+(1-EXP(-LN(2)/35))/(LN(2)/35)*DB51*DC51*VLOOKUP('Données projet'!$B$13,Paramètres!$A$1:$I$89,3,0)*0.475*44/12</f>
        <v>#N/A</v>
      </c>
      <c r="DG51" s="21" t="e">
        <f>EXP(-LN(2)/25)*DG50+(1-EXP(-LN(2)/25))/(LN(2)/25)*Calculateur!DB51*Calculateur!DD51*VLOOKUP('Données projet'!$B$13,Paramètres!$A$1:$I$89,3,0)*0.475*44/12</f>
        <v>#N/A</v>
      </c>
      <c r="DH51" s="21" t="e">
        <f>EXP(-LN(2)/2)*DH50+(1-EXP(-LN(2)/2))/(LN(2)/2)*DB51*DE51*VLOOKUP('Données projet'!$B$13,Paramètres!$A$1:$I$89,3,0)*0.475*44/12</f>
        <v>#N/A</v>
      </c>
      <c r="DI51" s="22" t="e">
        <f t="shared" si="15"/>
        <v>#N/A</v>
      </c>
      <c r="DJ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0</v>
      </c>
      <c r="DO51" s="12">
        <f>IF('Données projet'!$A$166&gt;35,DO50+DN51-DW50,IF(A51&lt;'Données projet'!$A$166,$DL$205^A51,IF(A51='Données projet'!$A$166,'Données projet'!$B$166,DO50+DN51-DW50)))</f>
        <v>0</v>
      </c>
      <c r="DP51" s="17" t="e">
        <f>DO51*VLOOKUP('Données projet'!$B$14,Paramètres!$A$1:$I$89,3,0)*VLOOKUP('Données projet'!$B$14,Paramètres!$A$1:$I$89,5,0)</f>
        <v>#N/A</v>
      </c>
      <c r="DQ51" s="13" t="e">
        <f t="shared" si="43"/>
        <v>#N/A</v>
      </c>
      <c r="DR51" s="20" t="e">
        <f t="shared" si="16"/>
        <v>#N/A</v>
      </c>
      <c r="DS51" s="59" t="e">
        <f t="shared" si="17"/>
        <v>#N/A</v>
      </c>
      <c r="DT51" s="59" t="e">
        <f ca="1">AVERAGE(OFFSET($DS$3,0,0,'Données projet'!$E$14+1,1))-AVERAGE(OFFSET($H$3,0,0,'Données projet'!$E$14+1,1))</f>
        <v>#N/A</v>
      </c>
      <c r="DU51" s="59" t="e">
        <f t="shared" si="44"/>
        <v>#N/A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 t="e">
        <f>EXP(-LN(2)/35)*EA50+(1-EXP(-LN(2)/35))/(LN(2)/35)*DW51*DX51*VLOOKUP('Données projet'!$B$14,Paramètres!$A$1:$I$89,3,0)*0.475*44/12</f>
        <v>#N/A</v>
      </c>
      <c r="EB51" s="21" t="e">
        <f>EXP(-LN(2)/25)*EB50+(1-EXP(-LN(2)/25))/(LN(2)/25)*Calculateur!DW51*Calculateur!DY51*VLOOKUP('Données projet'!$B$14,Paramètres!$A$1:$I$89,3,0)*0.475*44/12</f>
        <v>#N/A</v>
      </c>
      <c r="EC51" s="21" t="e">
        <f>EXP(-LN(2)/2)*EC50+(1-EXP(-LN(2)/2))/(LN(2)/2)*DW51*DZ51*VLOOKUP('Données projet'!$B$14,Paramètres!$A$1:$I$89,3,0)*0.475*44/12</f>
        <v>#N/A</v>
      </c>
      <c r="ED51" s="22" t="e">
        <f t="shared" si="18"/>
        <v>#N/A</v>
      </c>
      <c r="EE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0</v>
      </c>
      <c r="EJ51" s="12">
        <f>IF('Données projet'!$A$192&gt;35,EJ50+EI51-ER50,IF(A51&lt;'Données projet'!$A$192,$EG$205^A51,IF(A51='Données projet'!$A$192,'Données projet'!$B$192,EJ50+EI51-ER50)))</f>
        <v>0</v>
      </c>
      <c r="EK51" s="17" t="e">
        <f>EJ51*VLOOKUP('Données projet'!$B$15,Paramètres!$A$1:$I$89,3,0)*VLOOKUP('Données projet'!$B$15,Paramètres!$A$1:$I$89,5,0)</f>
        <v>#N/A</v>
      </c>
      <c r="EL51" s="13" t="e">
        <f t="shared" si="45"/>
        <v>#N/A</v>
      </c>
      <c r="EM51" s="20" t="e">
        <f t="shared" si="19"/>
        <v>#N/A</v>
      </c>
      <c r="EN51" s="59" t="e">
        <f t="shared" si="20"/>
        <v>#N/A</v>
      </c>
      <c r="EO51" s="59" t="e">
        <f ca="1">AVERAGE(OFFSET($EN$3,0,0,'Données projet'!$E$15+1,1))-AVERAGE(OFFSET($H$3,0,0,'Données projet'!$E$15+1,1))</f>
        <v>#N/A</v>
      </c>
      <c r="EP51" s="59" t="e">
        <f t="shared" si="46"/>
        <v>#N/A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 t="e">
        <f>EXP(-LN(2)/35)*EV50+(1-EXP(-LN(2)/35))/(LN(2)/35)*ER51*ES51*VLOOKUP('Données projet'!$B$15,Paramètres!$A$1:$I$89,3,0)*0.475*44/12</f>
        <v>#N/A</v>
      </c>
      <c r="EW51" s="21" t="e">
        <f>EXP(-LN(2)/25)*EW50+(1-EXP(-LN(2)/25))/(LN(2)/25)*Calculateur!ER51*Calculateur!ET51*VLOOKUP('Données projet'!$B$15,Paramètres!$A$1:$I$89,3,0)*0.475*44/12</f>
        <v>#N/A</v>
      </c>
      <c r="EX51" s="21" t="e">
        <f>EXP(-LN(2)/2)*EX50+(1-EXP(-LN(2)/2))/(LN(2)/2)*ER51*EU51*VLOOKUP('Données projet'!$B$15,Paramètres!$A$1:$I$89,3,0)*0.475*44/12</f>
        <v>#N/A</v>
      </c>
      <c r="EY51" s="22" t="e">
        <f t="shared" si="21"/>
        <v>#N/A</v>
      </c>
      <c r="EZ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45">
      <c r="A52" s="10">
        <f t="shared" si="31"/>
        <v>49</v>
      </c>
      <c r="B52" s="73">
        <f>'Scénario référence'!$B$16*5+'Scénario référence'!$B$17*0+'Scénario référence'!$B$18*5</f>
        <v>0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43.57080000000002</v>
      </c>
      <c r="D52" s="11">
        <f t="shared" si="32"/>
        <v>12.940326634618209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">
        <f>IF(OR('Scénario référence'!$F$8&gt;0,'Scénario référence'!$F$9&gt;0),('Scénario référence'!$F$8+'Scénario référence'!$F$9)*10,0)</f>
        <v>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436.22624068828105</v>
      </c>
      <c r="H52" s="67">
        <f t="shared" si="1"/>
        <v>355.09021222196009</v>
      </c>
      <c r="I52" s="7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13.08111111111111</v>
      </c>
      <c r="N52" s="13">
        <f>IF('Données projet'!$A$36&gt;35,N51+M52-V51,IF(A52&lt;'Données projet'!$A$36,$K$205^A52,IF(A52='Données projet'!$A$36,'Données projet'!$B$36,N51+M52-V51)))</f>
        <v>315.56666666666678</v>
      </c>
      <c r="O52" s="13">
        <f>N52*VLOOKUP('Données projet'!$B$9,Paramètres!$A$1:$I$89,3,0)*VLOOKUP('Données projet'!$B$9,Paramètres!$A$1:$I$89,5,0)</f>
        <v>176.40176666666673</v>
      </c>
      <c r="P52" s="13">
        <f t="shared" si="33"/>
        <v>44.520707168717585</v>
      </c>
      <c r="Q52" s="20">
        <f t="shared" si="53"/>
        <v>384.77330859662766</v>
      </c>
      <c r="R52" s="59">
        <f t="shared" si="0"/>
        <v>678.10664192996092</v>
      </c>
      <c r="S52" s="59">
        <f ca="1">AVERAGE(OFFSET($R$3,0,0,'Données projet'!$E$9+1,1))-AVERAGE(OFFSET($H$3,0,0,'Données projet'!$E$9+1,1))</f>
        <v>280.69347314340195</v>
      </c>
      <c r="T52" s="59">
        <f t="shared" si="34"/>
        <v>152.40533828556482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13.717683791072801</v>
      </c>
      <c r="AA52" s="21">
        <f>EXP(-LN(2)/25)*AA51+(1-EXP(-LN(2)/25))/(LN(2)/25)*Calculateur!V52*Calculateur!X52*VLOOKUP('Données projet'!$B$9,Paramètres!$A$1:$I$89,3,0)*0.475*44/12</f>
        <v>18.590951345728268</v>
      </c>
      <c r="AB52" s="21">
        <f>EXP(-LN(2)/2)*AB51+(1-EXP(-LN(2)/2))/(LN(2)/2)*V52*Y52*VLOOKUP('Données projet'!$B$9,Paramètres!$A$1:$I$89,3,0)*0.475*44/12</f>
        <v>2.3030757858950888</v>
      </c>
      <c r="AC52" s="22">
        <f t="shared" si="3"/>
        <v>34.611710922696162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9.75</v>
      </c>
      <c r="AI52" s="13">
        <f>IF('Données projet'!$A$62&gt;35,AI51+AH52-AQ51,IF(A52&lt;'Données projet'!$A$62,$AF$205^A52,IF(A52='Données projet'!$A$62,'Données projet'!$B$62,AI51+AH52-AQ51)))</f>
        <v>196.75</v>
      </c>
      <c r="AJ52" s="13">
        <f>AI52*VLOOKUP('Données projet'!$B$10,Paramètres!$A$1:$I$89,3,0)*VLOOKUP('Données projet'!$B$10,Paramètres!$A$1:$I$89,5,0)</f>
        <v>122.77200000000001</v>
      </c>
      <c r="AK52" s="13">
        <f t="shared" si="35"/>
        <v>32.320660955470466</v>
      </c>
      <c r="AL52" s="20">
        <f t="shared" si="4"/>
        <v>270.11971783077774</v>
      </c>
      <c r="AM52" s="59">
        <f t="shared" si="5"/>
        <v>563.453051164111</v>
      </c>
      <c r="AN52" s="59">
        <f ca="1">AVERAGE(OFFSET($AM$3,0,0,'Données projet'!$E$10+1,1))-AVERAGE(OFFSET($H$3,0,0,'Données projet'!$E$10+1,1))</f>
        <v>179.4725256147085</v>
      </c>
      <c r="AO52" s="59">
        <f t="shared" si="36"/>
        <v>282.16750121151176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66.887822684486935</v>
      </c>
      <c r="AV52" s="21">
        <f>EXP(-LN(2)/25)*AV51+(1-EXP(-LN(2)/25))/(LN(2)/25)*Calculateur!AQ52*Calculateur!AS52*VLOOKUP('Données projet'!$B$10,Paramètres!$A$1:$I$89,3,0)*0.475*44/12</f>
        <v>25.483196644614374</v>
      </c>
      <c r="AW52" s="21">
        <f>EXP(-LN(2)/2)*AW51+(1-EXP(-LN(2)/2))/(LN(2)/2)*AQ52*AT52*VLOOKUP('Données projet'!$B$10,Paramètres!$A$1:$I$89,3,0)*0.475*44/12</f>
        <v>7.4403604901460616</v>
      </c>
      <c r="AX52" s="21">
        <f t="shared" si="6"/>
        <v>99.811379819247364</v>
      </c>
      <c r="AY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5.3214035087719296</v>
      </c>
      <c r="BD52" s="12">
        <f>IF('Données projet'!$A$88&gt;35,BD51+BC52-BL51,IF(A52&lt;'Données projet'!$A$88,$BA$205^A52,IF(A52='Données projet'!$A$88,'Données projet'!$B$88,BD51+BC52-BL51)))</f>
        <v>260.74877192982478</v>
      </c>
      <c r="BE52" s="13">
        <f>BD52*VLOOKUP('Données projet'!$B$11,Paramètres!$A$1:$I$89,3,0)*VLOOKUP('Données projet'!$B$11,Paramètres!$A$1:$I$89,5,0)</f>
        <v>223.72244631578971</v>
      </c>
      <c r="BF52" s="13">
        <f t="shared" si="37"/>
        <v>54.923149285346454</v>
      </c>
      <c r="BG52" s="20">
        <f t="shared" si="7"/>
        <v>485.30774567197881</v>
      </c>
      <c r="BH52" s="59">
        <f t="shared" si="8"/>
        <v>778.64107900531212</v>
      </c>
      <c r="BI52" s="59">
        <f ca="1">AVERAGE(OFFSET($BH$3,0,0,'Données projet'!$E$11+1,1))-AVERAGE(OFFSET($H$3,0,0,'Données projet'!$E$11+1,1))</f>
        <v>312.89478437044261</v>
      </c>
      <c r="BJ52" s="59">
        <f t="shared" si="38"/>
        <v>276.16555507854571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>
        <f>EXP(-LN(2)/35)*BP51+(1-EXP(-LN(2)/35))/(LN(2)/35)*BL52*BM52*VLOOKUP('Données projet'!$B$11,Paramètres!$A$1:$I$89,3,0)*0.475*44/12</f>
        <v>0</v>
      </c>
      <c r="BQ52" s="21">
        <f>EXP(-LN(2)/25)*BQ51+(1-EXP(-LN(2)/25))/(LN(2)/25)*Calculateur!BL52*Calculateur!BN52*VLOOKUP('Données projet'!$B$11,Paramètres!$A$1:$I$89,3,0)*0.475*44/12</f>
        <v>0</v>
      </c>
      <c r="BR52" s="21">
        <f>EXP(-LN(2)/2)*BR51+(1-EXP(-LN(2)/2))/(LN(2)/2)*BL52*BO52*VLOOKUP('Données projet'!$B$11,Paramètres!$A$1:$I$89,3,0)*0.475*44/12</f>
        <v>0</v>
      </c>
      <c r="BS52" s="22">
        <f t="shared" si="9"/>
        <v>0</v>
      </c>
      <c r="BT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0</v>
      </c>
      <c r="BY52" s="12">
        <f>IF('Données projet'!$A$114&gt;35,BY51+BX52-CG51,IF(A52&lt;'Données projet'!$A$114,$BV$205^A52,IF(A52='Données projet'!$A$114,'Données projet'!$B$114,BY51+BX52-CG51)))</f>
        <v>0</v>
      </c>
      <c r="BZ52" s="13" t="e">
        <f>BY52*VLOOKUP('Données projet'!$B$12,Paramètres!$A$1:$I$89,3,0)*VLOOKUP('Données projet'!$B$12,Paramètres!$A$1:$I$89,5,0)</f>
        <v>#N/A</v>
      </c>
      <c r="CA52" s="13" t="e">
        <f t="shared" si="39"/>
        <v>#N/A</v>
      </c>
      <c r="CB52" s="20" t="e">
        <f t="shared" si="10"/>
        <v>#N/A</v>
      </c>
      <c r="CC52" s="59" t="e">
        <f t="shared" si="11"/>
        <v>#N/A</v>
      </c>
      <c r="CD52" s="59" t="e">
        <f ca="1">AVERAGE(OFFSET($CC$3,0,0,'Données projet'!$E$12+1,1))-AVERAGE(OFFSET($H$3,0,0,'Données projet'!$E$12+1,1))</f>
        <v>#N/A</v>
      </c>
      <c r="CE52" s="59" t="e">
        <f t="shared" si="40"/>
        <v>#N/A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 t="e">
        <f>EXP(-LN(2)/35)*CK51+(1-EXP(-LN(2)/35))/(LN(2)/35)*CG52*CH52*VLOOKUP('Données projet'!$B$12,Paramètres!$A$1:$I$89,3,0)*0.475*44/12</f>
        <v>#N/A</v>
      </c>
      <c r="CL52" s="21" t="e">
        <f>EXP(-LN(2)/25)*CL51+(1-EXP(-LN(2)/25))/(LN(2)/25)*Calculateur!CG52*Calculateur!CI52*VLOOKUP('Données projet'!$B$12,Paramètres!$A$1:$I$89,3,0)*0.475*44/12</f>
        <v>#N/A</v>
      </c>
      <c r="CM52" s="21" t="e">
        <f>EXP(-LN(2)/2)*CM51+(1-EXP(-LN(2)/2))/(LN(2)/2)*CG52*CJ52*VLOOKUP('Données projet'!$B$12,Paramètres!$A$1:$I$89,3,0)*0.475*44/12</f>
        <v>#N/A</v>
      </c>
      <c r="CN52" s="22" t="e">
        <f t="shared" si="12"/>
        <v>#N/A</v>
      </c>
      <c r="CO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0</v>
      </c>
      <c r="CT52" s="12">
        <f>IF('Données projet'!$A$140&gt;35,CT51+CS52-DB51,IF(A52&lt;'Données projet'!$A$140,$CQ$205^A52,IF(A52='Données projet'!$A$140,'Données projet'!$B$140,CT51+CS52-DB51)))</f>
        <v>0</v>
      </c>
      <c r="CU52" s="17" t="e">
        <f>CT52*VLOOKUP('Données projet'!$B$13,Paramètres!$A$1:$I$89,3,0)*VLOOKUP('Données projet'!$B$13,Paramètres!$A$1:$I$89,5,0)</f>
        <v>#N/A</v>
      </c>
      <c r="CV52" s="13" t="e">
        <f t="shared" si="41"/>
        <v>#N/A</v>
      </c>
      <c r="CW52" s="20" t="e">
        <f t="shared" si="13"/>
        <v>#N/A</v>
      </c>
      <c r="CX52" s="59" t="e">
        <f t="shared" si="14"/>
        <v>#N/A</v>
      </c>
      <c r="CY52" s="59" t="e">
        <f ca="1">AVERAGE(OFFSET($CX$3,0,0,'Données projet'!$E$13+1,1))-AVERAGE(OFFSET($H$3,0,0,'Données projet'!$E$13+1,1))</f>
        <v>#N/A</v>
      </c>
      <c r="CZ52" s="59" t="e">
        <f t="shared" si="42"/>
        <v>#N/A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 t="e">
        <f>EXP(-LN(2)/35)*DF51+(1-EXP(-LN(2)/35))/(LN(2)/35)*DB52*DC52*VLOOKUP('Données projet'!$B$13,Paramètres!$A$1:$I$89,3,0)*0.475*44/12</f>
        <v>#N/A</v>
      </c>
      <c r="DG52" s="21" t="e">
        <f>EXP(-LN(2)/25)*DG51+(1-EXP(-LN(2)/25))/(LN(2)/25)*Calculateur!DB52*Calculateur!DD52*VLOOKUP('Données projet'!$B$13,Paramètres!$A$1:$I$89,3,0)*0.475*44/12</f>
        <v>#N/A</v>
      </c>
      <c r="DH52" s="21" t="e">
        <f>EXP(-LN(2)/2)*DH51+(1-EXP(-LN(2)/2))/(LN(2)/2)*DB52*DE52*VLOOKUP('Données projet'!$B$13,Paramètres!$A$1:$I$89,3,0)*0.475*44/12</f>
        <v>#N/A</v>
      </c>
      <c r="DI52" s="22" t="e">
        <f t="shared" si="15"/>
        <v>#N/A</v>
      </c>
      <c r="DJ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0</v>
      </c>
      <c r="DO52" s="12">
        <f>IF('Données projet'!$A$166&gt;35,DO51+DN52-DW51,IF(A52&lt;'Données projet'!$A$166,$DL$205^A52,IF(A52='Données projet'!$A$166,'Données projet'!$B$166,DO51+DN52-DW51)))</f>
        <v>0</v>
      </c>
      <c r="DP52" s="17" t="e">
        <f>DO52*VLOOKUP('Données projet'!$B$14,Paramètres!$A$1:$I$89,3,0)*VLOOKUP('Données projet'!$B$14,Paramètres!$A$1:$I$89,5,0)</f>
        <v>#N/A</v>
      </c>
      <c r="DQ52" s="13" t="e">
        <f t="shared" si="43"/>
        <v>#N/A</v>
      </c>
      <c r="DR52" s="20" t="e">
        <f t="shared" si="16"/>
        <v>#N/A</v>
      </c>
      <c r="DS52" s="59" t="e">
        <f t="shared" si="17"/>
        <v>#N/A</v>
      </c>
      <c r="DT52" s="59" t="e">
        <f ca="1">AVERAGE(OFFSET($DS$3,0,0,'Données projet'!$E$14+1,1))-AVERAGE(OFFSET($H$3,0,0,'Données projet'!$E$14+1,1))</f>
        <v>#N/A</v>
      </c>
      <c r="DU52" s="59" t="e">
        <f t="shared" si="44"/>
        <v>#N/A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 t="e">
        <f>EXP(-LN(2)/35)*EA51+(1-EXP(-LN(2)/35))/(LN(2)/35)*DW52*DX52*VLOOKUP('Données projet'!$B$14,Paramètres!$A$1:$I$89,3,0)*0.475*44/12</f>
        <v>#N/A</v>
      </c>
      <c r="EB52" s="21" t="e">
        <f>EXP(-LN(2)/25)*EB51+(1-EXP(-LN(2)/25))/(LN(2)/25)*Calculateur!DW52*Calculateur!DY52*VLOOKUP('Données projet'!$B$14,Paramètres!$A$1:$I$89,3,0)*0.475*44/12</f>
        <v>#N/A</v>
      </c>
      <c r="EC52" s="21" t="e">
        <f>EXP(-LN(2)/2)*EC51+(1-EXP(-LN(2)/2))/(LN(2)/2)*DW52*DZ52*VLOOKUP('Données projet'!$B$14,Paramètres!$A$1:$I$89,3,0)*0.475*44/12</f>
        <v>#N/A</v>
      </c>
      <c r="ED52" s="22" t="e">
        <f t="shared" si="18"/>
        <v>#N/A</v>
      </c>
      <c r="EE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0</v>
      </c>
      <c r="EJ52" s="12">
        <f>IF('Données projet'!$A$192&gt;35,EJ51+EI52-ER51,IF(A52&lt;'Données projet'!$A$192,$EG$205^A52,IF(A52='Données projet'!$A$192,'Données projet'!$B$192,EJ51+EI52-ER51)))</f>
        <v>0</v>
      </c>
      <c r="EK52" s="17" t="e">
        <f>EJ52*VLOOKUP('Données projet'!$B$15,Paramètres!$A$1:$I$89,3,0)*VLOOKUP('Données projet'!$B$15,Paramètres!$A$1:$I$89,5,0)</f>
        <v>#N/A</v>
      </c>
      <c r="EL52" s="13" t="e">
        <f t="shared" si="45"/>
        <v>#N/A</v>
      </c>
      <c r="EM52" s="20" t="e">
        <f t="shared" si="19"/>
        <v>#N/A</v>
      </c>
      <c r="EN52" s="59" t="e">
        <f t="shared" si="20"/>
        <v>#N/A</v>
      </c>
      <c r="EO52" s="59" t="e">
        <f ca="1">AVERAGE(OFFSET($EN$3,0,0,'Données projet'!$E$15+1,1))-AVERAGE(OFFSET($H$3,0,0,'Données projet'!$E$15+1,1))</f>
        <v>#N/A</v>
      </c>
      <c r="EP52" s="59" t="e">
        <f t="shared" si="46"/>
        <v>#N/A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 t="e">
        <f>EXP(-LN(2)/35)*EV51+(1-EXP(-LN(2)/35))/(LN(2)/35)*ER52*ES52*VLOOKUP('Données projet'!$B$15,Paramètres!$A$1:$I$89,3,0)*0.475*44/12</f>
        <v>#N/A</v>
      </c>
      <c r="EW52" s="21" t="e">
        <f>EXP(-LN(2)/25)*EW51+(1-EXP(-LN(2)/25))/(LN(2)/25)*Calculateur!ER52*Calculateur!ET52*VLOOKUP('Données projet'!$B$15,Paramètres!$A$1:$I$89,3,0)*0.475*44/12</f>
        <v>#N/A</v>
      </c>
      <c r="EX52" s="21" t="e">
        <f>EXP(-LN(2)/2)*EX51+(1-EXP(-LN(2)/2))/(LN(2)/2)*ER52*EU52*VLOOKUP('Données projet'!$B$15,Paramètres!$A$1:$I$89,3,0)*0.475*44/12</f>
        <v>#N/A</v>
      </c>
      <c r="EY52" s="22" t="e">
        <f t="shared" si="21"/>
        <v>#N/A</v>
      </c>
      <c r="EZ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45">
      <c r="A53" s="10">
        <f t="shared" si="31"/>
        <v>50</v>
      </c>
      <c r="B53" s="73">
        <f>'Scénario référence'!$B$16*5+'Scénario référence'!$B$17*0+'Scénario référence'!$B$18*5</f>
        <v>0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44.460000000000022</v>
      </c>
      <c r="D53" s="11">
        <f t="shared" si="32"/>
        <v>13.17339997701186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">
        <f>IF(OR('Scénario référence'!$F$8&gt;0,'Scénario référence'!$F$9&gt;0),('Scénario référence'!$F$8+'Scénario référence'!$F$9)*10,0)</f>
        <v>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444.88940333131978</v>
      </c>
      <c r="H53" s="67">
        <f t="shared" si="1"/>
        <v>357.0448382932957</v>
      </c>
      <c r="I53" s="7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 t="e">
        <f>VLOOKUP(A53,'Données projet'!$A$35:$I$55,2,0)</f>
        <v>#N/A</v>
      </c>
      <c r="L53" s="12" t="e">
        <f>VLOOKUP(A53,'Données projet'!$A$35:$I$55,9,0)</f>
        <v>#N/A</v>
      </c>
      <c r="M53" s="12">
        <f t="array" ref="M53">INDEX(L:L,MIN(IF(ISNUMBER(L53:L249),ROW(L53:L249),"")))</f>
        <v>13.08111111111111</v>
      </c>
      <c r="N53" s="13">
        <f>IF('Données projet'!$A$36&gt;35,N52+M53-V52,IF(A53&lt;'Données projet'!$A$36,$K$205^A53,IF(A53='Données projet'!$A$36,'Données projet'!$B$36,N52+M53-V52)))</f>
        <v>328.64777777777789</v>
      </c>
      <c r="O53" s="13">
        <f>N53*VLOOKUP('Données projet'!$B$9,Paramètres!$A$1:$I$89,3,0)*VLOOKUP('Données projet'!$B$9,Paramètres!$A$1:$I$89,5,0)</f>
        <v>183.71410777777783</v>
      </c>
      <c r="P53" s="13">
        <f t="shared" si="33"/>
        <v>46.147521932152173</v>
      </c>
      <c r="Q53" s="20">
        <f t="shared" si="53"/>
        <v>400.34233841146147</v>
      </c>
      <c r="R53" s="59">
        <f t="shared" si="0"/>
        <v>693.67567174479473</v>
      </c>
      <c r="S53" s="59">
        <f ca="1">AVERAGE(OFFSET($R$3,0,0,'Données projet'!$E$9+1,1))-AVERAGE(OFFSET($H$3,0,0,'Données projet'!$E$9+1,1))</f>
        <v>280.69347314340195</v>
      </c>
      <c r="T53" s="59">
        <f t="shared" si="34"/>
        <v>152.40533828556482</v>
      </c>
      <c r="U53" s="15">
        <f>IF(ISNA(VLOOKUP(A53,'Données projet'!$A$35:$I$55,3,0)),0,VLOOKUP(A53,'Données projet'!$A$35:$I$55,3,0))</f>
        <v>0</v>
      </c>
      <c r="V53" s="15">
        <f>IF(ISNA(VLOOKUP(A53,'Données projet'!$A$35:$I$55,4,0)),0,VLOOKUP(A53,'Données projet'!$A$35:$I$55,4,0))</f>
        <v>0</v>
      </c>
      <c r="W53" s="16">
        <f>IF(ISNA(VLOOKUP(A53,'Données projet'!$A$35:$I$55,5,0)),0%,VLOOKUP(A53,'Données projet'!$A$35:$I$55,5,0)*VLOOKUP('Données projet'!$B$9,Paramètres!$A$1:$I$89,7,0))</f>
        <v>0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13.448688378890807</v>
      </c>
      <c r="AA53" s="21">
        <f>EXP(-LN(2)/25)*AA52+(1-EXP(-LN(2)/25))/(LN(2)/25)*Calculateur!V53*Calculateur!X53*VLOOKUP('Données projet'!$B$9,Paramètres!$A$1:$I$89,3,0)*0.475*44/12</f>
        <v>18.082580803523687</v>
      </c>
      <c r="AB53" s="21">
        <f>EXP(-LN(2)/2)*AB52+(1-EXP(-LN(2)/2))/(LN(2)/2)*V53*Y53*VLOOKUP('Données projet'!$B$9,Paramètres!$A$1:$I$89,3,0)*0.475*44/12</f>
        <v>1.6285205057929546</v>
      </c>
      <c r="AC53" s="22">
        <f t="shared" si="3"/>
        <v>33.159789688207447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 t="e">
        <f>VLOOKUP(A53,'Données projet'!$A$61:$I$81,2,0)</f>
        <v>#N/A</v>
      </c>
      <c r="AG53" s="12" t="e">
        <f>VLOOKUP(A53,'Données projet'!$A$61:$I$81,9,0)</f>
        <v>#N/A</v>
      </c>
      <c r="AH53" s="12">
        <f t="array" ref="AH53">INDEX(AG:AG,MIN(IF(ISNUMBER(AG53:AG249),ROW(AG53:AG249),"")))</f>
        <v>9.75</v>
      </c>
      <c r="AI53" s="13">
        <f>IF('Données projet'!$A$62&gt;35,AI52+AH53-AQ52,IF(A53&lt;'Données projet'!$A$62,$AF$205^A53,IF(A53='Données projet'!$A$62,'Données projet'!$B$62,AI52+AH53-AQ52)))</f>
        <v>206.5</v>
      </c>
      <c r="AJ53" s="13">
        <f>AI53*VLOOKUP('Données projet'!$B$10,Paramètres!$A$1:$I$89,3,0)*VLOOKUP('Données projet'!$B$10,Paramètres!$A$1:$I$89,5,0)</f>
        <v>128.85599999999999</v>
      </c>
      <c r="AK53" s="13">
        <f t="shared" si="35"/>
        <v>33.731878688740906</v>
      </c>
      <c r="AL53" s="20">
        <f t="shared" si="4"/>
        <v>283.1738887162237</v>
      </c>
      <c r="AM53" s="59">
        <f t="shared" si="5"/>
        <v>576.50722204955696</v>
      </c>
      <c r="AN53" s="59">
        <f ca="1">AVERAGE(OFFSET($AM$3,0,0,'Données projet'!$E$10+1,1))-AVERAGE(OFFSET($H$3,0,0,'Données projet'!$E$10+1,1))</f>
        <v>179.4725256147085</v>
      </c>
      <c r="AO53" s="59">
        <f t="shared" si="36"/>
        <v>282.16750121151176</v>
      </c>
      <c r="AP53" s="15">
        <f>IF(ISNA(VLOOKUP(A53,'Données projet'!$A$61:$I$81,3,0)),0,VLOOKUP(A53,'Données projet'!$A$61:$I$81,3,0))</f>
        <v>0</v>
      </c>
      <c r="AQ53" s="15">
        <f>IF(ISNA(VLOOKUP(A53,'Données projet'!$A$61:$I$81,4,0)),0,VLOOKUP(A53,'Données projet'!$A$61:$I$81,4,0))</f>
        <v>0</v>
      </c>
      <c r="AR53" s="16">
        <f>IF(ISNA(VLOOKUP(A53,'Données projet'!$A$61:$I$81,5,0)),0%,VLOOKUP(A53,'Données projet'!$A$61:$I$81,5,0)*VLOOKUP('Données projet'!$B$10,Paramètres!$A$1:$I$89,7,0))</f>
        <v>0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>
        <f>EXP(-LN(2)/35)*AU52+(1-EXP(-LN(2)/35))/(LN(2)/35)*AQ53*AR53*VLOOKUP('Données projet'!$B$10,Paramètres!$A$1:$I$89,3,0)*0.475*44/12</f>
        <v>65.576193279187564</v>
      </c>
      <c r="AV53" s="21">
        <f>EXP(-LN(2)/25)*AV52+(1-EXP(-LN(2)/25))/(LN(2)/25)*Calculateur!AQ53*Calculateur!AS53*VLOOKUP('Données projet'!$B$10,Paramètres!$A$1:$I$89,3,0)*0.475*44/12</f>
        <v>24.786357292264324</v>
      </c>
      <c r="AW53" s="21">
        <f>EXP(-LN(2)/2)*AW52+(1-EXP(-LN(2)/2))/(LN(2)/2)*AQ53*AT53*VLOOKUP('Données projet'!$B$10,Paramètres!$A$1:$I$89,3,0)*0.475*44/12</f>
        <v>5.2611293570547453</v>
      </c>
      <c r="AX53" s="21">
        <f t="shared" si="6"/>
        <v>95.623679928506633</v>
      </c>
      <c r="AY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 t="e">
        <f>VLOOKUP(A53,'Données projet'!$A$87:$I$107,2,0)</f>
        <v>#N/A</v>
      </c>
      <c r="BB53" s="12" t="e">
        <f>VLOOKUP(A53,'Données projet'!$A$87:$I$107,9,0)</f>
        <v>#N/A</v>
      </c>
      <c r="BC53" s="12">
        <f t="array" ref="BC53">INDEX(BB:BB,MIN(IF(ISNUMBER(BB53:BB249),ROW(BB53:BB249),"")))</f>
        <v>5.3214035087719296</v>
      </c>
      <c r="BD53" s="12">
        <f>IF('Données projet'!$A$88&gt;35,BD52+BC53-BL52,IF(A53&lt;'Données projet'!$A$88,$BA$205^A53,IF(A53='Données projet'!$A$88,'Données projet'!$B$88,BD52+BC53-BL52)))</f>
        <v>266.07017543859672</v>
      </c>
      <c r="BE53" s="13">
        <f>BD53*VLOOKUP('Données projet'!$B$11,Paramètres!$A$1:$I$89,3,0)*VLOOKUP('Données projet'!$B$11,Paramètres!$A$1:$I$89,5,0)</f>
        <v>228.28821052631599</v>
      </c>
      <c r="BF53" s="13">
        <f t="shared" si="37"/>
        <v>55.912391855505057</v>
      </c>
      <c r="BG53" s="20">
        <f t="shared" si="7"/>
        <v>494.98271581500495</v>
      </c>
      <c r="BH53" s="59">
        <f t="shared" si="8"/>
        <v>788.31604914833827</v>
      </c>
      <c r="BI53" s="59">
        <f ca="1">AVERAGE(OFFSET($BH$3,0,0,'Données projet'!$E$11+1,1))-AVERAGE(OFFSET($H$3,0,0,'Données projet'!$E$11+1,1))</f>
        <v>312.89478437044261</v>
      </c>
      <c r="BJ53" s="59">
        <f t="shared" si="38"/>
        <v>276.16555507854571</v>
      </c>
      <c r="BK53" s="15">
        <f>IF(ISNA(VLOOKUP(A53,'Données projet'!$A$87:$I$107,3,0)),0,VLOOKUP(A53,'Données projet'!$A$87:$I$107,3,0))</f>
        <v>0</v>
      </c>
      <c r="BL53" s="15">
        <f>IF(ISNA(VLOOKUP(A53,'Données projet'!$A$87:$I$107,4,0)),0,VLOOKUP(A53,'Données projet'!$A$87:$I$107,4,0))</f>
        <v>0</v>
      </c>
      <c r="BM53" s="16">
        <f>IF(ISNA(VLOOKUP(A53,'Données projet'!$A$87:$I$107,5,0)),0%,VLOOKUP(A53,'Données projet'!$A$87:$I$107,5,0)*VLOOKUP('Données projet'!$B$11,Paramètres!$A$1:$I$89,7,0))</f>
        <v>0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>
        <f>EXP(-LN(2)/35)*BP52+(1-EXP(-LN(2)/35))/(LN(2)/35)*BL53*BM53*VLOOKUP('Données projet'!$B$11,Paramètres!$A$1:$I$89,3,0)*0.475*44/12</f>
        <v>0</v>
      </c>
      <c r="BQ53" s="21">
        <f>EXP(-LN(2)/25)*BQ52+(1-EXP(-LN(2)/25))/(LN(2)/25)*Calculateur!BL53*Calculateur!BN53*VLOOKUP('Données projet'!$B$11,Paramètres!$A$1:$I$89,3,0)*0.475*44/12</f>
        <v>0</v>
      </c>
      <c r="BR53" s="21">
        <f>EXP(-LN(2)/2)*BR52+(1-EXP(-LN(2)/2))/(LN(2)/2)*BL53*BO53*VLOOKUP('Données projet'!$B$11,Paramètres!$A$1:$I$89,3,0)*0.475*44/12</f>
        <v>0</v>
      </c>
      <c r="BS53" s="22">
        <f t="shared" si="9"/>
        <v>0</v>
      </c>
      <c r="BT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 t="e">
        <f>VLOOKUP(A53,'Données projet'!$A$113:$I$133,2,0)</f>
        <v>#N/A</v>
      </c>
      <c r="BW53" s="12" t="e">
        <f>VLOOKUP(A53,'Données projet'!$A$113:$I$133,9,0)</f>
        <v>#N/A</v>
      </c>
      <c r="BX53" s="12">
        <f t="array" ref="BX53">INDEX(BW:BW,MIN(IF(ISNUMBER(BW53:BW249),ROW(BW53:BW249),"")))</f>
        <v>0</v>
      </c>
      <c r="BY53" s="12">
        <f>IF('Données projet'!$A$114&gt;35,BY52+BX53-CG52,IF(A53&lt;'Données projet'!$A$114,$BV$205^A53,IF(A53='Données projet'!$A$114,'Données projet'!$B$114,BY52+BX53-CG52)))</f>
        <v>0</v>
      </c>
      <c r="BZ53" s="13" t="e">
        <f>BY53*VLOOKUP('Données projet'!$B$12,Paramètres!$A$1:$I$89,3,0)*VLOOKUP('Données projet'!$B$12,Paramètres!$A$1:$I$89,5,0)</f>
        <v>#N/A</v>
      </c>
      <c r="CA53" s="13" t="e">
        <f t="shared" si="39"/>
        <v>#N/A</v>
      </c>
      <c r="CB53" s="20" t="e">
        <f t="shared" si="10"/>
        <v>#N/A</v>
      </c>
      <c r="CC53" s="59" t="e">
        <f t="shared" si="11"/>
        <v>#N/A</v>
      </c>
      <c r="CD53" s="59" t="e">
        <f ca="1">AVERAGE(OFFSET($CC$3,0,0,'Données projet'!$E$12+1,1))-AVERAGE(OFFSET($H$3,0,0,'Données projet'!$E$12+1,1))</f>
        <v>#N/A</v>
      </c>
      <c r="CE53" s="59" t="e">
        <f t="shared" si="40"/>
        <v>#N/A</v>
      </c>
      <c r="CF53" s="15">
        <f>IF(ISNA(VLOOKUP(A53,'Données projet'!$A$113:$I$133,3,0)),0,VLOOKUP(A53,'Données projet'!$A$113:$I$133,3,0))</f>
        <v>0</v>
      </c>
      <c r="CG53" s="15">
        <f>IF(ISNA(VLOOKUP(A53,'Données projet'!$A$113:$I$133,4,0)),0,VLOOKUP(A53,'Données projet'!$A$113:$I$133,4,0))</f>
        <v>0</v>
      </c>
      <c r="CH53" s="16">
        <f>IF(ISNA(VLOOKUP(A53,'Données projet'!$A$113:$I$133,5,0)),0%,VLOOKUP(A53,'Données projet'!$A$113:$I$133,5,0)*VLOOKUP('Données projet'!$B$12,Paramètres!$A$1:$I$89,7,0))</f>
        <v>0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 t="e">
        <f>EXP(-LN(2)/35)*CK52+(1-EXP(-LN(2)/35))/(LN(2)/35)*CG53*CH53*VLOOKUP('Données projet'!$B$12,Paramètres!$A$1:$I$89,3,0)*0.475*44/12</f>
        <v>#N/A</v>
      </c>
      <c r="CL53" s="21" t="e">
        <f>EXP(-LN(2)/25)*CL52+(1-EXP(-LN(2)/25))/(LN(2)/25)*Calculateur!CG53*Calculateur!CI53*VLOOKUP('Données projet'!$B$12,Paramètres!$A$1:$I$89,3,0)*0.475*44/12</f>
        <v>#N/A</v>
      </c>
      <c r="CM53" s="21" t="e">
        <f>EXP(-LN(2)/2)*CM52+(1-EXP(-LN(2)/2))/(LN(2)/2)*CG53*CJ53*VLOOKUP('Données projet'!$B$12,Paramètres!$A$1:$I$89,3,0)*0.475*44/12</f>
        <v>#N/A</v>
      </c>
      <c r="CN53" s="22" t="e">
        <f t="shared" si="12"/>
        <v>#N/A</v>
      </c>
      <c r="CO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 t="e">
        <f>VLOOKUP(A53,'Données projet'!$A$139:$I$159,2,0)</f>
        <v>#N/A</v>
      </c>
      <c r="CR53" s="12" t="e">
        <f>VLOOKUP(A53,'Données projet'!$A$139:$I$159,9,0)</f>
        <v>#N/A</v>
      </c>
      <c r="CS53" s="12">
        <f t="array" ref="CS53">INDEX(CR:CR,MIN(IF(ISNUMBER(CR53:CR249),ROW(CR53:CR249),"")))</f>
        <v>0</v>
      </c>
      <c r="CT53" s="12">
        <f>IF('Données projet'!$A$140&gt;35,CT52+CS53-DB52,IF(A53&lt;'Données projet'!$A$140,$CQ$205^A53,IF(A53='Données projet'!$A$140,'Données projet'!$B$140,CT52+CS53-DB52)))</f>
        <v>0</v>
      </c>
      <c r="CU53" s="17" t="e">
        <f>CT53*VLOOKUP('Données projet'!$B$13,Paramètres!$A$1:$I$89,3,0)*VLOOKUP('Données projet'!$B$13,Paramètres!$A$1:$I$89,5,0)</f>
        <v>#N/A</v>
      </c>
      <c r="CV53" s="13" t="e">
        <f t="shared" si="41"/>
        <v>#N/A</v>
      </c>
      <c r="CW53" s="20" t="e">
        <f t="shared" si="13"/>
        <v>#N/A</v>
      </c>
      <c r="CX53" s="59" t="e">
        <f t="shared" si="14"/>
        <v>#N/A</v>
      </c>
      <c r="CY53" s="59" t="e">
        <f ca="1">AVERAGE(OFFSET($CX$3,0,0,'Données projet'!$E$13+1,1))-AVERAGE(OFFSET($H$3,0,0,'Données projet'!$E$13+1,1))</f>
        <v>#N/A</v>
      </c>
      <c r="CZ53" s="59" t="e">
        <f t="shared" si="42"/>
        <v>#N/A</v>
      </c>
      <c r="DA53" s="15">
        <f>IF(ISNA(VLOOKUP(A53,'Données projet'!$A$139:$I$159,3,0)),0,VLOOKUP(A53,'Données projet'!$A$139:$I$159,3,0))</f>
        <v>0</v>
      </c>
      <c r="DB53" s="15">
        <f>IF(ISNA(VLOOKUP(A53,'Données projet'!$A$139:$I$159,4,0)),0,VLOOKUP(A53,'Données projet'!$A$139:$I$159,4,0))</f>
        <v>0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 t="e">
        <f>EXP(-LN(2)/35)*DF52+(1-EXP(-LN(2)/35))/(LN(2)/35)*DB53*DC53*VLOOKUP('Données projet'!$B$13,Paramètres!$A$1:$I$89,3,0)*0.475*44/12</f>
        <v>#N/A</v>
      </c>
      <c r="DG53" s="21" t="e">
        <f>EXP(-LN(2)/25)*DG52+(1-EXP(-LN(2)/25))/(LN(2)/25)*Calculateur!DB53*Calculateur!DD53*VLOOKUP('Données projet'!$B$13,Paramètres!$A$1:$I$89,3,0)*0.475*44/12</f>
        <v>#N/A</v>
      </c>
      <c r="DH53" s="21" t="e">
        <f>EXP(-LN(2)/2)*DH52+(1-EXP(-LN(2)/2))/(LN(2)/2)*DB53*DE53*VLOOKUP('Données projet'!$B$13,Paramètres!$A$1:$I$89,3,0)*0.475*44/12</f>
        <v>#N/A</v>
      </c>
      <c r="DI53" s="22" t="e">
        <f t="shared" si="15"/>
        <v>#N/A</v>
      </c>
      <c r="DJ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 t="e">
        <f>VLOOKUP(A53,'Données projet'!$A$165:$I$185,2,0)</f>
        <v>#N/A</v>
      </c>
      <c r="DM53" s="12" t="e">
        <f>VLOOKUP(A53,'Données projet'!$A$165:$I$185,9,0)</f>
        <v>#N/A</v>
      </c>
      <c r="DN53" s="12">
        <f t="array" ref="DN53">INDEX(DM:DM,MIN(IF(ISNUMBER(DM53:DM249),ROW(DM53:DM249),"")))</f>
        <v>0</v>
      </c>
      <c r="DO53" s="12">
        <f>IF('Données projet'!$A$166&gt;35,DO52+DN53-DW52,IF(A53&lt;'Données projet'!$A$166,$DL$205^A53,IF(A53='Données projet'!$A$166,'Données projet'!$B$166,DO52+DN53-DW52)))</f>
        <v>0</v>
      </c>
      <c r="DP53" s="17" t="e">
        <f>DO53*VLOOKUP('Données projet'!$B$14,Paramètres!$A$1:$I$89,3,0)*VLOOKUP('Données projet'!$B$14,Paramètres!$A$1:$I$89,5,0)</f>
        <v>#N/A</v>
      </c>
      <c r="DQ53" s="13" t="e">
        <f t="shared" si="43"/>
        <v>#N/A</v>
      </c>
      <c r="DR53" s="20" t="e">
        <f t="shared" si="16"/>
        <v>#N/A</v>
      </c>
      <c r="DS53" s="59" t="e">
        <f t="shared" si="17"/>
        <v>#N/A</v>
      </c>
      <c r="DT53" s="59" t="e">
        <f ca="1">AVERAGE(OFFSET($DS$3,0,0,'Données projet'!$E$14+1,1))-AVERAGE(OFFSET($H$3,0,0,'Données projet'!$E$14+1,1))</f>
        <v>#N/A</v>
      </c>
      <c r="DU53" s="59" t="e">
        <f t="shared" si="44"/>
        <v>#N/A</v>
      </c>
      <c r="DV53" s="15">
        <f>IF(ISNA(VLOOKUP(A53,'Données projet'!$A$165:$I$185,3,0)),0,VLOOKUP(A53,'Données projet'!$A$165:$I$185,3,0))</f>
        <v>0</v>
      </c>
      <c r="DW53" s="15">
        <f>IF(ISNA(VLOOKUP(A53,'Données projet'!$A$165:$I$185,4,0)),0,VLOOKUP(A53,'Données projet'!$A$165:$I$185,4,0))</f>
        <v>0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 t="e">
        <f>EXP(-LN(2)/35)*EA52+(1-EXP(-LN(2)/35))/(LN(2)/35)*DW53*DX53*VLOOKUP('Données projet'!$B$14,Paramètres!$A$1:$I$89,3,0)*0.475*44/12</f>
        <v>#N/A</v>
      </c>
      <c r="EB53" s="21" t="e">
        <f>EXP(-LN(2)/25)*EB52+(1-EXP(-LN(2)/25))/(LN(2)/25)*Calculateur!DW53*Calculateur!DY53*VLOOKUP('Données projet'!$B$14,Paramètres!$A$1:$I$89,3,0)*0.475*44/12</f>
        <v>#N/A</v>
      </c>
      <c r="EC53" s="21" t="e">
        <f>EXP(-LN(2)/2)*EC52+(1-EXP(-LN(2)/2))/(LN(2)/2)*DW53*DZ53*VLOOKUP('Données projet'!$B$14,Paramètres!$A$1:$I$89,3,0)*0.475*44/12</f>
        <v>#N/A</v>
      </c>
      <c r="ED53" s="22" t="e">
        <f t="shared" si="18"/>
        <v>#N/A</v>
      </c>
      <c r="EE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0</v>
      </c>
      <c r="EJ53" s="12">
        <f>IF('Données projet'!$A$192&gt;35,EJ52+EI53-ER52,IF(A53&lt;'Données projet'!$A$192,$EG$205^A53,IF(A53='Données projet'!$A$192,'Données projet'!$B$192,EJ52+EI53-ER52)))</f>
        <v>0</v>
      </c>
      <c r="EK53" s="17" t="e">
        <f>EJ53*VLOOKUP('Données projet'!$B$15,Paramètres!$A$1:$I$89,3,0)*VLOOKUP('Données projet'!$B$15,Paramètres!$A$1:$I$89,5,0)</f>
        <v>#N/A</v>
      </c>
      <c r="EL53" s="13" t="e">
        <f t="shared" si="45"/>
        <v>#N/A</v>
      </c>
      <c r="EM53" s="20" t="e">
        <f t="shared" si="19"/>
        <v>#N/A</v>
      </c>
      <c r="EN53" s="59" t="e">
        <f t="shared" si="20"/>
        <v>#N/A</v>
      </c>
      <c r="EO53" s="59" t="e">
        <f ca="1">AVERAGE(OFFSET($EN$3,0,0,'Données projet'!$E$15+1,1))-AVERAGE(OFFSET($H$3,0,0,'Données projet'!$E$15+1,1))</f>
        <v>#N/A</v>
      </c>
      <c r="EP53" s="59" t="e">
        <f t="shared" si="46"/>
        <v>#N/A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 t="e">
        <f>EXP(-LN(2)/35)*EV52+(1-EXP(-LN(2)/35))/(LN(2)/35)*ER53*ES53*VLOOKUP('Données projet'!$B$15,Paramètres!$A$1:$I$89,3,0)*0.475*44/12</f>
        <v>#N/A</v>
      </c>
      <c r="EW53" s="21" t="e">
        <f>EXP(-LN(2)/25)*EW52+(1-EXP(-LN(2)/25))/(LN(2)/25)*Calculateur!ER53*Calculateur!ET53*VLOOKUP('Données projet'!$B$15,Paramètres!$A$1:$I$89,3,0)*0.475*44/12</f>
        <v>#N/A</v>
      </c>
      <c r="EX53" s="21" t="e">
        <f>EXP(-LN(2)/2)*EX52+(1-EXP(-LN(2)/2))/(LN(2)/2)*ER53*EU53*VLOOKUP('Données projet'!$B$15,Paramètres!$A$1:$I$89,3,0)*0.475*44/12</f>
        <v>#N/A</v>
      </c>
      <c r="EY53" s="22" t="e">
        <f t="shared" si="21"/>
        <v>#N/A</v>
      </c>
      <c r="EZ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45">
      <c r="A54" s="10">
        <f t="shared" si="31"/>
        <v>51</v>
      </c>
      <c r="B54" s="73">
        <f>'Scénario référence'!$B$16*5+'Scénario référence'!$B$17*0+'Scénario référence'!$B$18*5</f>
        <v>0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45.349200000000025</v>
      </c>
      <c r="D54" s="11">
        <f t="shared" si="32"/>
        <v>13.405931317559242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">
        <f>IF(OR('Scénario référence'!$F$8&gt;0,'Scénario référence'!$F$9&gt;0),('Scénario référence'!$F$8+'Scénario référence'!$F$9)*10,0)</f>
        <v>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453.54838210045756</v>
      </c>
      <c r="H54" s="67">
        <f t="shared" si="1"/>
        <v>358.99852037808239</v>
      </c>
      <c r="I54" s="7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13.08111111111111</v>
      </c>
      <c r="N54" s="13">
        <f>IF('Données projet'!$A$36&gt;35,N53+M54-V53,IF(A54&lt;'Données projet'!$A$36,$K$205^A54,IF(A54='Données projet'!$A$36,'Données projet'!$B$36,N53+M54-V53)))</f>
        <v>341.728888888889</v>
      </c>
      <c r="O54" s="13">
        <f>N54*VLOOKUP('Données projet'!$B$9,Paramètres!$A$1:$I$89,3,0)*VLOOKUP('Données projet'!$B$9,Paramètres!$A$1:$I$89,5,0)</f>
        <v>191.02644888888895</v>
      </c>
      <c r="P54" s="13">
        <f t="shared" si="33"/>
        <v>47.766814918063808</v>
      </c>
      <c r="Q54" s="20">
        <f t="shared" si="53"/>
        <v>415.89826779710933</v>
      </c>
      <c r="R54" s="59">
        <f t="shared" si="0"/>
        <v>709.23160113044264</v>
      </c>
      <c r="S54" s="59">
        <f ca="1">AVERAGE(OFFSET($R$3,0,0,'Données projet'!$E$9+1,1))-AVERAGE(OFFSET($H$3,0,0,'Données projet'!$E$9+1,1))</f>
        <v>280.69347314340195</v>
      </c>
      <c r="T54" s="59">
        <f t="shared" si="34"/>
        <v>152.40533828556482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13.184967802670702</v>
      </c>
      <c r="AA54" s="21">
        <f>EXP(-LN(2)/25)*AA53+(1-EXP(-LN(2)/25))/(LN(2)/25)*Calculateur!V54*Calculateur!X54*VLOOKUP('Données projet'!$B$9,Paramètres!$A$1:$I$89,3,0)*0.475*44/12</f>
        <v>17.588111680529735</v>
      </c>
      <c r="AB54" s="21">
        <f>EXP(-LN(2)/2)*AB53+(1-EXP(-LN(2)/2))/(LN(2)/2)*V54*Y54*VLOOKUP('Données projet'!$B$9,Paramètres!$A$1:$I$89,3,0)*0.475*44/12</f>
        <v>1.1515378929475446</v>
      </c>
      <c r="AC54" s="22">
        <f t="shared" si="3"/>
        <v>31.924617376147982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9.75</v>
      </c>
      <c r="AI54" s="13">
        <f>IF('Données projet'!$A$62&gt;35,AI53+AH54-AQ53,IF(A54&lt;'Données projet'!$A$62,$AF$205^A54,IF(A54='Données projet'!$A$62,'Données projet'!$B$62,AI53+AH54-AQ53)))</f>
        <v>216.25</v>
      </c>
      <c r="AJ54" s="13">
        <f>AI54*VLOOKUP('Données projet'!$B$10,Paramètres!$A$1:$I$89,3,0)*VLOOKUP('Données projet'!$B$10,Paramètres!$A$1:$I$89,5,0)</f>
        <v>134.94</v>
      </c>
      <c r="AK54" s="13">
        <f t="shared" si="35"/>
        <v>35.135358771568036</v>
      </c>
      <c r="AL54" s="20">
        <f t="shared" si="4"/>
        <v>296.21458319381429</v>
      </c>
      <c r="AM54" s="59">
        <f t="shared" si="5"/>
        <v>589.54791652714766</v>
      </c>
      <c r="AN54" s="59">
        <f ca="1">AVERAGE(OFFSET($AM$3,0,0,'Données projet'!$E$10+1,1))-AVERAGE(OFFSET($H$3,0,0,'Données projet'!$E$10+1,1))</f>
        <v>179.4725256147085</v>
      </c>
      <c r="AO54" s="59">
        <f t="shared" si="36"/>
        <v>282.16750121151176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64.290284126511168</v>
      </c>
      <c r="AV54" s="21">
        <f>EXP(-LN(2)/25)*AV53+(1-EXP(-LN(2)/25))/(LN(2)/25)*Calculateur!AQ54*Calculateur!AS54*VLOOKUP('Données projet'!$B$10,Paramètres!$A$1:$I$89,3,0)*0.475*44/12</f>
        <v>24.108573048649475</v>
      </c>
      <c r="AW54" s="21">
        <f>EXP(-LN(2)/2)*AW53+(1-EXP(-LN(2)/2))/(LN(2)/2)*AQ54*AT54*VLOOKUP('Données projet'!$B$10,Paramètres!$A$1:$I$89,3,0)*0.475*44/12</f>
        <v>3.7201802450730317</v>
      </c>
      <c r="AX54" s="21">
        <f t="shared" si="6"/>
        <v>92.119037420233681</v>
      </c>
      <c r="AY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5.3214035087719296</v>
      </c>
      <c r="BD54" s="12">
        <f>IF('Données projet'!$A$88&gt;35,BD53+BC54-BL53,IF(A54&lt;'Données projet'!$A$88,$BA$205^A54,IF(A54='Données projet'!$A$88,'Données projet'!$B$88,BD53+BC54-BL53)))</f>
        <v>271.39157894736866</v>
      </c>
      <c r="BE54" s="13">
        <f>BD54*VLOOKUP('Données projet'!$B$11,Paramètres!$A$1:$I$89,3,0)*VLOOKUP('Données projet'!$B$11,Paramètres!$A$1:$I$89,5,0)</f>
        <v>232.85397473684236</v>
      </c>
      <c r="BF54" s="13">
        <f t="shared" si="37"/>
        <v>56.899333985407665</v>
      </c>
      <c r="BG54" s="20">
        <f t="shared" si="7"/>
        <v>504.65367935791875</v>
      </c>
      <c r="BH54" s="59">
        <f t="shared" si="8"/>
        <v>797.98701269125206</v>
      </c>
      <c r="BI54" s="59">
        <f ca="1">AVERAGE(OFFSET($BH$3,0,0,'Données projet'!$E$11+1,1))-AVERAGE(OFFSET($H$3,0,0,'Données projet'!$E$11+1,1))</f>
        <v>312.89478437044261</v>
      </c>
      <c r="BJ54" s="59">
        <f t="shared" si="38"/>
        <v>276.16555507854571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>
        <f>EXP(-LN(2)/35)*BP53+(1-EXP(-LN(2)/35))/(LN(2)/35)*BL54*BM54*VLOOKUP('Données projet'!$B$11,Paramètres!$A$1:$I$89,3,0)*0.475*44/12</f>
        <v>0</v>
      </c>
      <c r="BQ54" s="21">
        <f>EXP(-LN(2)/25)*BQ53+(1-EXP(-LN(2)/25))/(LN(2)/25)*Calculateur!BL54*Calculateur!BN54*VLOOKUP('Données projet'!$B$11,Paramètres!$A$1:$I$89,3,0)*0.475*44/12</f>
        <v>0</v>
      </c>
      <c r="BR54" s="21">
        <f>EXP(-LN(2)/2)*BR53+(1-EXP(-LN(2)/2))/(LN(2)/2)*BL54*BO54*VLOOKUP('Données projet'!$B$11,Paramètres!$A$1:$I$89,3,0)*0.475*44/12</f>
        <v>0</v>
      </c>
      <c r="BS54" s="22">
        <f t="shared" si="9"/>
        <v>0</v>
      </c>
      <c r="BT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0</v>
      </c>
      <c r="BY54" s="12">
        <f>IF('Données projet'!$A$114&gt;35,BY53+BX54-CG53,IF(A54&lt;'Données projet'!$A$114,$BV$205^A54,IF(A54='Données projet'!$A$114,'Données projet'!$B$114,BY53+BX54-CG53)))</f>
        <v>0</v>
      </c>
      <c r="BZ54" s="13" t="e">
        <f>BY54*VLOOKUP('Données projet'!$B$12,Paramètres!$A$1:$I$89,3,0)*VLOOKUP('Données projet'!$B$12,Paramètres!$A$1:$I$89,5,0)</f>
        <v>#N/A</v>
      </c>
      <c r="CA54" s="13" t="e">
        <f t="shared" si="39"/>
        <v>#N/A</v>
      </c>
      <c r="CB54" s="20" t="e">
        <f t="shared" si="10"/>
        <v>#N/A</v>
      </c>
      <c r="CC54" s="59" t="e">
        <f t="shared" si="11"/>
        <v>#N/A</v>
      </c>
      <c r="CD54" s="59" t="e">
        <f ca="1">AVERAGE(OFFSET($CC$3,0,0,'Données projet'!$E$12+1,1))-AVERAGE(OFFSET($H$3,0,0,'Données projet'!$E$12+1,1))</f>
        <v>#N/A</v>
      </c>
      <c r="CE54" s="59" t="e">
        <f t="shared" si="40"/>
        <v>#N/A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 t="e">
        <f>EXP(-LN(2)/35)*CK53+(1-EXP(-LN(2)/35))/(LN(2)/35)*CG54*CH54*VLOOKUP('Données projet'!$B$12,Paramètres!$A$1:$I$89,3,0)*0.475*44/12</f>
        <v>#N/A</v>
      </c>
      <c r="CL54" s="21" t="e">
        <f>EXP(-LN(2)/25)*CL53+(1-EXP(-LN(2)/25))/(LN(2)/25)*Calculateur!CG54*Calculateur!CI54*VLOOKUP('Données projet'!$B$12,Paramètres!$A$1:$I$89,3,0)*0.475*44/12</f>
        <v>#N/A</v>
      </c>
      <c r="CM54" s="21" t="e">
        <f>EXP(-LN(2)/2)*CM53+(1-EXP(-LN(2)/2))/(LN(2)/2)*CG54*CJ54*VLOOKUP('Données projet'!$B$12,Paramètres!$A$1:$I$89,3,0)*0.475*44/12</f>
        <v>#N/A</v>
      </c>
      <c r="CN54" s="22" t="e">
        <f t="shared" si="12"/>
        <v>#N/A</v>
      </c>
      <c r="CO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0</v>
      </c>
      <c r="CT54" s="12">
        <f>IF('Données projet'!$A$140&gt;35,CT53+CS54-DB53,IF(A54&lt;'Données projet'!$A$140,$CQ$205^A54,IF(A54='Données projet'!$A$140,'Données projet'!$B$140,CT53+CS54-DB53)))</f>
        <v>0</v>
      </c>
      <c r="CU54" s="17" t="e">
        <f>CT54*VLOOKUP('Données projet'!$B$13,Paramètres!$A$1:$I$89,3,0)*VLOOKUP('Données projet'!$B$13,Paramètres!$A$1:$I$89,5,0)</f>
        <v>#N/A</v>
      </c>
      <c r="CV54" s="13" t="e">
        <f t="shared" si="41"/>
        <v>#N/A</v>
      </c>
      <c r="CW54" s="20" t="e">
        <f t="shared" si="13"/>
        <v>#N/A</v>
      </c>
      <c r="CX54" s="59" t="e">
        <f t="shared" si="14"/>
        <v>#N/A</v>
      </c>
      <c r="CY54" s="59" t="e">
        <f ca="1">AVERAGE(OFFSET($CX$3,0,0,'Données projet'!$E$13+1,1))-AVERAGE(OFFSET($H$3,0,0,'Données projet'!$E$13+1,1))</f>
        <v>#N/A</v>
      </c>
      <c r="CZ54" s="59" t="e">
        <f t="shared" si="42"/>
        <v>#N/A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 t="e">
        <f>EXP(-LN(2)/35)*DF53+(1-EXP(-LN(2)/35))/(LN(2)/35)*DB54*DC54*VLOOKUP('Données projet'!$B$13,Paramètres!$A$1:$I$89,3,0)*0.475*44/12</f>
        <v>#N/A</v>
      </c>
      <c r="DG54" s="21" t="e">
        <f>EXP(-LN(2)/25)*DG53+(1-EXP(-LN(2)/25))/(LN(2)/25)*Calculateur!DB54*Calculateur!DD54*VLOOKUP('Données projet'!$B$13,Paramètres!$A$1:$I$89,3,0)*0.475*44/12</f>
        <v>#N/A</v>
      </c>
      <c r="DH54" s="21" t="e">
        <f>EXP(-LN(2)/2)*DH53+(1-EXP(-LN(2)/2))/(LN(2)/2)*DB54*DE54*VLOOKUP('Données projet'!$B$13,Paramètres!$A$1:$I$89,3,0)*0.475*44/12</f>
        <v>#N/A</v>
      </c>
      <c r="DI54" s="22" t="e">
        <f t="shared" si="15"/>
        <v>#N/A</v>
      </c>
      <c r="DJ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0</v>
      </c>
      <c r="DO54" s="12">
        <f>IF('Données projet'!$A$166&gt;35,DO53+DN54-DW53,IF(A54&lt;'Données projet'!$A$166,$DL$205^A54,IF(A54='Données projet'!$A$166,'Données projet'!$B$166,DO53+DN54-DW53)))</f>
        <v>0</v>
      </c>
      <c r="DP54" s="17" t="e">
        <f>DO54*VLOOKUP('Données projet'!$B$14,Paramètres!$A$1:$I$89,3,0)*VLOOKUP('Données projet'!$B$14,Paramètres!$A$1:$I$89,5,0)</f>
        <v>#N/A</v>
      </c>
      <c r="DQ54" s="13" t="e">
        <f t="shared" si="43"/>
        <v>#N/A</v>
      </c>
      <c r="DR54" s="20" t="e">
        <f t="shared" si="16"/>
        <v>#N/A</v>
      </c>
      <c r="DS54" s="59" t="e">
        <f t="shared" si="17"/>
        <v>#N/A</v>
      </c>
      <c r="DT54" s="59" t="e">
        <f ca="1">AVERAGE(OFFSET($DS$3,0,0,'Données projet'!$E$14+1,1))-AVERAGE(OFFSET($H$3,0,0,'Données projet'!$E$14+1,1))</f>
        <v>#N/A</v>
      </c>
      <c r="DU54" s="59" t="e">
        <f t="shared" si="44"/>
        <v>#N/A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 t="e">
        <f>EXP(-LN(2)/35)*EA53+(1-EXP(-LN(2)/35))/(LN(2)/35)*DW54*DX54*VLOOKUP('Données projet'!$B$14,Paramètres!$A$1:$I$89,3,0)*0.475*44/12</f>
        <v>#N/A</v>
      </c>
      <c r="EB54" s="21" t="e">
        <f>EXP(-LN(2)/25)*EB53+(1-EXP(-LN(2)/25))/(LN(2)/25)*Calculateur!DW54*Calculateur!DY54*VLOOKUP('Données projet'!$B$14,Paramètres!$A$1:$I$89,3,0)*0.475*44/12</f>
        <v>#N/A</v>
      </c>
      <c r="EC54" s="21" t="e">
        <f>EXP(-LN(2)/2)*EC53+(1-EXP(-LN(2)/2))/(LN(2)/2)*DW54*DZ54*VLOOKUP('Données projet'!$B$14,Paramètres!$A$1:$I$89,3,0)*0.475*44/12</f>
        <v>#N/A</v>
      </c>
      <c r="ED54" s="22" t="e">
        <f t="shared" si="18"/>
        <v>#N/A</v>
      </c>
      <c r="EE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0</v>
      </c>
      <c r="EJ54" s="12">
        <f>IF('Données projet'!$A$192&gt;35,EJ53+EI54-ER53,IF(A54&lt;'Données projet'!$A$192,$EG$205^A54,IF(A54='Données projet'!$A$192,'Données projet'!$B$192,EJ53+EI54-ER53)))</f>
        <v>0</v>
      </c>
      <c r="EK54" s="17" t="e">
        <f>EJ54*VLOOKUP('Données projet'!$B$15,Paramètres!$A$1:$I$89,3,0)*VLOOKUP('Données projet'!$B$15,Paramètres!$A$1:$I$89,5,0)</f>
        <v>#N/A</v>
      </c>
      <c r="EL54" s="13" t="e">
        <f t="shared" si="45"/>
        <v>#N/A</v>
      </c>
      <c r="EM54" s="20" t="e">
        <f t="shared" si="19"/>
        <v>#N/A</v>
      </c>
      <c r="EN54" s="59" t="e">
        <f t="shared" si="20"/>
        <v>#N/A</v>
      </c>
      <c r="EO54" s="59" t="e">
        <f ca="1">AVERAGE(OFFSET($EN$3,0,0,'Données projet'!$E$15+1,1))-AVERAGE(OFFSET($H$3,0,0,'Données projet'!$E$15+1,1))</f>
        <v>#N/A</v>
      </c>
      <c r="EP54" s="59" t="e">
        <f t="shared" si="46"/>
        <v>#N/A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 t="e">
        <f>EXP(-LN(2)/35)*EV53+(1-EXP(-LN(2)/35))/(LN(2)/35)*ER54*ES54*VLOOKUP('Données projet'!$B$15,Paramètres!$A$1:$I$89,3,0)*0.475*44/12</f>
        <v>#N/A</v>
      </c>
      <c r="EW54" s="21" t="e">
        <f>EXP(-LN(2)/25)*EW53+(1-EXP(-LN(2)/25))/(LN(2)/25)*Calculateur!ER54*Calculateur!ET54*VLOOKUP('Données projet'!$B$15,Paramètres!$A$1:$I$89,3,0)*0.475*44/12</f>
        <v>#N/A</v>
      </c>
      <c r="EX54" s="21" t="e">
        <f>EXP(-LN(2)/2)*EX53+(1-EXP(-LN(2)/2))/(LN(2)/2)*ER54*EU54*VLOOKUP('Données projet'!$B$15,Paramètres!$A$1:$I$89,3,0)*0.475*44/12</f>
        <v>#N/A</v>
      </c>
      <c r="EY54" s="22" t="e">
        <f t="shared" si="21"/>
        <v>#N/A</v>
      </c>
      <c r="EZ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45">
      <c r="A55" s="10">
        <f t="shared" si="31"/>
        <v>52</v>
      </c>
      <c r="B55" s="73">
        <f>'Scénario référence'!$B$16*5+'Scénario référence'!$B$17*0+'Scénario référence'!$B$18*5</f>
        <v>0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46.238400000000027</v>
      </c>
      <c r="D55" s="11">
        <f t="shared" si="32"/>
        <v>13.637932508790366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">
        <f>IF(OR('Scénario référence'!$F$8&gt;0,'Scénario référence'!$F$9&gt;0),('Scénario référence'!$F$8+'Scénario référence'!$F$9)*10,0)</f>
        <v>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462.20326848890824</v>
      </c>
      <c r="H55" s="67">
        <f t="shared" si="1"/>
        <v>360.95127911947662</v>
      </c>
      <c r="I55" s="7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>
        <f>VLOOKUP(A55,'Données projet'!$A$35:$I$55,2,0)</f>
        <v>354.81</v>
      </c>
      <c r="L55" s="12">
        <f>VLOOKUP(A55,'Données projet'!$A$35:$I$55,9,0)</f>
        <v>13.08111111111111</v>
      </c>
      <c r="M55" s="12">
        <f t="array" ref="M55">INDEX(L:L,MIN(IF(ISNUMBER(L55:L251),ROW(L55:L251),"")))</f>
        <v>13.08111111111111</v>
      </c>
      <c r="N55" s="13">
        <f>IF('Données projet'!$A$36&gt;35,N54+M55-V54,IF(A55&lt;'Données projet'!$A$36,$K$205^A55,IF(A55='Données projet'!$A$36,'Données projet'!$B$36,N54+M55-V54)))</f>
        <v>354.81000000000012</v>
      </c>
      <c r="O55" s="13">
        <f>N55*VLOOKUP('Données projet'!$B$9,Paramètres!$A$1:$I$89,3,0)*VLOOKUP('Données projet'!$B$9,Paramètres!$A$1:$I$89,5,0)</f>
        <v>198.33879000000007</v>
      </c>
      <c r="P55" s="13">
        <f t="shared" si="33"/>
        <v>49.378907013416971</v>
      </c>
      <c r="Q55" s="20">
        <f t="shared" si="53"/>
        <v>431.44165563170139</v>
      </c>
      <c r="R55" s="59">
        <f t="shared" si="0"/>
        <v>724.77498896503471</v>
      </c>
      <c r="S55" s="59">
        <f ca="1">AVERAGE(OFFSET($R$3,0,0,'Données projet'!$E$9+1,1))-AVERAGE(OFFSET($H$3,0,0,'Données projet'!$E$9+1,1))</f>
        <v>280.69347314340195</v>
      </c>
      <c r="T55" s="59">
        <f t="shared" si="34"/>
        <v>152.40533828556482</v>
      </c>
      <c r="U55" s="15">
        <f>IF(ISNA(VLOOKUP(A55,'Données projet'!$A$35:$I$55,3,0)),0,VLOOKUP(A55,'Données projet'!$A$35:$I$55,3,0))</f>
        <v>3</v>
      </c>
      <c r="V55" s="15">
        <f>IF(ISNA(VLOOKUP(A55,'Données projet'!$A$35:$I$55,4,0)),0,VLOOKUP(A55,'Données projet'!$A$35:$I$55,4,0))</f>
        <v>61.259999999999991</v>
      </c>
      <c r="W55" s="16">
        <f>IF(ISNA(VLOOKUP(A55,'Données projet'!$A$35:$I$55,5,0)),0%,VLOOKUP(A55,'Données projet'!$A$35:$I$55,5,0)*VLOOKUP('Données projet'!$B$9,Paramètres!$A$1:$I$89,7,0))</f>
        <v>0.33</v>
      </c>
      <c r="X55" s="16">
        <f>IF(ISNA(VLOOKUP(A55,'Données projet'!$A$35:$I$55,6,0)),0%,VLOOKUP(A55,'Données projet'!$A$35:$I$55,6,0)*VLOOKUP('Données projet'!$B$9,Paramètres!$A$1:$I$89,7,0))</f>
        <v>0.11000000000000001</v>
      </c>
      <c r="Y55" s="16">
        <f>IF(ISNA(VLOOKUP(A55,'Données projet'!$A$35:$I$55,7,0)),0%,VLOOKUP(A55,'Données projet'!$A$35:$I$55,7,0))</f>
        <v>0.2</v>
      </c>
      <c r="Z55" s="21">
        <f>EXP(-LN(2)/35)*Z54+(1-EXP(-LN(2)/35))/(LN(2)/35)*V55*W55*VLOOKUP('Données projet'!$B$9,Paramètres!$A$1:$I$89,3,0)*0.475*44/12</f>
        <v>27.917435626612139</v>
      </c>
      <c r="AA55" s="21">
        <f>EXP(-LN(2)/25)*AA54+(1-EXP(-LN(2)/25))/(LN(2)/25)*Calculateur!V55*Calculateur!X55*VLOOKUP('Données projet'!$B$9,Paramètres!$A$1:$I$89,3,0)*0.475*44/12</f>
        <v>22.084494393226791</v>
      </c>
      <c r="AB55" s="21">
        <f>EXP(-LN(2)/2)*AB54+(1-EXP(-LN(2)/2))/(LN(2)/2)*V55*Y55*VLOOKUP('Données projet'!$B$9,Paramètres!$A$1:$I$89,3,0)*0.475*44/12</f>
        <v>8.5687698039919677</v>
      </c>
      <c r="AC55" s="22">
        <f t="shared" si="3"/>
        <v>58.5706998238309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9.75</v>
      </c>
      <c r="AI55" s="13">
        <f>IF('Données projet'!$A$62&gt;35,AI54+AH55-AQ54,IF(A55&lt;'Données projet'!$A$62,$AF$205^A55,IF(A55='Données projet'!$A$62,'Données projet'!$B$62,AI54+AH55-AQ54)))</f>
        <v>226</v>
      </c>
      <c r="AJ55" s="13">
        <f>AI55*VLOOKUP('Données projet'!$B$10,Paramètres!$A$1:$I$89,3,0)*VLOOKUP('Données projet'!$B$10,Paramètres!$A$1:$I$89,5,0)</f>
        <v>141.024</v>
      </c>
      <c r="AK55" s="13">
        <f t="shared" si="35"/>
        <v>36.531489925882461</v>
      </c>
      <c r="AL55" s="20">
        <f t="shared" si="4"/>
        <v>309.24247828757859</v>
      </c>
      <c r="AM55" s="59">
        <f t="shared" si="5"/>
        <v>602.57581162091196</v>
      </c>
      <c r="AN55" s="59">
        <f ca="1">AVERAGE(OFFSET($AM$3,0,0,'Données projet'!$E$10+1,1))-AVERAGE(OFFSET($H$3,0,0,'Données projet'!$E$10+1,1))</f>
        <v>179.4725256147085</v>
      </c>
      <c r="AO55" s="59">
        <f t="shared" si="36"/>
        <v>282.16750121151176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projet'!$B$10,Paramètres!$A$1:$I$89,3,0)*0.475*44/12</f>
        <v>63.029590867991615</v>
      </c>
      <c r="AV55" s="21">
        <f>EXP(-LN(2)/25)*AV54+(1-EXP(-LN(2)/25))/(LN(2)/25)*Calculateur!AQ55*Calculateur!AS55*VLOOKUP('Données projet'!$B$10,Paramètres!$A$1:$I$89,3,0)*0.475*44/12</f>
        <v>23.449322850819399</v>
      </c>
      <c r="AW55" s="21">
        <f>EXP(-LN(2)/2)*AW54+(1-EXP(-LN(2)/2))/(LN(2)/2)*AQ55*AT55*VLOOKUP('Données projet'!$B$10,Paramètres!$A$1:$I$89,3,0)*0.475*44/12</f>
        <v>2.6305646785273731</v>
      </c>
      <c r="AX55" s="21">
        <f t="shared" si="6"/>
        <v>89.109478397338393</v>
      </c>
      <c r="AY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5.3214035087719296</v>
      </c>
      <c r="BD55" s="12">
        <f>IF('Données projet'!$A$88&gt;35,BD54+BC55-BL54,IF(A55&lt;'Données projet'!$A$88,$BA$205^A55,IF(A55='Données projet'!$A$88,'Données projet'!$B$88,BD54+BC55-BL54)))</f>
        <v>276.71298245614059</v>
      </c>
      <c r="BE55" s="13">
        <f>BD55*VLOOKUP('Données projet'!$B$11,Paramètres!$A$1:$I$89,3,0)*VLOOKUP('Données projet'!$B$11,Paramètres!$A$1:$I$89,5,0)</f>
        <v>237.41973894736864</v>
      </c>
      <c r="BF55" s="13">
        <f t="shared" si="37"/>
        <v>57.884025981224582</v>
      </c>
      <c r="BG55" s="20">
        <f t="shared" si="7"/>
        <v>514.32072391729992</v>
      </c>
      <c r="BH55" s="59">
        <f t="shared" si="8"/>
        <v>807.65405725063329</v>
      </c>
      <c r="BI55" s="59">
        <f ca="1">AVERAGE(OFFSET($BH$3,0,0,'Données projet'!$E$11+1,1))-AVERAGE(OFFSET($H$3,0,0,'Données projet'!$E$11+1,1))</f>
        <v>312.89478437044261</v>
      </c>
      <c r="BJ55" s="59">
        <f t="shared" si="38"/>
        <v>276.16555507854571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>
        <f>EXP(-LN(2)/35)*BP54+(1-EXP(-LN(2)/35))/(LN(2)/35)*BL55*BM55*VLOOKUP('Données projet'!$B$11,Paramètres!$A$1:$I$89,3,0)*0.475*44/12</f>
        <v>0</v>
      </c>
      <c r="BQ55" s="21">
        <f>EXP(-LN(2)/25)*BQ54+(1-EXP(-LN(2)/25))/(LN(2)/25)*Calculateur!BL55*Calculateur!BN55*VLOOKUP('Données projet'!$B$11,Paramètres!$A$1:$I$89,3,0)*0.475*44/12</f>
        <v>0</v>
      </c>
      <c r="BR55" s="21">
        <f>EXP(-LN(2)/2)*BR54+(1-EXP(-LN(2)/2))/(LN(2)/2)*BL55*BO55*VLOOKUP('Données projet'!$B$11,Paramètres!$A$1:$I$89,3,0)*0.475*44/12</f>
        <v>0</v>
      </c>
      <c r="BS55" s="22">
        <f t="shared" si="9"/>
        <v>0</v>
      </c>
      <c r="BT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0</v>
      </c>
      <c r="BY55" s="12">
        <f>IF('Données projet'!$A$114&gt;35,BY54+BX55-CG54,IF(A55&lt;'Données projet'!$A$114,$BV$205^A55,IF(A55='Données projet'!$A$114,'Données projet'!$B$114,BY54+BX55-CG54)))</f>
        <v>0</v>
      </c>
      <c r="BZ55" s="13" t="e">
        <f>BY55*VLOOKUP('Données projet'!$B$12,Paramètres!$A$1:$I$89,3,0)*VLOOKUP('Données projet'!$B$12,Paramètres!$A$1:$I$89,5,0)</f>
        <v>#N/A</v>
      </c>
      <c r="CA55" s="13" t="e">
        <f t="shared" si="39"/>
        <v>#N/A</v>
      </c>
      <c r="CB55" s="20" t="e">
        <f t="shared" si="10"/>
        <v>#N/A</v>
      </c>
      <c r="CC55" s="59" t="e">
        <f t="shared" si="11"/>
        <v>#N/A</v>
      </c>
      <c r="CD55" s="59" t="e">
        <f ca="1">AVERAGE(OFFSET($CC$3,0,0,'Données projet'!$E$12+1,1))-AVERAGE(OFFSET($H$3,0,0,'Données projet'!$E$12+1,1))</f>
        <v>#N/A</v>
      </c>
      <c r="CE55" s="59" t="e">
        <f t="shared" si="40"/>
        <v>#N/A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 t="e">
        <f>EXP(-LN(2)/35)*CK54+(1-EXP(-LN(2)/35))/(LN(2)/35)*CG55*CH55*VLOOKUP('Données projet'!$B$12,Paramètres!$A$1:$I$89,3,0)*0.475*44/12</f>
        <v>#N/A</v>
      </c>
      <c r="CL55" s="21" t="e">
        <f>EXP(-LN(2)/25)*CL54+(1-EXP(-LN(2)/25))/(LN(2)/25)*Calculateur!CG55*Calculateur!CI55*VLOOKUP('Données projet'!$B$12,Paramètres!$A$1:$I$89,3,0)*0.475*44/12</f>
        <v>#N/A</v>
      </c>
      <c r="CM55" s="21" t="e">
        <f>EXP(-LN(2)/2)*CM54+(1-EXP(-LN(2)/2))/(LN(2)/2)*CG55*CJ55*VLOOKUP('Données projet'!$B$12,Paramètres!$A$1:$I$89,3,0)*0.475*44/12</f>
        <v>#N/A</v>
      </c>
      <c r="CN55" s="22" t="e">
        <f t="shared" si="12"/>
        <v>#N/A</v>
      </c>
      <c r="CO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0</v>
      </c>
      <c r="CT55" s="12">
        <f>IF('Données projet'!$A$140&gt;35,CT54+CS55-DB54,IF(A55&lt;'Données projet'!$A$140,$CQ$205^A55,IF(A55='Données projet'!$A$140,'Données projet'!$B$140,CT54+CS55-DB54)))</f>
        <v>0</v>
      </c>
      <c r="CU55" s="17" t="e">
        <f>CT55*VLOOKUP('Données projet'!$B$13,Paramètres!$A$1:$I$89,3,0)*VLOOKUP('Données projet'!$B$13,Paramètres!$A$1:$I$89,5,0)</f>
        <v>#N/A</v>
      </c>
      <c r="CV55" s="13" t="e">
        <f t="shared" si="41"/>
        <v>#N/A</v>
      </c>
      <c r="CW55" s="20" t="e">
        <f t="shared" si="13"/>
        <v>#N/A</v>
      </c>
      <c r="CX55" s="59" t="e">
        <f t="shared" si="14"/>
        <v>#N/A</v>
      </c>
      <c r="CY55" s="59" t="e">
        <f ca="1">AVERAGE(OFFSET($CX$3,0,0,'Données projet'!$E$13+1,1))-AVERAGE(OFFSET($H$3,0,0,'Données projet'!$E$13+1,1))</f>
        <v>#N/A</v>
      </c>
      <c r="CZ55" s="59" t="e">
        <f t="shared" si="42"/>
        <v>#N/A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 t="e">
        <f>EXP(-LN(2)/35)*DF54+(1-EXP(-LN(2)/35))/(LN(2)/35)*DB55*DC55*VLOOKUP('Données projet'!$B$13,Paramètres!$A$1:$I$89,3,0)*0.475*44/12</f>
        <v>#N/A</v>
      </c>
      <c r="DG55" s="21" t="e">
        <f>EXP(-LN(2)/25)*DG54+(1-EXP(-LN(2)/25))/(LN(2)/25)*Calculateur!DB55*Calculateur!DD55*VLOOKUP('Données projet'!$B$13,Paramètres!$A$1:$I$89,3,0)*0.475*44/12</f>
        <v>#N/A</v>
      </c>
      <c r="DH55" s="21" t="e">
        <f>EXP(-LN(2)/2)*DH54+(1-EXP(-LN(2)/2))/(LN(2)/2)*DB55*DE55*VLOOKUP('Données projet'!$B$13,Paramètres!$A$1:$I$89,3,0)*0.475*44/12</f>
        <v>#N/A</v>
      </c>
      <c r="DI55" s="22" t="e">
        <f t="shared" si="15"/>
        <v>#N/A</v>
      </c>
      <c r="DJ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0</v>
      </c>
      <c r="DO55" s="12">
        <f>IF('Données projet'!$A$166&gt;35,DO54+DN55-DW54,IF(A55&lt;'Données projet'!$A$166,$DL$205^A55,IF(A55='Données projet'!$A$166,'Données projet'!$B$166,DO54+DN55-DW54)))</f>
        <v>0</v>
      </c>
      <c r="DP55" s="17" t="e">
        <f>DO55*VLOOKUP('Données projet'!$B$14,Paramètres!$A$1:$I$89,3,0)*VLOOKUP('Données projet'!$B$14,Paramètres!$A$1:$I$89,5,0)</f>
        <v>#N/A</v>
      </c>
      <c r="DQ55" s="13" t="e">
        <f t="shared" si="43"/>
        <v>#N/A</v>
      </c>
      <c r="DR55" s="20" t="e">
        <f t="shared" si="16"/>
        <v>#N/A</v>
      </c>
      <c r="DS55" s="59" t="e">
        <f t="shared" si="17"/>
        <v>#N/A</v>
      </c>
      <c r="DT55" s="59" t="e">
        <f ca="1">AVERAGE(OFFSET($DS$3,0,0,'Données projet'!$E$14+1,1))-AVERAGE(OFFSET($H$3,0,0,'Données projet'!$E$14+1,1))</f>
        <v>#N/A</v>
      </c>
      <c r="DU55" s="59" t="e">
        <f t="shared" si="44"/>
        <v>#N/A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 t="e">
        <f>EXP(-LN(2)/35)*EA54+(1-EXP(-LN(2)/35))/(LN(2)/35)*DW55*DX55*VLOOKUP('Données projet'!$B$14,Paramètres!$A$1:$I$89,3,0)*0.475*44/12</f>
        <v>#N/A</v>
      </c>
      <c r="EB55" s="21" t="e">
        <f>EXP(-LN(2)/25)*EB54+(1-EXP(-LN(2)/25))/(LN(2)/25)*Calculateur!DW55*Calculateur!DY55*VLOOKUP('Données projet'!$B$14,Paramètres!$A$1:$I$89,3,0)*0.475*44/12</f>
        <v>#N/A</v>
      </c>
      <c r="EC55" s="21" t="e">
        <f>EXP(-LN(2)/2)*EC54+(1-EXP(-LN(2)/2))/(LN(2)/2)*DW55*DZ55*VLOOKUP('Données projet'!$B$14,Paramètres!$A$1:$I$89,3,0)*0.475*44/12</f>
        <v>#N/A</v>
      </c>
      <c r="ED55" s="22" t="e">
        <f t="shared" si="18"/>
        <v>#N/A</v>
      </c>
      <c r="EE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0</v>
      </c>
      <c r="EJ55" s="12">
        <f>IF('Données projet'!$A$192&gt;35,EJ54+EI55-ER54,IF(A55&lt;'Données projet'!$A$192,$EG$205^A55,IF(A55='Données projet'!$A$192,'Données projet'!$B$192,EJ54+EI55-ER54)))</f>
        <v>0</v>
      </c>
      <c r="EK55" s="17" t="e">
        <f>EJ55*VLOOKUP('Données projet'!$B$15,Paramètres!$A$1:$I$89,3,0)*VLOOKUP('Données projet'!$B$15,Paramètres!$A$1:$I$89,5,0)</f>
        <v>#N/A</v>
      </c>
      <c r="EL55" s="13" t="e">
        <f t="shared" si="45"/>
        <v>#N/A</v>
      </c>
      <c r="EM55" s="20" t="e">
        <f t="shared" si="19"/>
        <v>#N/A</v>
      </c>
      <c r="EN55" s="59" t="e">
        <f t="shared" si="20"/>
        <v>#N/A</v>
      </c>
      <c r="EO55" s="59" t="e">
        <f ca="1">AVERAGE(OFFSET($EN$3,0,0,'Données projet'!$E$15+1,1))-AVERAGE(OFFSET($H$3,0,0,'Données projet'!$E$15+1,1))</f>
        <v>#N/A</v>
      </c>
      <c r="EP55" s="59" t="e">
        <f t="shared" si="46"/>
        <v>#N/A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 t="e">
        <f>EXP(-LN(2)/35)*EV54+(1-EXP(-LN(2)/35))/(LN(2)/35)*ER55*ES55*VLOOKUP('Données projet'!$B$15,Paramètres!$A$1:$I$89,3,0)*0.475*44/12</f>
        <v>#N/A</v>
      </c>
      <c r="EW55" s="21" t="e">
        <f>EXP(-LN(2)/25)*EW54+(1-EXP(-LN(2)/25))/(LN(2)/25)*Calculateur!ER55*Calculateur!ET55*VLOOKUP('Données projet'!$B$15,Paramètres!$A$1:$I$89,3,0)*0.475*44/12</f>
        <v>#N/A</v>
      </c>
      <c r="EX55" s="21" t="e">
        <f>EXP(-LN(2)/2)*EX54+(1-EXP(-LN(2)/2))/(LN(2)/2)*ER55*EU55*VLOOKUP('Données projet'!$B$15,Paramètres!$A$1:$I$89,3,0)*0.475*44/12</f>
        <v>#N/A</v>
      </c>
      <c r="EY55" s="22" t="e">
        <f t="shared" si="21"/>
        <v>#N/A</v>
      </c>
      <c r="EZ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45">
      <c r="A56" s="10">
        <f t="shared" si="31"/>
        <v>53</v>
      </c>
      <c r="B56" s="73">
        <f>'Scénario référence'!$B$16*5+'Scénario référence'!$B$17*0+'Scénario référence'!$B$18*5</f>
        <v>0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47.127600000000029</v>
      </c>
      <c r="D56" s="11">
        <f t="shared" si="32"/>
        <v>13.869414921287754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">
        <f>IF(OR('Scénario référence'!$F$8&gt;0,'Scénario référence'!$F$9&gt;0),('Scénario référence'!$F$8+'Scénario référence'!$F$9)*10,0)</f>
        <v>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470.85415026958998</v>
      </c>
      <c r="H56" s="67">
        <f t="shared" si="1"/>
        <v>362.90313432124293</v>
      </c>
      <c r="I56" s="7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11.968999999999999</v>
      </c>
      <c r="N56" s="13">
        <f>IF('Données projet'!$A$36&gt;35,N55+M56-V55,IF(A56&lt;'Données projet'!$A$36,$K$205^A56,IF(A56='Données projet'!$A$36,'Données projet'!$B$36,N55+M56-V55)))</f>
        <v>305.51900000000012</v>
      </c>
      <c r="O56" s="13">
        <f>N56*VLOOKUP('Données projet'!$B$9,Paramètres!$A$1:$I$89,3,0)*VLOOKUP('Données projet'!$B$9,Paramètres!$A$1:$I$89,5,0)</f>
        <v>170.78512100000006</v>
      </c>
      <c r="P56" s="13">
        <f t="shared" si="33"/>
        <v>43.26581738875408</v>
      </c>
      <c r="Q56" s="20">
        <f t="shared" si="53"/>
        <v>372.80538436041343</v>
      </c>
      <c r="R56" s="59">
        <f t="shared" si="0"/>
        <v>666.13871769374668</v>
      </c>
      <c r="S56" s="59">
        <f ca="1">AVERAGE(OFFSET($R$3,0,0,'Données projet'!$E$9+1,1))-AVERAGE(OFFSET($H$3,0,0,'Données projet'!$E$9+1,1))</f>
        <v>280.69347314340195</v>
      </c>
      <c r="T56" s="59">
        <f t="shared" si="34"/>
        <v>152.40533828556482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27.369991741928636</v>
      </c>
      <c r="AA56" s="21">
        <f>EXP(-LN(2)/25)*AA55+(1-EXP(-LN(2)/25))/(LN(2)/25)*Calculateur!V56*Calculateur!X56*VLOOKUP('Données projet'!$B$9,Paramètres!$A$1:$I$89,3,0)*0.475*44/12</f>
        <v>21.480592732670917</v>
      </c>
      <c r="AB56" s="21">
        <f>EXP(-LN(2)/2)*AB55+(1-EXP(-LN(2)/2))/(LN(2)/2)*V56*Y56*VLOOKUP('Données projet'!$B$9,Paramètres!$A$1:$I$89,3,0)*0.475*44/12</f>
        <v>6.0590352348292447</v>
      </c>
      <c r="AC56" s="22">
        <f t="shared" si="3"/>
        <v>54.909619709428803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9.75</v>
      </c>
      <c r="AI56" s="13">
        <f>IF('Données projet'!$A$62&gt;35,AI55+AH56-AQ55,IF(A56&lt;'Données projet'!$A$62,$AF$205^A56,IF(A56='Données projet'!$A$62,'Données projet'!$B$62,AI55+AH56-AQ55)))</f>
        <v>235.75</v>
      </c>
      <c r="AJ56" s="13">
        <f>AI56*VLOOKUP('Données projet'!$B$10,Paramètres!$A$1:$I$89,3,0)*VLOOKUP('Données projet'!$B$10,Paramètres!$A$1:$I$89,5,0)</f>
        <v>147.108</v>
      </c>
      <c r="AK56" s="13">
        <f t="shared" si="35"/>
        <v>37.920625436598897</v>
      </c>
      <c r="AL56" s="20">
        <f t="shared" si="4"/>
        <v>322.25818930207646</v>
      </c>
      <c r="AM56" s="59">
        <f t="shared" si="5"/>
        <v>615.59152263540977</v>
      </c>
      <c r="AN56" s="59">
        <f ca="1">AVERAGE(OFFSET($AM$3,0,0,'Données projet'!$E$10+1,1))-AVERAGE(OFFSET($H$3,0,0,'Données projet'!$E$10+1,1))</f>
        <v>179.4725256147085</v>
      </c>
      <c r="AO56" s="59">
        <f t="shared" si="36"/>
        <v>282.16750121151176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61.793619035324674</v>
      </c>
      <c r="AV56" s="21">
        <f>EXP(-LN(2)/25)*AV55+(1-EXP(-LN(2)/25))/(LN(2)/25)*Calculateur!AQ56*Calculateur!AS56*VLOOKUP('Données projet'!$B$10,Paramètres!$A$1:$I$89,3,0)*0.475*44/12</f>
        <v>22.80809988431745</v>
      </c>
      <c r="AW56" s="21">
        <f>EXP(-LN(2)/2)*AW55+(1-EXP(-LN(2)/2))/(LN(2)/2)*AQ56*AT56*VLOOKUP('Données projet'!$B$10,Paramètres!$A$1:$I$89,3,0)*0.475*44/12</f>
        <v>1.8600901225365161</v>
      </c>
      <c r="AX56" s="21">
        <f t="shared" si="6"/>
        <v>86.461809042178643</v>
      </c>
      <c r="AY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5.3214035087719296</v>
      </c>
      <c r="BD56" s="12">
        <f>IF('Données projet'!$A$88&gt;35,BD55+BC56-BL55,IF(A56&lt;'Données projet'!$A$88,$BA$205^A56,IF(A56='Données projet'!$A$88,'Données projet'!$B$88,BD55+BC56-BL55)))</f>
        <v>282.03438596491253</v>
      </c>
      <c r="BE56" s="13">
        <f>BD56*VLOOKUP('Données projet'!$B$11,Paramètres!$A$1:$I$89,3,0)*VLOOKUP('Données projet'!$B$11,Paramètres!$A$1:$I$89,5,0)</f>
        <v>241.98550315789495</v>
      </c>
      <c r="BF56" s="13">
        <f t="shared" si="37"/>
        <v>58.866516103576984</v>
      </c>
      <c r="BG56" s="20">
        <f t="shared" si="7"/>
        <v>523.98393354706366</v>
      </c>
      <c r="BH56" s="59">
        <f t="shared" si="8"/>
        <v>817.31726688039703</v>
      </c>
      <c r="BI56" s="59">
        <f ca="1">AVERAGE(OFFSET($BH$3,0,0,'Données projet'!$E$11+1,1))-AVERAGE(OFFSET($H$3,0,0,'Données projet'!$E$11+1,1))</f>
        <v>312.89478437044261</v>
      </c>
      <c r="BJ56" s="59">
        <f t="shared" si="38"/>
        <v>276.16555507854571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>
        <f>EXP(-LN(2)/35)*BP55+(1-EXP(-LN(2)/35))/(LN(2)/35)*BL56*BM56*VLOOKUP('Données projet'!$B$11,Paramètres!$A$1:$I$89,3,0)*0.475*44/12</f>
        <v>0</v>
      </c>
      <c r="BQ56" s="21">
        <f>EXP(-LN(2)/25)*BQ55+(1-EXP(-LN(2)/25))/(LN(2)/25)*Calculateur!BL56*Calculateur!BN56*VLOOKUP('Données projet'!$B$11,Paramètres!$A$1:$I$89,3,0)*0.475*44/12</f>
        <v>0</v>
      </c>
      <c r="BR56" s="21">
        <f>EXP(-LN(2)/2)*BR55+(1-EXP(-LN(2)/2))/(LN(2)/2)*BL56*BO56*VLOOKUP('Données projet'!$B$11,Paramètres!$A$1:$I$89,3,0)*0.475*44/12</f>
        <v>0</v>
      </c>
      <c r="BS56" s="22">
        <f t="shared" si="9"/>
        <v>0</v>
      </c>
      <c r="BT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0</v>
      </c>
      <c r="BY56" s="12">
        <f>IF('Données projet'!$A$114&gt;35,BY55+BX56-CG55,IF(A56&lt;'Données projet'!$A$114,$BV$205^A56,IF(A56='Données projet'!$A$114,'Données projet'!$B$114,BY55+BX56-CG55)))</f>
        <v>0</v>
      </c>
      <c r="BZ56" s="13" t="e">
        <f>BY56*VLOOKUP('Données projet'!$B$12,Paramètres!$A$1:$I$89,3,0)*VLOOKUP('Données projet'!$B$12,Paramètres!$A$1:$I$89,5,0)</f>
        <v>#N/A</v>
      </c>
      <c r="CA56" s="13" t="e">
        <f t="shared" si="39"/>
        <v>#N/A</v>
      </c>
      <c r="CB56" s="20" t="e">
        <f t="shared" si="10"/>
        <v>#N/A</v>
      </c>
      <c r="CC56" s="59" t="e">
        <f t="shared" si="11"/>
        <v>#N/A</v>
      </c>
      <c r="CD56" s="59" t="e">
        <f ca="1">AVERAGE(OFFSET($CC$3,0,0,'Données projet'!$E$12+1,1))-AVERAGE(OFFSET($H$3,0,0,'Données projet'!$E$12+1,1))</f>
        <v>#N/A</v>
      </c>
      <c r="CE56" s="59" t="e">
        <f t="shared" si="40"/>
        <v>#N/A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 t="e">
        <f>EXP(-LN(2)/35)*CK55+(1-EXP(-LN(2)/35))/(LN(2)/35)*CG56*CH56*VLOOKUP('Données projet'!$B$12,Paramètres!$A$1:$I$89,3,0)*0.475*44/12</f>
        <v>#N/A</v>
      </c>
      <c r="CL56" s="21" t="e">
        <f>EXP(-LN(2)/25)*CL55+(1-EXP(-LN(2)/25))/(LN(2)/25)*Calculateur!CG56*Calculateur!CI56*VLOOKUP('Données projet'!$B$12,Paramètres!$A$1:$I$89,3,0)*0.475*44/12</f>
        <v>#N/A</v>
      </c>
      <c r="CM56" s="21" t="e">
        <f>EXP(-LN(2)/2)*CM55+(1-EXP(-LN(2)/2))/(LN(2)/2)*CG56*CJ56*VLOOKUP('Données projet'!$B$12,Paramètres!$A$1:$I$89,3,0)*0.475*44/12</f>
        <v>#N/A</v>
      </c>
      <c r="CN56" s="22" t="e">
        <f t="shared" si="12"/>
        <v>#N/A</v>
      </c>
      <c r="CO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0</v>
      </c>
      <c r="CT56" s="12">
        <f>IF('Données projet'!$A$140&gt;35,CT55+CS56-DB55,IF(A56&lt;'Données projet'!$A$140,$CQ$205^A56,IF(A56='Données projet'!$A$140,'Données projet'!$B$140,CT55+CS56-DB55)))</f>
        <v>0</v>
      </c>
      <c r="CU56" s="17" t="e">
        <f>CT56*VLOOKUP('Données projet'!$B$13,Paramètres!$A$1:$I$89,3,0)*VLOOKUP('Données projet'!$B$13,Paramètres!$A$1:$I$89,5,0)</f>
        <v>#N/A</v>
      </c>
      <c r="CV56" s="13" t="e">
        <f t="shared" si="41"/>
        <v>#N/A</v>
      </c>
      <c r="CW56" s="20" t="e">
        <f t="shared" si="13"/>
        <v>#N/A</v>
      </c>
      <c r="CX56" s="59" t="e">
        <f t="shared" si="14"/>
        <v>#N/A</v>
      </c>
      <c r="CY56" s="59" t="e">
        <f ca="1">AVERAGE(OFFSET($CX$3,0,0,'Données projet'!$E$13+1,1))-AVERAGE(OFFSET($H$3,0,0,'Données projet'!$E$13+1,1))</f>
        <v>#N/A</v>
      </c>
      <c r="CZ56" s="59" t="e">
        <f t="shared" si="42"/>
        <v>#N/A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 t="e">
        <f>EXP(-LN(2)/35)*DF55+(1-EXP(-LN(2)/35))/(LN(2)/35)*DB56*DC56*VLOOKUP('Données projet'!$B$13,Paramètres!$A$1:$I$89,3,0)*0.475*44/12</f>
        <v>#N/A</v>
      </c>
      <c r="DG56" s="21" t="e">
        <f>EXP(-LN(2)/25)*DG55+(1-EXP(-LN(2)/25))/(LN(2)/25)*Calculateur!DB56*Calculateur!DD56*VLOOKUP('Données projet'!$B$13,Paramètres!$A$1:$I$89,3,0)*0.475*44/12</f>
        <v>#N/A</v>
      </c>
      <c r="DH56" s="21" t="e">
        <f>EXP(-LN(2)/2)*DH55+(1-EXP(-LN(2)/2))/(LN(2)/2)*DB56*DE56*VLOOKUP('Données projet'!$B$13,Paramètres!$A$1:$I$89,3,0)*0.475*44/12</f>
        <v>#N/A</v>
      </c>
      <c r="DI56" s="22" t="e">
        <f t="shared" si="15"/>
        <v>#N/A</v>
      </c>
      <c r="DJ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0</v>
      </c>
      <c r="DO56" s="12">
        <f>IF('Données projet'!$A$166&gt;35,DO55+DN56-DW55,IF(A56&lt;'Données projet'!$A$166,$DL$205^A56,IF(A56='Données projet'!$A$166,'Données projet'!$B$166,DO55+DN56-DW55)))</f>
        <v>0</v>
      </c>
      <c r="DP56" s="17" t="e">
        <f>DO56*VLOOKUP('Données projet'!$B$14,Paramètres!$A$1:$I$89,3,0)*VLOOKUP('Données projet'!$B$14,Paramètres!$A$1:$I$89,5,0)</f>
        <v>#N/A</v>
      </c>
      <c r="DQ56" s="13" t="e">
        <f t="shared" si="43"/>
        <v>#N/A</v>
      </c>
      <c r="DR56" s="20" t="e">
        <f t="shared" si="16"/>
        <v>#N/A</v>
      </c>
      <c r="DS56" s="59" t="e">
        <f t="shared" si="17"/>
        <v>#N/A</v>
      </c>
      <c r="DT56" s="59" t="e">
        <f ca="1">AVERAGE(OFFSET($DS$3,0,0,'Données projet'!$E$14+1,1))-AVERAGE(OFFSET($H$3,0,0,'Données projet'!$E$14+1,1))</f>
        <v>#N/A</v>
      </c>
      <c r="DU56" s="59" t="e">
        <f t="shared" si="44"/>
        <v>#N/A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 t="e">
        <f>EXP(-LN(2)/35)*EA55+(1-EXP(-LN(2)/35))/(LN(2)/35)*DW56*DX56*VLOOKUP('Données projet'!$B$14,Paramètres!$A$1:$I$89,3,0)*0.475*44/12</f>
        <v>#N/A</v>
      </c>
      <c r="EB56" s="21" t="e">
        <f>EXP(-LN(2)/25)*EB55+(1-EXP(-LN(2)/25))/(LN(2)/25)*Calculateur!DW56*Calculateur!DY56*VLOOKUP('Données projet'!$B$14,Paramètres!$A$1:$I$89,3,0)*0.475*44/12</f>
        <v>#N/A</v>
      </c>
      <c r="EC56" s="21" t="e">
        <f>EXP(-LN(2)/2)*EC55+(1-EXP(-LN(2)/2))/(LN(2)/2)*DW56*DZ56*VLOOKUP('Données projet'!$B$14,Paramètres!$A$1:$I$89,3,0)*0.475*44/12</f>
        <v>#N/A</v>
      </c>
      <c r="ED56" s="22" t="e">
        <f t="shared" si="18"/>
        <v>#N/A</v>
      </c>
      <c r="EE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0</v>
      </c>
      <c r="EJ56" s="12">
        <f>IF('Données projet'!$A$192&gt;35,EJ55+EI56-ER55,IF(A56&lt;'Données projet'!$A$192,$EG$205^A56,IF(A56='Données projet'!$A$192,'Données projet'!$B$192,EJ55+EI56-ER55)))</f>
        <v>0</v>
      </c>
      <c r="EK56" s="17" t="e">
        <f>EJ56*VLOOKUP('Données projet'!$B$15,Paramètres!$A$1:$I$89,3,0)*VLOOKUP('Données projet'!$B$15,Paramètres!$A$1:$I$89,5,0)</f>
        <v>#N/A</v>
      </c>
      <c r="EL56" s="13" t="e">
        <f t="shared" si="45"/>
        <v>#N/A</v>
      </c>
      <c r="EM56" s="20" t="e">
        <f t="shared" si="19"/>
        <v>#N/A</v>
      </c>
      <c r="EN56" s="59" t="e">
        <f t="shared" si="20"/>
        <v>#N/A</v>
      </c>
      <c r="EO56" s="59" t="e">
        <f ca="1">AVERAGE(OFFSET($EN$3,0,0,'Données projet'!$E$15+1,1))-AVERAGE(OFFSET($H$3,0,0,'Données projet'!$E$15+1,1))</f>
        <v>#N/A</v>
      </c>
      <c r="EP56" s="59" t="e">
        <f t="shared" si="46"/>
        <v>#N/A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 t="e">
        <f>EXP(-LN(2)/35)*EV55+(1-EXP(-LN(2)/35))/(LN(2)/35)*ER56*ES56*VLOOKUP('Données projet'!$B$15,Paramètres!$A$1:$I$89,3,0)*0.475*44/12</f>
        <v>#N/A</v>
      </c>
      <c r="EW56" s="21" t="e">
        <f>EXP(-LN(2)/25)*EW55+(1-EXP(-LN(2)/25))/(LN(2)/25)*Calculateur!ER56*Calculateur!ET56*VLOOKUP('Données projet'!$B$15,Paramètres!$A$1:$I$89,3,0)*0.475*44/12</f>
        <v>#N/A</v>
      </c>
      <c r="EX56" s="21" t="e">
        <f>EXP(-LN(2)/2)*EX55+(1-EXP(-LN(2)/2))/(LN(2)/2)*ER56*EU56*VLOOKUP('Données projet'!$B$15,Paramètres!$A$1:$I$89,3,0)*0.475*44/12</f>
        <v>#N/A</v>
      </c>
      <c r="EY56" s="22" t="e">
        <f t="shared" si="21"/>
        <v>#N/A</v>
      </c>
      <c r="EZ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45">
      <c r="A57" s="10">
        <f t="shared" si="31"/>
        <v>54</v>
      </c>
      <c r="B57" s="73">
        <f>'Scénario référence'!$B$16*5+'Scénario référence'!$B$17*0+'Scénario référence'!$B$18*5</f>
        <v>0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48.016800000000032</v>
      </c>
      <c r="D57" s="11">
        <f t="shared" si="32"/>
        <v>14.100389472000563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">
        <f>IF(OR('Scénario référence'!$F$8&gt;0,'Scénario référence'!$F$9&gt;0),('Scénario référence'!$F$8+'Scénario référence'!$F$9)*10,0)</f>
        <v>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479.50111171368889</v>
      </c>
      <c r="H57" s="67">
        <f t="shared" si="1"/>
        <v>364.85410499706774</v>
      </c>
      <c r="I57" s="7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11.968999999999999</v>
      </c>
      <c r="N57" s="13">
        <f>IF('Données projet'!$A$36&gt;35,N56+M57-V56,IF(A57&lt;'Données projet'!$A$36,$K$205^A57,IF(A57='Données projet'!$A$36,'Données projet'!$B$36,N56+M57-V56)))</f>
        <v>317.48800000000011</v>
      </c>
      <c r="O57" s="13">
        <f>N57*VLOOKUP('Données projet'!$B$9,Paramètres!$A$1:$I$89,3,0)*VLOOKUP('Données projet'!$B$9,Paramètres!$A$1:$I$89,5,0)</f>
        <v>177.47579200000007</v>
      </c>
      <c r="P57" s="13">
        <f t="shared" si="33"/>
        <v>44.760135635076743</v>
      </c>
      <c r="Q57" s="20">
        <f t="shared" si="53"/>
        <v>387.06090729775877</v>
      </c>
      <c r="R57" s="59">
        <f t="shared" si="0"/>
        <v>680.39424063109209</v>
      </c>
      <c r="S57" s="59">
        <f ca="1">AVERAGE(OFFSET($R$3,0,0,'Données projet'!$E$9+1,1))-AVERAGE(OFFSET($H$3,0,0,'Données projet'!$E$9+1,1))</f>
        <v>280.69347314340195</v>
      </c>
      <c r="T57" s="59">
        <f t="shared" si="34"/>
        <v>152.40533828556482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26.833282897915979</v>
      </c>
      <c r="AA57" s="21">
        <f>EXP(-LN(2)/25)*AA56+(1-EXP(-LN(2)/25))/(LN(2)/25)*Calculateur!V57*Calculateur!X57*VLOOKUP('Données projet'!$B$9,Paramètres!$A$1:$I$89,3,0)*0.475*44/12</f>
        <v>20.893204794780754</v>
      </c>
      <c r="AB57" s="21">
        <f>EXP(-LN(2)/2)*AB56+(1-EXP(-LN(2)/2))/(LN(2)/2)*V57*Y57*VLOOKUP('Données projet'!$B$9,Paramètres!$A$1:$I$89,3,0)*0.475*44/12</f>
        <v>4.2843849019959848</v>
      </c>
      <c r="AC57" s="22">
        <f t="shared" si="3"/>
        <v>52.010872594692721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9.75</v>
      </c>
      <c r="AI57" s="13">
        <f>IF('Données projet'!$A$62&gt;35,AI56+AH57-AQ56,IF(A57&lt;'Données projet'!$A$62,$AF$205^A57,IF(A57='Données projet'!$A$62,'Données projet'!$B$62,AI56+AH57-AQ56)))</f>
        <v>245.5</v>
      </c>
      <c r="AJ57" s="13">
        <f>AI57*VLOOKUP('Données projet'!$B$10,Paramètres!$A$1:$I$89,3,0)*VLOOKUP('Données projet'!$B$10,Paramètres!$A$1:$I$89,5,0)</f>
        <v>153.19199999999998</v>
      </c>
      <c r="AK57" s="13">
        <f t="shared" si="35"/>
        <v>39.303087713366921</v>
      </c>
      <c r="AL57" s="20">
        <f t="shared" si="4"/>
        <v>335.2622777674473</v>
      </c>
      <c r="AM57" s="59">
        <f t="shared" si="5"/>
        <v>628.59561110078062</v>
      </c>
      <c r="AN57" s="59">
        <f ca="1">AVERAGE(OFFSET($AM$3,0,0,'Données projet'!$E$10+1,1))-AVERAGE(OFFSET($H$3,0,0,'Données projet'!$E$10+1,1))</f>
        <v>179.4725256147085</v>
      </c>
      <c r="AO57" s="59">
        <f t="shared" si="36"/>
        <v>282.16750121151176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60.58188385642795</v>
      </c>
      <c r="AV57" s="21">
        <f>EXP(-LN(2)/25)*AV56+(1-EXP(-LN(2)/25))/(LN(2)/25)*Calculateur!AQ57*Calculateur!AS57*VLOOKUP('Données projet'!$B$10,Paramètres!$A$1:$I$89,3,0)*0.475*44/12</f>
        <v>22.184411193554944</v>
      </c>
      <c r="AW57" s="21">
        <f>EXP(-LN(2)/2)*AW56+(1-EXP(-LN(2)/2))/(LN(2)/2)*AQ57*AT57*VLOOKUP('Données projet'!$B$10,Paramètres!$A$1:$I$89,3,0)*0.475*44/12</f>
        <v>1.3152823392636868</v>
      </c>
      <c r="AX57" s="21">
        <f t="shared" si="6"/>
        <v>84.081577389246576</v>
      </c>
      <c r="AY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5.3214035087719296</v>
      </c>
      <c r="BD57" s="12">
        <f>IF('Données projet'!$A$88&gt;35,BD56+BC57-BL56,IF(A57&lt;'Données projet'!$A$88,$BA$205^A57,IF(A57='Données projet'!$A$88,'Données projet'!$B$88,BD56+BC57-BL56)))</f>
        <v>287.35578947368447</v>
      </c>
      <c r="BE57" s="13">
        <f>BD57*VLOOKUP('Données projet'!$B$11,Paramètres!$A$1:$I$89,3,0)*VLOOKUP('Données projet'!$B$11,Paramètres!$A$1:$I$89,5,0)</f>
        <v>246.55126736842132</v>
      </c>
      <c r="BF57" s="13">
        <f t="shared" si="37"/>
        <v>59.846850687711651</v>
      </c>
      <c r="BG57" s="20">
        <f t="shared" si="7"/>
        <v>533.64338894776483</v>
      </c>
      <c r="BH57" s="59">
        <f t="shared" si="8"/>
        <v>826.97672228109809</v>
      </c>
      <c r="BI57" s="59">
        <f ca="1">AVERAGE(OFFSET($BH$3,0,0,'Données projet'!$E$11+1,1))-AVERAGE(OFFSET($H$3,0,0,'Données projet'!$E$11+1,1))</f>
        <v>312.89478437044261</v>
      </c>
      <c r="BJ57" s="59">
        <f t="shared" si="38"/>
        <v>276.16555507854571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>
        <f>EXP(-LN(2)/35)*BP56+(1-EXP(-LN(2)/35))/(LN(2)/35)*BL57*BM57*VLOOKUP('Données projet'!$B$11,Paramètres!$A$1:$I$89,3,0)*0.475*44/12</f>
        <v>0</v>
      </c>
      <c r="BQ57" s="21">
        <f>EXP(-LN(2)/25)*BQ56+(1-EXP(-LN(2)/25))/(LN(2)/25)*Calculateur!BL57*Calculateur!BN57*VLOOKUP('Données projet'!$B$11,Paramètres!$A$1:$I$89,3,0)*0.475*44/12</f>
        <v>0</v>
      </c>
      <c r="BR57" s="21">
        <f>EXP(-LN(2)/2)*BR56+(1-EXP(-LN(2)/2))/(LN(2)/2)*BL57*BO57*VLOOKUP('Données projet'!$B$11,Paramètres!$A$1:$I$89,3,0)*0.475*44/12</f>
        <v>0</v>
      </c>
      <c r="BS57" s="22">
        <f t="shared" si="9"/>
        <v>0</v>
      </c>
      <c r="BT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0</v>
      </c>
      <c r="BY57" s="12">
        <f>IF('Données projet'!$A$114&gt;35,BY56+BX57-CG56,IF(A57&lt;'Données projet'!$A$114,$BV$205^A57,IF(A57='Données projet'!$A$114,'Données projet'!$B$114,BY56+BX57-CG56)))</f>
        <v>0</v>
      </c>
      <c r="BZ57" s="13" t="e">
        <f>BY57*VLOOKUP('Données projet'!$B$12,Paramètres!$A$1:$I$89,3,0)*VLOOKUP('Données projet'!$B$12,Paramètres!$A$1:$I$89,5,0)</f>
        <v>#N/A</v>
      </c>
      <c r="CA57" s="13" t="e">
        <f t="shared" si="39"/>
        <v>#N/A</v>
      </c>
      <c r="CB57" s="20" t="e">
        <f t="shared" si="10"/>
        <v>#N/A</v>
      </c>
      <c r="CC57" s="59" t="e">
        <f t="shared" si="11"/>
        <v>#N/A</v>
      </c>
      <c r="CD57" s="59" t="e">
        <f ca="1">AVERAGE(OFFSET($CC$3,0,0,'Données projet'!$E$12+1,1))-AVERAGE(OFFSET($H$3,0,0,'Données projet'!$E$12+1,1))</f>
        <v>#N/A</v>
      </c>
      <c r="CE57" s="59" t="e">
        <f t="shared" si="40"/>
        <v>#N/A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 t="e">
        <f>EXP(-LN(2)/35)*CK56+(1-EXP(-LN(2)/35))/(LN(2)/35)*CG57*CH57*VLOOKUP('Données projet'!$B$12,Paramètres!$A$1:$I$89,3,0)*0.475*44/12</f>
        <v>#N/A</v>
      </c>
      <c r="CL57" s="21" t="e">
        <f>EXP(-LN(2)/25)*CL56+(1-EXP(-LN(2)/25))/(LN(2)/25)*Calculateur!CG57*Calculateur!CI57*VLOOKUP('Données projet'!$B$12,Paramètres!$A$1:$I$89,3,0)*0.475*44/12</f>
        <v>#N/A</v>
      </c>
      <c r="CM57" s="21" t="e">
        <f>EXP(-LN(2)/2)*CM56+(1-EXP(-LN(2)/2))/(LN(2)/2)*CG57*CJ57*VLOOKUP('Données projet'!$B$12,Paramètres!$A$1:$I$89,3,0)*0.475*44/12</f>
        <v>#N/A</v>
      </c>
      <c r="CN57" s="22" t="e">
        <f t="shared" si="12"/>
        <v>#N/A</v>
      </c>
      <c r="CO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0</v>
      </c>
      <c r="CT57" s="12">
        <f>IF('Données projet'!$A$140&gt;35,CT56+CS57-DB56,IF(A57&lt;'Données projet'!$A$140,$CQ$205^A57,IF(A57='Données projet'!$A$140,'Données projet'!$B$140,CT56+CS57-DB56)))</f>
        <v>0</v>
      </c>
      <c r="CU57" s="17" t="e">
        <f>CT57*VLOOKUP('Données projet'!$B$13,Paramètres!$A$1:$I$89,3,0)*VLOOKUP('Données projet'!$B$13,Paramètres!$A$1:$I$89,5,0)</f>
        <v>#N/A</v>
      </c>
      <c r="CV57" s="13" t="e">
        <f t="shared" si="41"/>
        <v>#N/A</v>
      </c>
      <c r="CW57" s="20" t="e">
        <f t="shared" si="13"/>
        <v>#N/A</v>
      </c>
      <c r="CX57" s="59" t="e">
        <f t="shared" si="14"/>
        <v>#N/A</v>
      </c>
      <c r="CY57" s="59" t="e">
        <f ca="1">AVERAGE(OFFSET($CX$3,0,0,'Données projet'!$E$13+1,1))-AVERAGE(OFFSET($H$3,0,0,'Données projet'!$E$13+1,1))</f>
        <v>#N/A</v>
      </c>
      <c r="CZ57" s="59" t="e">
        <f t="shared" si="42"/>
        <v>#N/A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 t="e">
        <f>EXP(-LN(2)/35)*DF56+(1-EXP(-LN(2)/35))/(LN(2)/35)*DB57*DC57*VLOOKUP('Données projet'!$B$13,Paramètres!$A$1:$I$89,3,0)*0.475*44/12</f>
        <v>#N/A</v>
      </c>
      <c r="DG57" s="21" t="e">
        <f>EXP(-LN(2)/25)*DG56+(1-EXP(-LN(2)/25))/(LN(2)/25)*Calculateur!DB57*Calculateur!DD57*VLOOKUP('Données projet'!$B$13,Paramètres!$A$1:$I$89,3,0)*0.475*44/12</f>
        <v>#N/A</v>
      </c>
      <c r="DH57" s="21" t="e">
        <f>EXP(-LN(2)/2)*DH56+(1-EXP(-LN(2)/2))/(LN(2)/2)*DB57*DE57*VLOOKUP('Données projet'!$B$13,Paramètres!$A$1:$I$89,3,0)*0.475*44/12</f>
        <v>#N/A</v>
      </c>
      <c r="DI57" s="22" t="e">
        <f t="shared" si="15"/>
        <v>#N/A</v>
      </c>
      <c r="DJ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0</v>
      </c>
      <c r="DO57" s="12">
        <f>IF('Données projet'!$A$166&gt;35,DO56+DN57-DW56,IF(A57&lt;'Données projet'!$A$166,$DL$205^A57,IF(A57='Données projet'!$A$166,'Données projet'!$B$166,DO56+DN57-DW56)))</f>
        <v>0</v>
      </c>
      <c r="DP57" s="17" t="e">
        <f>DO57*VLOOKUP('Données projet'!$B$14,Paramètres!$A$1:$I$89,3,0)*VLOOKUP('Données projet'!$B$14,Paramètres!$A$1:$I$89,5,0)</f>
        <v>#N/A</v>
      </c>
      <c r="DQ57" s="13" t="e">
        <f t="shared" si="43"/>
        <v>#N/A</v>
      </c>
      <c r="DR57" s="20" t="e">
        <f t="shared" si="16"/>
        <v>#N/A</v>
      </c>
      <c r="DS57" s="59" t="e">
        <f t="shared" si="17"/>
        <v>#N/A</v>
      </c>
      <c r="DT57" s="59" t="e">
        <f ca="1">AVERAGE(OFFSET($DS$3,0,0,'Données projet'!$E$14+1,1))-AVERAGE(OFFSET($H$3,0,0,'Données projet'!$E$14+1,1))</f>
        <v>#N/A</v>
      </c>
      <c r="DU57" s="59" t="e">
        <f t="shared" si="44"/>
        <v>#N/A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 t="e">
        <f>EXP(-LN(2)/35)*EA56+(1-EXP(-LN(2)/35))/(LN(2)/35)*DW57*DX57*VLOOKUP('Données projet'!$B$14,Paramètres!$A$1:$I$89,3,0)*0.475*44/12</f>
        <v>#N/A</v>
      </c>
      <c r="EB57" s="21" t="e">
        <f>EXP(-LN(2)/25)*EB56+(1-EXP(-LN(2)/25))/(LN(2)/25)*Calculateur!DW57*Calculateur!DY57*VLOOKUP('Données projet'!$B$14,Paramètres!$A$1:$I$89,3,0)*0.475*44/12</f>
        <v>#N/A</v>
      </c>
      <c r="EC57" s="21" t="e">
        <f>EXP(-LN(2)/2)*EC56+(1-EXP(-LN(2)/2))/(LN(2)/2)*DW57*DZ57*VLOOKUP('Données projet'!$B$14,Paramètres!$A$1:$I$89,3,0)*0.475*44/12</f>
        <v>#N/A</v>
      </c>
      <c r="ED57" s="22" t="e">
        <f t="shared" si="18"/>
        <v>#N/A</v>
      </c>
      <c r="EE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0</v>
      </c>
      <c r="EJ57" s="12">
        <f>IF('Données projet'!$A$192&gt;35,EJ56+EI57-ER56,IF(A57&lt;'Données projet'!$A$192,$EG$205^A57,IF(A57='Données projet'!$A$192,'Données projet'!$B$192,EJ56+EI57-ER56)))</f>
        <v>0</v>
      </c>
      <c r="EK57" s="17" t="e">
        <f>EJ57*VLOOKUP('Données projet'!$B$15,Paramètres!$A$1:$I$89,3,0)*VLOOKUP('Données projet'!$B$15,Paramètres!$A$1:$I$89,5,0)</f>
        <v>#N/A</v>
      </c>
      <c r="EL57" s="13" t="e">
        <f t="shared" si="45"/>
        <v>#N/A</v>
      </c>
      <c r="EM57" s="20" t="e">
        <f t="shared" si="19"/>
        <v>#N/A</v>
      </c>
      <c r="EN57" s="59" t="e">
        <f t="shared" si="20"/>
        <v>#N/A</v>
      </c>
      <c r="EO57" s="59" t="e">
        <f ca="1">AVERAGE(OFFSET($EN$3,0,0,'Données projet'!$E$15+1,1))-AVERAGE(OFFSET($H$3,0,0,'Données projet'!$E$15+1,1))</f>
        <v>#N/A</v>
      </c>
      <c r="EP57" s="59" t="e">
        <f t="shared" si="46"/>
        <v>#N/A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 t="e">
        <f>EXP(-LN(2)/35)*EV56+(1-EXP(-LN(2)/35))/(LN(2)/35)*ER57*ES57*VLOOKUP('Données projet'!$B$15,Paramètres!$A$1:$I$89,3,0)*0.475*44/12</f>
        <v>#N/A</v>
      </c>
      <c r="EW57" s="21" t="e">
        <f>EXP(-LN(2)/25)*EW56+(1-EXP(-LN(2)/25))/(LN(2)/25)*Calculateur!ER57*Calculateur!ET57*VLOOKUP('Données projet'!$B$15,Paramètres!$A$1:$I$89,3,0)*0.475*44/12</f>
        <v>#N/A</v>
      </c>
      <c r="EX57" s="21" t="e">
        <f>EXP(-LN(2)/2)*EX56+(1-EXP(-LN(2)/2))/(LN(2)/2)*ER57*EU57*VLOOKUP('Données projet'!$B$15,Paramètres!$A$1:$I$89,3,0)*0.475*44/12</f>
        <v>#N/A</v>
      </c>
      <c r="EY57" s="22" t="e">
        <f t="shared" si="21"/>
        <v>#N/A</v>
      </c>
      <c r="EZ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45">
      <c r="A58" s="10">
        <f t="shared" si="31"/>
        <v>55</v>
      </c>
      <c r="B58" s="73">
        <f>'Scénario référence'!$B$16*5+'Scénario référence'!$B$17*0+'Scénario référence'!$B$18*5</f>
        <v>0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48.906000000000034</v>
      </c>
      <c r="D58" s="11">
        <f t="shared" si="32"/>
        <v>14.330866650402033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">
        <f>IF(OR('Scénario référence'!$F$8&gt;0,'Scénario référence'!$F$9&gt;0),('Scénario référence'!$F$8+'Scénario référence'!$F$9)*10,0)</f>
        <v>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488.14423379257738</v>
      </c>
      <c r="H58" s="67">
        <f t="shared" si="1"/>
        <v>366.80420941611692</v>
      </c>
      <c r="I58" s="7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 t="e">
        <f>VLOOKUP(A58,'Données projet'!$A$35:$I$55,2,0)</f>
        <v>#N/A</v>
      </c>
      <c r="L58" s="12" t="e">
        <f>VLOOKUP(A58,'Données projet'!$A$35:$I$55,9,0)</f>
        <v>#N/A</v>
      </c>
      <c r="M58" s="12">
        <f t="array" ref="M58">INDEX(L:L,MIN(IF(ISNUMBER(L58:L254),ROW(L58:L254),"")))</f>
        <v>11.968999999999999</v>
      </c>
      <c r="N58" s="13">
        <f>IF('Données projet'!$A$36&gt;35,N57+M58-V57,IF(A58&lt;'Données projet'!$A$36,$K$205^A58,IF(A58='Données projet'!$A$36,'Données projet'!$B$36,N57+M58-V57)))</f>
        <v>329.45700000000011</v>
      </c>
      <c r="O58" s="13">
        <f>N58*VLOOKUP('Données projet'!$B$9,Paramètres!$A$1:$I$89,3,0)*VLOOKUP('Données projet'!$B$9,Paramètres!$A$1:$I$89,5,0)</f>
        <v>184.16646300000008</v>
      </c>
      <c r="P58" s="13">
        <f t="shared" si="33"/>
        <v>46.247909286467753</v>
      </c>
      <c r="Q58" s="20">
        <f t="shared" si="53"/>
        <v>401.30503173226475</v>
      </c>
      <c r="R58" s="59">
        <f t="shared" si="0"/>
        <v>694.63836506559801</v>
      </c>
      <c r="S58" s="59">
        <f ca="1">AVERAGE(OFFSET($R$3,0,0,'Données projet'!$E$9+1,1))-AVERAGE(OFFSET($H$3,0,0,'Données projet'!$E$9+1,1))</f>
        <v>280.69347314340195</v>
      </c>
      <c r="T58" s="59">
        <f t="shared" si="34"/>
        <v>152.40533828556482</v>
      </c>
      <c r="U58" s="15">
        <f>IF(ISNA(VLOOKUP(A58,'Données projet'!$A$35:$I$55,3,0)),0,VLOOKUP(A58,'Données projet'!$A$35:$I$55,3,0))</f>
        <v>0</v>
      </c>
      <c r="V58" s="15">
        <f>IF(ISNA(VLOOKUP(A58,'Données projet'!$A$35:$I$55,4,0)),0,VLOOKUP(A58,'Données projet'!$A$35:$I$55,4,0))</f>
        <v>0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26.307098586974337</v>
      </c>
      <c r="AA58" s="21">
        <f>EXP(-LN(2)/25)*AA57+(1-EXP(-LN(2)/25))/(LN(2)/25)*Calculateur!V58*Calculateur!X58*VLOOKUP('Données projet'!$B$9,Paramètres!$A$1:$I$89,3,0)*0.475*44/12</f>
        <v>20.321879010941586</v>
      </c>
      <c r="AB58" s="21">
        <f>EXP(-LN(2)/2)*AB57+(1-EXP(-LN(2)/2))/(LN(2)/2)*V58*Y58*VLOOKUP('Données projet'!$B$9,Paramètres!$A$1:$I$89,3,0)*0.475*44/12</f>
        <v>3.0295176174146228</v>
      </c>
      <c r="AC58" s="22">
        <f t="shared" si="3"/>
        <v>49.658495215330547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 t="e">
        <f>VLOOKUP(A58,'Données projet'!$A$61:$I$81,2,0)</f>
        <v>#N/A</v>
      </c>
      <c r="AG58" s="12" t="e">
        <f>VLOOKUP(A58,'Données projet'!$A$61:$I$81,9,0)</f>
        <v>#N/A</v>
      </c>
      <c r="AH58" s="12">
        <f t="array" ref="AH58">INDEX(AG:AG,MIN(IF(ISNUMBER(AG58:AG254),ROW(AG58:AG254),"")))</f>
        <v>9.75</v>
      </c>
      <c r="AI58" s="13">
        <f>IF('Données projet'!$A$62&gt;35,AI57+AH58-AQ57,IF(A58&lt;'Données projet'!$A$62,$AF$205^A58,IF(A58='Données projet'!$A$62,'Données projet'!$B$62,AI57+AH58-AQ57)))</f>
        <v>255.25</v>
      </c>
      <c r="AJ58" s="13">
        <f>AI58*VLOOKUP('Données projet'!$B$10,Paramètres!$A$1:$I$89,3,0)*VLOOKUP('Données projet'!$B$10,Paramètres!$A$1:$I$89,5,0)</f>
        <v>159.27600000000001</v>
      </c>
      <c r="AK58" s="13">
        <f t="shared" si="35"/>
        <v>40.679172107249002</v>
      </c>
      <c r="AL58" s="20">
        <f t="shared" si="4"/>
        <v>348.25525808679203</v>
      </c>
      <c r="AM58" s="59">
        <f t="shared" si="5"/>
        <v>641.58859142012534</v>
      </c>
      <c r="AN58" s="59">
        <f ca="1">AVERAGE(OFFSET($AM$3,0,0,'Données projet'!$E$10+1,1))-AVERAGE(OFFSET($H$3,0,0,'Données projet'!$E$10+1,1))</f>
        <v>179.4725256147085</v>
      </c>
      <c r="AO58" s="59">
        <f t="shared" si="36"/>
        <v>282.16750121151176</v>
      </c>
      <c r="AP58" s="15">
        <f>IF(ISNA(VLOOKUP(A58,'Données projet'!$A$61:$I$81,3,0)),0,VLOOKUP(A58,'Données projet'!$A$61:$I$81,3,0))</f>
        <v>0</v>
      </c>
      <c r="AQ58" s="15">
        <f>IF(ISNA(VLOOKUP(A58,'Données projet'!$A$61:$I$81,4,0)),0,VLOOKUP(A58,'Données projet'!$A$61:$I$81,4,0))</f>
        <v>0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>
        <f>EXP(-LN(2)/35)*AU57+(1-EXP(-LN(2)/35))/(LN(2)/35)*AQ58*AR58*VLOOKUP('Données projet'!$B$10,Paramètres!$A$1:$I$89,3,0)*0.475*44/12</f>
        <v>59.393910065303913</v>
      </c>
      <c r="AV58" s="21">
        <f>EXP(-LN(2)/25)*AV57+(1-EXP(-LN(2)/25))/(LN(2)/25)*Calculateur!AQ58*Calculateur!AS58*VLOOKUP('Données projet'!$B$10,Paramètres!$A$1:$I$89,3,0)*0.475*44/12</f>
        <v>21.577777302839703</v>
      </c>
      <c r="AW58" s="21">
        <f>EXP(-LN(2)/2)*AW57+(1-EXP(-LN(2)/2))/(LN(2)/2)*AQ58*AT58*VLOOKUP('Données projet'!$B$10,Paramètres!$A$1:$I$89,3,0)*0.475*44/12</f>
        <v>0.93004506126825814</v>
      </c>
      <c r="AX58" s="21">
        <f t="shared" si="6"/>
        <v>81.901732429411879</v>
      </c>
      <c r="AY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 t="e">
        <f>VLOOKUP(A58,'Données projet'!$A$87:$I$107,2,0)</f>
        <v>#N/A</v>
      </c>
      <c r="BB58" s="12" t="e">
        <f>VLOOKUP(A58,'Données projet'!$A$87:$I$107,9,0)</f>
        <v>#N/A</v>
      </c>
      <c r="BC58" s="12">
        <f t="array" ref="BC58">INDEX(BB:BB,MIN(IF(ISNUMBER(BB58:BB254),ROW(BB58:BB254),"")))</f>
        <v>5.3214035087719296</v>
      </c>
      <c r="BD58" s="12">
        <f>IF('Données projet'!$A$88&gt;35,BD57+BC58-BL57,IF(A58&lt;'Données projet'!$A$88,$BA$205^A58,IF(A58='Données projet'!$A$88,'Données projet'!$B$88,BD57+BC58-BL57)))</f>
        <v>292.6771929824564</v>
      </c>
      <c r="BE58" s="13">
        <f>BD58*VLOOKUP('Données projet'!$B$11,Paramètres!$A$1:$I$89,3,0)*VLOOKUP('Données projet'!$B$11,Paramètres!$A$1:$I$89,5,0)</f>
        <v>251.1170315789476</v>
      </c>
      <c r="BF58" s="13">
        <f t="shared" si="37"/>
        <v>60.825074254522193</v>
      </c>
      <c r="BG58" s="20">
        <f t="shared" si="7"/>
        <v>543.29916765995983</v>
      </c>
      <c r="BH58" s="59">
        <f t="shared" si="8"/>
        <v>836.63250099329321</v>
      </c>
      <c r="BI58" s="59">
        <f ca="1">AVERAGE(OFFSET($BH$3,0,0,'Données projet'!$E$11+1,1))-AVERAGE(OFFSET($H$3,0,0,'Données projet'!$E$11+1,1))</f>
        <v>312.89478437044261</v>
      </c>
      <c r="BJ58" s="59">
        <f t="shared" si="38"/>
        <v>276.16555507854571</v>
      </c>
      <c r="BK58" s="15">
        <f>IF(ISNA(VLOOKUP(A58,'Données projet'!$A$87:$I$107,3,0)),0,VLOOKUP(A58,'Données projet'!$A$87:$I$107,3,0))</f>
        <v>0</v>
      </c>
      <c r="BL58" s="15">
        <f>IF(ISNA(VLOOKUP(A58,'Données projet'!$A$87:$I$107,4,0)),0,VLOOKUP(A58,'Données projet'!$A$87:$I$107,4,0))</f>
        <v>0</v>
      </c>
      <c r="BM58" s="16">
        <f>IF(ISNA(VLOOKUP(A58,'Données projet'!$A$87:$I$107,5,0)),0%,VLOOKUP(A58,'Données projet'!$A$87:$I$107,5,0)*VLOOKUP('Données projet'!$B$11,Paramètres!$A$1:$I$89,7,0))</f>
        <v>0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>
        <f>EXP(-LN(2)/35)*BP57+(1-EXP(-LN(2)/35))/(LN(2)/35)*BL58*BM58*VLOOKUP('Données projet'!$B$11,Paramètres!$A$1:$I$89,3,0)*0.475*44/12</f>
        <v>0</v>
      </c>
      <c r="BQ58" s="21">
        <f>EXP(-LN(2)/25)*BQ57+(1-EXP(-LN(2)/25))/(LN(2)/25)*Calculateur!BL58*Calculateur!BN58*VLOOKUP('Données projet'!$B$11,Paramètres!$A$1:$I$89,3,0)*0.475*44/12</f>
        <v>0</v>
      </c>
      <c r="BR58" s="21">
        <f>EXP(-LN(2)/2)*BR57+(1-EXP(-LN(2)/2))/(LN(2)/2)*BL58*BO58*VLOOKUP('Données projet'!$B$11,Paramètres!$A$1:$I$89,3,0)*0.475*44/12</f>
        <v>0</v>
      </c>
      <c r="BS58" s="22">
        <f t="shared" si="9"/>
        <v>0</v>
      </c>
      <c r="BT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 t="e">
        <f>VLOOKUP(A58,'Données projet'!$A$113:$I$133,2,0)</f>
        <v>#N/A</v>
      </c>
      <c r="BW58" s="12" t="e">
        <f>VLOOKUP(A58,'Données projet'!$A$113:$I$133,9,0)</f>
        <v>#N/A</v>
      </c>
      <c r="BX58" s="12">
        <f t="array" ref="BX58">INDEX(BW:BW,MIN(IF(ISNUMBER(BW58:BW254),ROW(BW58:BW254),"")))</f>
        <v>0</v>
      </c>
      <c r="BY58" s="12">
        <f>IF('Données projet'!$A$114&gt;35,BY57+BX58-CG57,IF(A58&lt;'Données projet'!$A$114,$BV$205^A58,IF(A58='Données projet'!$A$114,'Données projet'!$B$114,BY57+BX58-CG57)))</f>
        <v>0</v>
      </c>
      <c r="BZ58" s="13" t="e">
        <f>BY58*VLOOKUP('Données projet'!$B$12,Paramètres!$A$1:$I$89,3,0)*VLOOKUP('Données projet'!$B$12,Paramètres!$A$1:$I$89,5,0)</f>
        <v>#N/A</v>
      </c>
      <c r="CA58" s="13" t="e">
        <f t="shared" si="39"/>
        <v>#N/A</v>
      </c>
      <c r="CB58" s="20" t="e">
        <f t="shared" si="10"/>
        <v>#N/A</v>
      </c>
      <c r="CC58" s="59" t="e">
        <f t="shared" si="11"/>
        <v>#N/A</v>
      </c>
      <c r="CD58" s="59" t="e">
        <f ca="1">AVERAGE(OFFSET($CC$3,0,0,'Données projet'!$E$12+1,1))-AVERAGE(OFFSET($H$3,0,0,'Données projet'!$E$12+1,1))</f>
        <v>#N/A</v>
      </c>
      <c r="CE58" s="59" t="e">
        <f t="shared" si="40"/>
        <v>#N/A</v>
      </c>
      <c r="CF58" s="15">
        <f>IF(ISNA(VLOOKUP(A58,'Données projet'!$A$113:$I$133,3,0)),0,VLOOKUP(A58,'Données projet'!$A$113:$I$133,3,0))</f>
        <v>0</v>
      </c>
      <c r="CG58" s="15">
        <f>IF(ISNA(VLOOKUP(A58,'Données projet'!$A$113:$I$133,4,0)),0,VLOOKUP(A58,'Données projet'!$A$113:$I$133,4,0))</f>
        <v>0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 t="e">
        <f>EXP(-LN(2)/35)*CK57+(1-EXP(-LN(2)/35))/(LN(2)/35)*CG58*CH58*VLOOKUP('Données projet'!$B$12,Paramètres!$A$1:$I$89,3,0)*0.475*44/12</f>
        <v>#N/A</v>
      </c>
      <c r="CL58" s="21" t="e">
        <f>EXP(-LN(2)/25)*CL57+(1-EXP(-LN(2)/25))/(LN(2)/25)*Calculateur!CG58*Calculateur!CI58*VLOOKUP('Données projet'!$B$12,Paramètres!$A$1:$I$89,3,0)*0.475*44/12</f>
        <v>#N/A</v>
      </c>
      <c r="CM58" s="21" t="e">
        <f>EXP(-LN(2)/2)*CM57+(1-EXP(-LN(2)/2))/(LN(2)/2)*CG58*CJ58*VLOOKUP('Données projet'!$B$12,Paramètres!$A$1:$I$89,3,0)*0.475*44/12</f>
        <v>#N/A</v>
      </c>
      <c r="CN58" s="22" t="e">
        <f t="shared" si="12"/>
        <v>#N/A</v>
      </c>
      <c r="CO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0</v>
      </c>
      <c r="CT58" s="12">
        <f>IF('Données projet'!$A$140&gt;35,CT57+CS58-DB57,IF(A58&lt;'Données projet'!$A$140,$CQ$205^A58,IF(A58='Données projet'!$A$140,'Données projet'!$B$140,CT57+CS58-DB57)))</f>
        <v>0</v>
      </c>
      <c r="CU58" s="17" t="e">
        <f>CT58*VLOOKUP('Données projet'!$B$13,Paramètres!$A$1:$I$89,3,0)*VLOOKUP('Données projet'!$B$13,Paramètres!$A$1:$I$89,5,0)</f>
        <v>#N/A</v>
      </c>
      <c r="CV58" s="13" t="e">
        <f t="shared" si="41"/>
        <v>#N/A</v>
      </c>
      <c r="CW58" s="20" t="e">
        <f t="shared" si="13"/>
        <v>#N/A</v>
      </c>
      <c r="CX58" s="59" t="e">
        <f t="shared" si="14"/>
        <v>#N/A</v>
      </c>
      <c r="CY58" s="59" t="e">
        <f ca="1">AVERAGE(OFFSET($CX$3,0,0,'Données projet'!$E$13+1,1))-AVERAGE(OFFSET($H$3,0,0,'Données projet'!$E$13+1,1))</f>
        <v>#N/A</v>
      </c>
      <c r="CZ58" s="59" t="e">
        <f t="shared" si="42"/>
        <v>#N/A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 t="e">
        <f>EXP(-LN(2)/35)*DF57+(1-EXP(-LN(2)/35))/(LN(2)/35)*DB58*DC58*VLOOKUP('Données projet'!$B$13,Paramètres!$A$1:$I$89,3,0)*0.475*44/12</f>
        <v>#N/A</v>
      </c>
      <c r="DG58" s="21" t="e">
        <f>EXP(-LN(2)/25)*DG57+(1-EXP(-LN(2)/25))/(LN(2)/25)*Calculateur!DB58*Calculateur!DD58*VLOOKUP('Données projet'!$B$13,Paramètres!$A$1:$I$89,3,0)*0.475*44/12</f>
        <v>#N/A</v>
      </c>
      <c r="DH58" s="21" t="e">
        <f>EXP(-LN(2)/2)*DH57+(1-EXP(-LN(2)/2))/(LN(2)/2)*DB58*DE58*VLOOKUP('Données projet'!$B$13,Paramètres!$A$1:$I$89,3,0)*0.475*44/12</f>
        <v>#N/A</v>
      </c>
      <c r="DI58" s="22" t="e">
        <f t="shared" si="15"/>
        <v>#N/A</v>
      </c>
      <c r="DJ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0</v>
      </c>
      <c r="DO58" s="12">
        <f>IF('Données projet'!$A$166&gt;35,DO57+DN58-DW57,IF(A58&lt;'Données projet'!$A$166,$DL$205^A58,IF(A58='Données projet'!$A$166,'Données projet'!$B$166,DO57+DN58-DW57)))</f>
        <v>0</v>
      </c>
      <c r="DP58" s="17" t="e">
        <f>DO58*VLOOKUP('Données projet'!$B$14,Paramètres!$A$1:$I$89,3,0)*VLOOKUP('Données projet'!$B$14,Paramètres!$A$1:$I$89,5,0)</f>
        <v>#N/A</v>
      </c>
      <c r="DQ58" s="13" t="e">
        <f t="shared" si="43"/>
        <v>#N/A</v>
      </c>
      <c r="DR58" s="20" t="e">
        <f t="shared" si="16"/>
        <v>#N/A</v>
      </c>
      <c r="DS58" s="59" t="e">
        <f t="shared" si="17"/>
        <v>#N/A</v>
      </c>
      <c r="DT58" s="59" t="e">
        <f ca="1">AVERAGE(OFFSET($DS$3,0,0,'Données projet'!$E$14+1,1))-AVERAGE(OFFSET($H$3,0,0,'Données projet'!$E$14+1,1))</f>
        <v>#N/A</v>
      </c>
      <c r="DU58" s="59" t="e">
        <f t="shared" si="44"/>
        <v>#N/A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 t="e">
        <f>EXP(-LN(2)/35)*EA57+(1-EXP(-LN(2)/35))/(LN(2)/35)*DW58*DX58*VLOOKUP('Données projet'!$B$14,Paramètres!$A$1:$I$89,3,0)*0.475*44/12</f>
        <v>#N/A</v>
      </c>
      <c r="EB58" s="21" t="e">
        <f>EXP(-LN(2)/25)*EB57+(1-EXP(-LN(2)/25))/(LN(2)/25)*Calculateur!DW58*Calculateur!DY58*VLOOKUP('Données projet'!$B$14,Paramètres!$A$1:$I$89,3,0)*0.475*44/12</f>
        <v>#N/A</v>
      </c>
      <c r="EC58" s="21" t="e">
        <f>EXP(-LN(2)/2)*EC57+(1-EXP(-LN(2)/2))/(LN(2)/2)*DW58*DZ58*VLOOKUP('Données projet'!$B$14,Paramètres!$A$1:$I$89,3,0)*0.475*44/12</f>
        <v>#N/A</v>
      </c>
      <c r="ED58" s="22" t="e">
        <f t="shared" si="18"/>
        <v>#N/A</v>
      </c>
      <c r="EE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0</v>
      </c>
      <c r="EJ58" s="12">
        <f>IF('Données projet'!$A$192&gt;35,EJ57+EI58-ER57,IF(A58&lt;'Données projet'!$A$192,$EG$205^A58,IF(A58='Données projet'!$A$192,'Données projet'!$B$192,EJ57+EI58-ER57)))</f>
        <v>0</v>
      </c>
      <c r="EK58" s="17" t="e">
        <f>EJ58*VLOOKUP('Données projet'!$B$15,Paramètres!$A$1:$I$89,3,0)*VLOOKUP('Données projet'!$B$15,Paramètres!$A$1:$I$89,5,0)</f>
        <v>#N/A</v>
      </c>
      <c r="EL58" s="13" t="e">
        <f t="shared" si="45"/>
        <v>#N/A</v>
      </c>
      <c r="EM58" s="20" t="e">
        <f t="shared" si="19"/>
        <v>#N/A</v>
      </c>
      <c r="EN58" s="59" t="e">
        <f t="shared" si="20"/>
        <v>#N/A</v>
      </c>
      <c r="EO58" s="59" t="e">
        <f ca="1">AVERAGE(OFFSET($EN$3,0,0,'Données projet'!$E$15+1,1))-AVERAGE(OFFSET($H$3,0,0,'Données projet'!$E$15+1,1))</f>
        <v>#N/A</v>
      </c>
      <c r="EP58" s="59" t="e">
        <f t="shared" si="46"/>
        <v>#N/A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 t="e">
        <f>EXP(-LN(2)/35)*EV57+(1-EXP(-LN(2)/35))/(LN(2)/35)*ER58*ES58*VLOOKUP('Données projet'!$B$15,Paramètres!$A$1:$I$89,3,0)*0.475*44/12</f>
        <v>#N/A</v>
      </c>
      <c r="EW58" s="21" t="e">
        <f>EXP(-LN(2)/25)*EW57+(1-EXP(-LN(2)/25))/(LN(2)/25)*Calculateur!ER58*Calculateur!ET58*VLOOKUP('Données projet'!$B$15,Paramètres!$A$1:$I$89,3,0)*0.475*44/12</f>
        <v>#N/A</v>
      </c>
      <c r="EX58" s="21" t="e">
        <f>EXP(-LN(2)/2)*EX57+(1-EXP(-LN(2)/2))/(LN(2)/2)*ER58*EU58*VLOOKUP('Données projet'!$B$15,Paramètres!$A$1:$I$89,3,0)*0.475*44/12</f>
        <v>#N/A</v>
      </c>
      <c r="EY58" s="22" t="e">
        <f t="shared" si="21"/>
        <v>#N/A</v>
      </c>
      <c r="EZ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45">
      <c r="A59" s="10">
        <f t="shared" si="31"/>
        <v>56</v>
      </c>
      <c r="B59" s="73">
        <f>'Scénario référence'!$B$16*5+'Scénario référence'!$B$17*0+'Scénario référence'!$B$18*5</f>
        <v>0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49.795200000000037</v>
      </c>
      <c r="D59" s="11">
        <f t="shared" si="32"/>
        <v>14.560856542690786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">
        <f>IF(OR('Scénario référence'!$F$8&gt;0,'Scénario référence'!$F$9&gt;0),('Scénario référence'!$F$8+'Scénario référence'!$F$9)*10,0)</f>
        <v>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496.78359436463097</v>
      </c>
      <c r="H59" s="67">
        <f t="shared" si="1"/>
        <v>368.75346514518651</v>
      </c>
      <c r="I59" s="7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11.968999999999999</v>
      </c>
      <c r="N59" s="13">
        <f>IF('Données projet'!$A$36&gt;35,N58+M59-V58,IF(A59&lt;'Données projet'!$A$36,$K$205^A59,IF(A59='Données projet'!$A$36,'Données projet'!$B$36,N58+M59-V58)))</f>
        <v>341.4260000000001</v>
      </c>
      <c r="O59" s="13">
        <f>N59*VLOOKUP('Données projet'!$B$9,Paramètres!$A$1:$I$89,3,0)*VLOOKUP('Données projet'!$B$9,Paramètres!$A$1:$I$89,5,0)</f>
        <v>190.85713400000006</v>
      </c>
      <c r="P59" s="13">
        <f t="shared" si="33"/>
        <v>47.72940333821991</v>
      </c>
      <c r="Q59" s="20">
        <f t="shared" si="53"/>
        <v>415.53821919739977</v>
      </c>
      <c r="R59" s="59">
        <f t="shared" si="0"/>
        <v>708.87155253073308</v>
      </c>
      <c r="S59" s="59">
        <f ca="1">AVERAGE(OFFSET($R$3,0,0,'Données projet'!$E$9+1,1))-AVERAGE(OFFSET($H$3,0,0,'Données projet'!$E$9+1,1))</f>
        <v>280.69347314340195</v>
      </c>
      <c r="T59" s="59">
        <f t="shared" si="34"/>
        <v>152.40533828556482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25.791232429429524</v>
      </c>
      <c r="AA59" s="21">
        <f>EXP(-LN(2)/25)*AA58+(1-EXP(-LN(2)/25))/(LN(2)/25)*Calculateur!V59*Calculateur!X59*VLOOKUP('Données projet'!$B$9,Paramètres!$A$1:$I$89,3,0)*0.475*44/12</f>
        <v>19.766176160706216</v>
      </c>
      <c r="AB59" s="21">
        <f>EXP(-LN(2)/2)*AB58+(1-EXP(-LN(2)/2))/(LN(2)/2)*V59*Y59*VLOOKUP('Données projet'!$B$9,Paramètres!$A$1:$I$89,3,0)*0.475*44/12</f>
        <v>2.1421924509979928</v>
      </c>
      <c r="AC59" s="22">
        <f t="shared" si="3"/>
        <v>47.699601041133732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9.75</v>
      </c>
      <c r="AI59" s="13">
        <f>IF('Données projet'!$A$62&gt;35,AI58+AH59-AQ58,IF(A59&lt;'Données projet'!$A$62,$AF$205^A59,IF(A59='Données projet'!$A$62,'Données projet'!$B$62,AI58+AH59-AQ58)))</f>
        <v>265</v>
      </c>
      <c r="AJ59" s="13">
        <f>AI59*VLOOKUP('Données projet'!$B$10,Paramètres!$A$1:$I$89,3,0)*VLOOKUP('Données projet'!$B$10,Paramètres!$A$1:$I$89,5,0)</f>
        <v>165.35999999999999</v>
      </c>
      <c r="AK59" s="13">
        <f t="shared" si="35"/>
        <v>42.04915012784209</v>
      </c>
      <c r="AL59" s="20">
        <f t="shared" si="4"/>
        <v>361.2376031393249</v>
      </c>
      <c r="AM59" s="59">
        <f t="shared" si="5"/>
        <v>654.57093647265822</v>
      </c>
      <c r="AN59" s="59">
        <f ca="1">AVERAGE(OFFSET($AM$3,0,0,'Données projet'!$E$10+1,1))-AVERAGE(OFFSET($H$3,0,0,'Données projet'!$E$10+1,1))</f>
        <v>179.4725256147085</v>
      </c>
      <c r="AO59" s="59">
        <f t="shared" si="36"/>
        <v>282.16750121151176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>
        <f>EXP(-LN(2)/35)*AU58+(1-EXP(-LN(2)/35))/(LN(2)/35)*AQ59*AR59*VLOOKUP('Données projet'!$B$10,Paramètres!$A$1:$I$89,3,0)*0.475*44/12</f>
        <v>58.22923171563135</v>
      </c>
      <c r="AV59" s="21">
        <f>EXP(-LN(2)/25)*AV58+(1-EXP(-LN(2)/25))/(LN(2)/25)*Calculateur!AQ59*Calculateur!AS59*VLOOKUP('Données projet'!$B$10,Paramètres!$A$1:$I$89,3,0)*0.475*44/12</f>
        <v>20.987731847767559</v>
      </c>
      <c r="AW59" s="21">
        <f>EXP(-LN(2)/2)*AW58+(1-EXP(-LN(2)/2))/(LN(2)/2)*AQ59*AT59*VLOOKUP('Données projet'!$B$10,Paramètres!$A$1:$I$89,3,0)*0.475*44/12</f>
        <v>0.65764116963184349</v>
      </c>
      <c r="AX59" s="21">
        <f t="shared" si="6"/>
        <v>79.87460473303075</v>
      </c>
      <c r="AY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5.3214035087719296</v>
      </c>
      <c r="BD59" s="12">
        <f>IF('Données projet'!$A$88&gt;35,BD58+BC59-BL58,IF(A59&lt;'Données projet'!$A$88,$BA$205^A59,IF(A59='Données projet'!$A$88,'Données projet'!$B$88,BD58+BC59-BL58)))</f>
        <v>297.99859649122834</v>
      </c>
      <c r="BE59" s="13">
        <f>BD59*VLOOKUP('Données projet'!$B$11,Paramètres!$A$1:$I$89,3,0)*VLOOKUP('Données projet'!$B$11,Paramètres!$A$1:$I$89,5,0)</f>
        <v>255.68279578947397</v>
      </c>
      <c r="BF59" s="13">
        <f t="shared" si="37"/>
        <v>61.801229613267431</v>
      </c>
      <c r="BG59" s="20">
        <f t="shared" si="7"/>
        <v>552.95134424310788</v>
      </c>
      <c r="BH59" s="59">
        <f t="shared" si="8"/>
        <v>846.28467757644125</v>
      </c>
      <c r="BI59" s="59">
        <f ca="1">AVERAGE(OFFSET($BH$3,0,0,'Données projet'!$E$11+1,1))-AVERAGE(OFFSET($H$3,0,0,'Données projet'!$E$11+1,1))</f>
        <v>312.89478437044261</v>
      </c>
      <c r="BJ59" s="59">
        <f t="shared" si="38"/>
        <v>276.16555507854571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>
        <f>EXP(-LN(2)/35)*BP58+(1-EXP(-LN(2)/35))/(LN(2)/35)*BL59*BM59*VLOOKUP('Données projet'!$B$11,Paramètres!$A$1:$I$89,3,0)*0.475*44/12</f>
        <v>0</v>
      </c>
      <c r="BQ59" s="21">
        <f>EXP(-LN(2)/25)*BQ58+(1-EXP(-LN(2)/25))/(LN(2)/25)*Calculateur!BL59*Calculateur!BN59*VLOOKUP('Données projet'!$B$11,Paramètres!$A$1:$I$89,3,0)*0.475*44/12</f>
        <v>0</v>
      </c>
      <c r="BR59" s="21">
        <f>EXP(-LN(2)/2)*BR58+(1-EXP(-LN(2)/2))/(LN(2)/2)*BL59*BO59*VLOOKUP('Données projet'!$B$11,Paramètres!$A$1:$I$89,3,0)*0.475*44/12</f>
        <v>0</v>
      </c>
      <c r="BS59" s="22">
        <f t="shared" si="9"/>
        <v>0</v>
      </c>
      <c r="BT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0</v>
      </c>
      <c r="BY59" s="12">
        <f>IF('Données projet'!$A$114&gt;35,BY58+BX59-CG58,IF(A59&lt;'Données projet'!$A$114,$BV$205^A59,IF(A59='Données projet'!$A$114,'Données projet'!$B$114,BY58+BX59-CG58)))</f>
        <v>0</v>
      </c>
      <c r="BZ59" s="13" t="e">
        <f>BY59*VLOOKUP('Données projet'!$B$12,Paramètres!$A$1:$I$89,3,0)*VLOOKUP('Données projet'!$B$12,Paramètres!$A$1:$I$89,5,0)</f>
        <v>#N/A</v>
      </c>
      <c r="CA59" s="13" t="e">
        <f t="shared" si="39"/>
        <v>#N/A</v>
      </c>
      <c r="CB59" s="20" t="e">
        <f t="shared" si="10"/>
        <v>#N/A</v>
      </c>
      <c r="CC59" s="59" t="e">
        <f t="shared" si="11"/>
        <v>#N/A</v>
      </c>
      <c r="CD59" s="59" t="e">
        <f ca="1">AVERAGE(OFFSET($CC$3,0,0,'Données projet'!$E$12+1,1))-AVERAGE(OFFSET($H$3,0,0,'Données projet'!$E$12+1,1))</f>
        <v>#N/A</v>
      </c>
      <c r="CE59" s="59" t="e">
        <f t="shared" si="40"/>
        <v>#N/A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 t="e">
        <f>EXP(-LN(2)/35)*CK58+(1-EXP(-LN(2)/35))/(LN(2)/35)*CG59*CH59*VLOOKUP('Données projet'!$B$12,Paramètres!$A$1:$I$89,3,0)*0.475*44/12</f>
        <v>#N/A</v>
      </c>
      <c r="CL59" s="21" t="e">
        <f>EXP(-LN(2)/25)*CL58+(1-EXP(-LN(2)/25))/(LN(2)/25)*Calculateur!CG59*Calculateur!CI59*VLOOKUP('Données projet'!$B$12,Paramètres!$A$1:$I$89,3,0)*0.475*44/12</f>
        <v>#N/A</v>
      </c>
      <c r="CM59" s="21" t="e">
        <f>EXP(-LN(2)/2)*CM58+(1-EXP(-LN(2)/2))/(LN(2)/2)*CG59*CJ59*VLOOKUP('Données projet'!$B$12,Paramètres!$A$1:$I$89,3,0)*0.475*44/12</f>
        <v>#N/A</v>
      </c>
      <c r="CN59" s="22" t="e">
        <f t="shared" si="12"/>
        <v>#N/A</v>
      </c>
      <c r="CO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0</v>
      </c>
      <c r="CT59" s="12">
        <f>IF('Données projet'!$A$140&gt;35,CT58+CS59-DB58,IF(A59&lt;'Données projet'!$A$140,$CQ$205^A59,IF(A59='Données projet'!$A$140,'Données projet'!$B$140,CT58+CS59-DB58)))</f>
        <v>0</v>
      </c>
      <c r="CU59" s="17" t="e">
        <f>CT59*VLOOKUP('Données projet'!$B$13,Paramètres!$A$1:$I$89,3,0)*VLOOKUP('Données projet'!$B$13,Paramètres!$A$1:$I$89,5,0)</f>
        <v>#N/A</v>
      </c>
      <c r="CV59" s="13" t="e">
        <f t="shared" si="41"/>
        <v>#N/A</v>
      </c>
      <c r="CW59" s="20" t="e">
        <f t="shared" si="13"/>
        <v>#N/A</v>
      </c>
      <c r="CX59" s="59" t="e">
        <f t="shared" si="14"/>
        <v>#N/A</v>
      </c>
      <c r="CY59" s="59" t="e">
        <f ca="1">AVERAGE(OFFSET($CX$3,0,0,'Données projet'!$E$13+1,1))-AVERAGE(OFFSET($H$3,0,0,'Données projet'!$E$13+1,1))</f>
        <v>#N/A</v>
      </c>
      <c r="CZ59" s="59" t="e">
        <f t="shared" si="42"/>
        <v>#N/A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 t="e">
        <f>EXP(-LN(2)/35)*DF58+(1-EXP(-LN(2)/35))/(LN(2)/35)*DB59*DC59*VLOOKUP('Données projet'!$B$13,Paramètres!$A$1:$I$89,3,0)*0.475*44/12</f>
        <v>#N/A</v>
      </c>
      <c r="DG59" s="21" t="e">
        <f>EXP(-LN(2)/25)*DG58+(1-EXP(-LN(2)/25))/(LN(2)/25)*Calculateur!DB59*Calculateur!DD59*VLOOKUP('Données projet'!$B$13,Paramètres!$A$1:$I$89,3,0)*0.475*44/12</f>
        <v>#N/A</v>
      </c>
      <c r="DH59" s="21" t="e">
        <f>EXP(-LN(2)/2)*DH58+(1-EXP(-LN(2)/2))/(LN(2)/2)*DB59*DE59*VLOOKUP('Données projet'!$B$13,Paramètres!$A$1:$I$89,3,0)*0.475*44/12</f>
        <v>#N/A</v>
      </c>
      <c r="DI59" s="22" t="e">
        <f t="shared" si="15"/>
        <v>#N/A</v>
      </c>
      <c r="DJ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0</v>
      </c>
      <c r="DO59" s="12">
        <f>IF('Données projet'!$A$166&gt;35,DO58+DN59-DW58,IF(A59&lt;'Données projet'!$A$166,$DL$205^A59,IF(A59='Données projet'!$A$166,'Données projet'!$B$166,DO58+DN59-DW58)))</f>
        <v>0</v>
      </c>
      <c r="DP59" s="17" t="e">
        <f>DO59*VLOOKUP('Données projet'!$B$14,Paramètres!$A$1:$I$89,3,0)*VLOOKUP('Données projet'!$B$14,Paramètres!$A$1:$I$89,5,0)</f>
        <v>#N/A</v>
      </c>
      <c r="DQ59" s="13" t="e">
        <f t="shared" si="43"/>
        <v>#N/A</v>
      </c>
      <c r="DR59" s="20" t="e">
        <f t="shared" si="16"/>
        <v>#N/A</v>
      </c>
      <c r="DS59" s="59" t="e">
        <f t="shared" si="17"/>
        <v>#N/A</v>
      </c>
      <c r="DT59" s="59" t="e">
        <f ca="1">AVERAGE(OFFSET($DS$3,0,0,'Données projet'!$E$14+1,1))-AVERAGE(OFFSET($H$3,0,0,'Données projet'!$E$14+1,1))</f>
        <v>#N/A</v>
      </c>
      <c r="DU59" s="59" t="e">
        <f t="shared" si="44"/>
        <v>#N/A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 t="e">
        <f>EXP(-LN(2)/35)*EA58+(1-EXP(-LN(2)/35))/(LN(2)/35)*DW59*DX59*VLOOKUP('Données projet'!$B$14,Paramètres!$A$1:$I$89,3,0)*0.475*44/12</f>
        <v>#N/A</v>
      </c>
      <c r="EB59" s="21" t="e">
        <f>EXP(-LN(2)/25)*EB58+(1-EXP(-LN(2)/25))/(LN(2)/25)*Calculateur!DW59*Calculateur!DY59*VLOOKUP('Données projet'!$B$14,Paramètres!$A$1:$I$89,3,0)*0.475*44/12</f>
        <v>#N/A</v>
      </c>
      <c r="EC59" s="21" t="e">
        <f>EXP(-LN(2)/2)*EC58+(1-EXP(-LN(2)/2))/(LN(2)/2)*DW59*DZ59*VLOOKUP('Données projet'!$B$14,Paramètres!$A$1:$I$89,3,0)*0.475*44/12</f>
        <v>#N/A</v>
      </c>
      <c r="ED59" s="22" t="e">
        <f t="shared" si="18"/>
        <v>#N/A</v>
      </c>
      <c r="EE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0</v>
      </c>
      <c r="EJ59" s="12">
        <f>IF('Données projet'!$A$192&gt;35,EJ58+EI59-ER58,IF(A59&lt;'Données projet'!$A$192,$EG$205^A59,IF(A59='Données projet'!$A$192,'Données projet'!$B$192,EJ58+EI59-ER58)))</f>
        <v>0</v>
      </c>
      <c r="EK59" s="17" t="e">
        <f>EJ59*VLOOKUP('Données projet'!$B$15,Paramètres!$A$1:$I$89,3,0)*VLOOKUP('Données projet'!$B$15,Paramètres!$A$1:$I$89,5,0)</f>
        <v>#N/A</v>
      </c>
      <c r="EL59" s="13" t="e">
        <f t="shared" si="45"/>
        <v>#N/A</v>
      </c>
      <c r="EM59" s="20" t="e">
        <f t="shared" si="19"/>
        <v>#N/A</v>
      </c>
      <c r="EN59" s="59" t="e">
        <f t="shared" si="20"/>
        <v>#N/A</v>
      </c>
      <c r="EO59" s="59" t="e">
        <f ca="1">AVERAGE(OFFSET($EN$3,0,0,'Données projet'!$E$15+1,1))-AVERAGE(OFFSET($H$3,0,0,'Données projet'!$E$15+1,1))</f>
        <v>#N/A</v>
      </c>
      <c r="EP59" s="59" t="e">
        <f t="shared" si="46"/>
        <v>#N/A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 t="e">
        <f>EXP(-LN(2)/35)*EV58+(1-EXP(-LN(2)/35))/(LN(2)/35)*ER59*ES59*VLOOKUP('Données projet'!$B$15,Paramètres!$A$1:$I$89,3,0)*0.475*44/12</f>
        <v>#N/A</v>
      </c>
      <c r="EW59" s="21" t="e">
        <f>EXP(-LN(2)/25)*EW58+(1-EXP(-LN(2)/25))/(LN(2)/25)*Calculateur!ER59*Calculateur!ET59*VLOOKUP('Données projet'!$B$15,Paramètres!$A$1:$I$89,3,0)*0.475*44/12</f>
        <v>#N/A</v>
      </c>
      <c r="EX59" s="21" t="e">
        <f>EXP(-LN(2)/2)*EX58+(1-EXP(-LN(2)/2))/(LN(2)/2)*ER59*EU59*VLOOKUP('Données projet'!$B$15,Paramètres!$A$1:$I$89,3,0)*0.475*44/12</f>
        <v>#N/A</v>
      </c>
      <c r="EY59" s="22" t="e">
        <f t="shared" si="21"/>
        <v>#N/A</v>
      </c>
      <c r="EZ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45">
      <c r="A60" s="10">
        <f t="shared" si="31"/>
        <v>57</v>
      </c>
      <c r="B60" s="73">
        <f>'Scénario référence'!$B$16*5+'Scénario référence'!$B$17*0+'Scénario référence'!$B$18*5</f>
        <v>0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50.684400000000039</v>
      </c>
      <c r="D60" s="11">
        <f t="shared" si="32"/>
        <v>14.790368854214481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">
        <f>IF(OR('Scénario référence'!$F$8&gt;0,'Scénario référence'!$F$9&gt;0),('Scénario référence'!$F$8+'Scénario référence'!$F$9)*10,0)</f>
        <v>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505.41926834832265</v>
      </c>
      <c r="H60" s="67">
        <f t="shared" si="1"/>
        <v>370.70188908775697</v>
      </c>
      <c r="I60" s="7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11.968999999999999</v>
      </c>
      <c r="N60" s="13">
        <f>IF('Données projet'!$A$36&gt;35,N59+M60-V59,IF(A60&lt;'Données projet'!$A$36,$K$205^A60,IF(A60='Données projet'!$A$36,'Données projet'!$B$36,N59+M60-V59)))</f>
        <v>353.3950000000001</v>
      </c>
      <c r="O60" s="13">
        <f>N60*VLOOKUP('Données projet'!$B$9,Paramètres!$A$1:$I$89,3,0)*VLOOKUP('Données projet'!$B$9,Paramètres!$A$1:$I$89,5,0)</f>
        <v>197.54780500000007</v>
      </c>
      <c r="P60" s="13">
        <f t="shared" si="33"/>
        <v>49.204863152815349</v>
      </c>
      <c r="Q60" s="20">
        <f t="shared" si="53"/>
        <v>429.76089703282014</v>
      </c>
      <c r="R60" s="59">
        <f t="shared" si="0"/>
        <v>723.0942303661534</v>
      </c>
      <c r="S60" s="59">
        <f ca="1">AVERAGE(OFFSET($R$3,0,0,'Données projet'!$E$9+1,1))-AVERAGE(OFFSET($H$3,0,0,'Données projet'!$E$9+1,1))</f>
        <v>280.69347314340195</v>
      </c>
      <c r="T60" s="59">
        <f t="shared" si="34"/>
        <v>152.40533828556482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25.285482092586875</v>
      </c>
      <c r="AA60" s="21">
        <f>EXP(-LN(2)/25)*AA59+(1-EXP(-LN(2)/25))/(LN(2)/25)*Calculateur!V60*Calculateur!X60*VLOOKUP('Données projet'!$B$9,Paramètres!$A$1:$I$89,3,0)*0.475*44/12</f>
        <v>19.225669034133677</v>
      </c>
      <c r="AB60" s="21">
        <f>EXP(-LN(2)/2)*AB59+(1-EXP(-LN(2)/2))/(LN(2)/2)*V60*Y60*VLOOKUP('Données projet'!$B$9,Paramètres!$A$1:$I$89,3,0)*0.475*44/12</f>
        <v>1.5147588087073118</v>
      </c>
      <c r="AC60" s="22">
        <f t="shared" si="3"/>
        <v>46.025909935427862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9.75</v>
      </c>
      <c r="AI60" s="13">
        <f>IF('Données projet'!$A$62&gt;35,AI59+AH60-AQ59,IF(A60&lt;'Données projet'!$A$62,$AF$205^A60,IF(A60='Données projet'!$A$62,'Données projet'!$B$62,AI59+AH60-AQ59)))</f>
        <v>274.75</v>
      </c>
      <c r="AJ60" s="13">
        <f>AI60*VLOOKUP('Données projet'!$B$10,Paramètres!$A$1:$I$89,3,0)*VLOOKUP('Données projet'!$B$10,Paramètres!$A$1:$I$89,5,0)</f>
        <v>171.44399999999999</v>
      </c>
      <c r="AK60" s="13">
        <f t="shared" si="35"/>
        <v>43.413272173627242</v>
      </c>
      <c r="AL60" s="20">
        <f t="shared" si="4"/>
        <v>374.20974903573409</v>
      </c>
      <c r="AM60" s="59">
        <f t="shared" si="5"/>
        <v>667.54308236906741</v>
      </c>
      <c r="AN60" s="59">
        <f ca="1">AVERAGE(OFFSET($AM$3,0,0,'Données projet'!$E$10+1,1))-AVERAGE(OFFSET($H$3,0,0,'Données projet'!$E$10+1,1))</f>
        <v>179.4725256147085</v>
      </c>
      <c r="AO60" s="59">
        <f t="shared" si="36"/>
        <v>282.16750121151176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57.087391998012222</v>
      </c>
      <c r="AV60" s="21">
        <f>EXP(-LN(2)/25)*AV59+(1-EXP(-LN(2)/25))/(LN(2)/25)*Calculateur!AQ60*Calculateur!AS60*VLOOKUP('Données projet'!$B$10,Paramètres!$A$1:$I$89,3,0)*0.475*44/12</f>
        <v>20.413821216693506</v>
      </c>
      <c r="AW60" s="21">
        <f>EXP(-LN(2)/2)*AW59+(1-EXP(-LN(2)/2))/(LN(2)/2)*AQ60*AT60*VLOOKUP('Données projet'!$B$10,Paramètres!$A$1:$I$89,3,0)*0.475*44/12</f>
        <v>0.46502253063412918</v>
      </c>
      <c r="AX60" s="21">
        <f t="shared" si="6"/>
        <v>77.966235745339858</v>
      </c>
      <c r="AY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>
        <f>VLOOKUP(A60,'Données projet'!$A$87:$I$107,2,0)</f>
        <v>303.32</v>
      </c>
      <c r="BB60" s="12">
        <f>VLOOKUP(A60,'Données projet'!$A$87:$I$107,9,0)</f>
        <v>5.3214035087719296</v>
      </c>
      <c r="BC60" s="12">
        <f t="array" ref="BC60">INDEX(BB:BB,MIN(IF(ISNUMBER(BB60:BB256),ROW(BB60:BB256),"")))</f>
        <v>5.3214035087719296</v>
      </c>
      <c r="BD60" s="12">
        <f>IF('Données projet'!$A$88&gt;35,BD59+BC60-BL59,IF(A60&lt;'Données projet'!$A$88,$BA$205^A60,IF(A60='Données projet'!$A$88,'Données projet'!$B$88,BD59+BC60-BL59)))</f>
        <v>303.32000000000028</v>
      </c>
      <c r="BE60" s="13">
        <f>BD60*VLOOKUP('Données projet'!$B$11,Paramètres!$A$1:$I$89,3,0)*VLOOKUP('Données projet'!$B$11,Paramètres!$A$1:$I$89,5,0)</f>
        <v>260.24856000000028</v>
      </c>
      <c r="BF60" s="13">
        <f t="shared" si="37"/>
        <v>62.775357956745118</v>
      </c>
      <c r="BG60" s="20">
        <f t="shared" si="7"/>
        <v>562.59999044133144</v>
      </c>
      <c r="BH60" s="59">
        <f t="shared" si="8"/>
        <v>855.93332377466481</v>
      </c>
      <c r="BI60" s="59">
        <f ca="1">AVERAGE(OFFSET($BH$3,0,0,'Données projet'!$E$11+1,1))-AVERAGE(OFFSET($H$3,0,0,'Données projet'!$E$11+1,1))</f>
        <v>312.89478437044261</v>
      </c>
      <c r="BJ60" s="59">
        <f t="shared" si="38"/>
        <v>276.16555507854571</v>
      </c>
      <c r="BK60" s="15">
        <f>IF(ISNA(VLOOKUP(A60,'Données projet'!$A$87:$I$107,3,0)),0,VLOOKUP(A60,'Données projet'!$A$87:$I$107,3,0))</f>
        <v>1</v>
      </c>
      <c r="BL60" s="15">
        <f>IF(ISNA(VLOOKUP(A60,'Données projet'!$A$87:$I$107,4,0)),0,VLOOKUP(A60,'Données projet'!$A$87:$I$107,4,0))</f>
        <v>147.84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0.26500000000000001</v>
      </c>
      <c r="BO60" s="16">
        <f>IF(ISNA(VLOOKUP(A60,'Données projet'!$A$87:$I$107,7,0)),0%,VLOOKUP(A60,'Données projet'!$A$87:$I$107,7,0))</f>
        <v>0.5</v>
      </c>
      <c r="BP60" s="21">
        <f>EXP(-LN(2)/35)*BP59+(1-EXP(-LN(2)/35))/(LN(2)/35)*BL60*BM60*VLOOKUP('Données projet'!$B$11,Paramètres!$A$1:$I$89,3,0)*0.475*44/12</f>
        <v>0</v>
      </c>
      <c r="BQ60" s="21">
        <f>EXP(-LN(2)/25)*BQ59+(1-EXP(-LN(2)/25))/(LN(2)/25)*Calculateur!BL60*Calculateur!BN60*VLOOKUP('Données projet'!$B$11,Paramètres!$A$1:$I$89,3,0)*0.475*44/12</f>
        <v>37.013390393826484</v>
      </c>
      <c r="BR60" s="21">
        <f>EXP(-LN(2)/2)*BR59+(1-EXP(-LN(2)/2))/(LN(2)/2)*BL60*BO60*VLOOKUP('Données projet'!$B$11,Paramètres!$A$1:$I$89,3,0)*0.475*44/12</f>
        <v>59.8416471747068</v>
      </c>
      <c r="BS60" s="22">
        <f t="shared" si="9"/>
        <v>96.855037568533277</v>
      </c>
      <c r="BT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0</v>
      </c>
      <c r="BY60" s="12">
        <f>IF('Données projet'!$A$114&gt;35,BY59+BX60-CG59,IF(A60&lt;'Données projet'!$A$114,$BV$205^A60,IF(A60='Données projet'!$A$114,'Données projet'!$B$114,BY59+BX60-CG59)))</f>
        <v>0</v>
      </c>
      <c r="BZ60" s="13" t="e">
        <f>BY60*VLOOKUP('Données projet'!$B$12,Paramètres!$A$1:$I$89,3,0)*VLOOKUP('Données projet'!$B$12,Paramètres!$A$1:$I$89,5,0)</f>
        <v>#N/A</v>
      </c>
      <c r="CA60" s="13" t="e">
        <f t="shared" si="39"/>
        <v>#N/A</v>
      </c>
      <c r="CB60" s="20" t="e">
        <f t="shared" si="10"/>
        <v>#N/A</v>
      </c>
      <c r="CC60" s="59" t="e">
        <f t="shared" si="11"/>
        <v>#N/A</v>
      </c>
      <c r="CD60" s="59" t="e">
        <f ca="1">AVERAGE(OFFSET($CC$3,0,0,'Données projet'!$E$12+1,1))-AVERAGE(OFFSET($H$3,0,0,'Données projet'!$E$12+1,1))</f>
        <v>#N/A</v>
      </c>
      <c r="CE60" s="59" t="e">
        <f t="shared" si="40"/>
        <v>#N/A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 t="e">
        <f>EXP(-LN(2)/35)*CK59+(1-EXP(-LN(2)/35))/(LN(2)/35)*CG60*CH60*VLOOKUP('Données projet'!$B$12,Paramètres!$A$1:$I$89,3,0)*0.475*44/12</f>
        <v>#N/A</v>
      </c>
      <c r="CL60" s="21" t="e">
        <f>EXP(-LN(2)/25)*CL59+(1-EXP(-LN(2)/25))/(LN(2)/25)*Calculateur!CG60*Calculateur!CI60*VLOOKUP('Données projet'!$B$12,Paramètres!$A$1:$I$89,3,0)*0.475*44/12</f>
        <v>#N/A</v>
      </c>
      <c r="CM60" s="21" t="e">
        <f>EXP(-LN(2)/2)*CM59+(1-EXP(-LN(2)/2))/(LN(2)/2)*CG60*CJ60*VLOOKUP('Données projet'!$B$12,Paramètres!$A$1:$I$89,3,0)*0.475*44/12</f>
        <v>#N/A</v>
      </c>
      <c r="CN60" s="22" t="e">
        <f t="shared" si="12"/>
        <v>#N/A</v>
      </c>
      <c r="CO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0</v>
      </c>
      <c r="CT60" s="12">
        <f>IF('Données projet'!$A$140&gt;35,CT59+CS60-DB59,IF(A60&lt;'Données projet'!$A$140,$CQ$205^A60,IF(A60='Données projet'!$A$140,'Données projet'!$B$140,CT59+CS60-DB59)))</f>
        <v>0</v>
      </c>
      <c r="CU60" s="17" t="e">
        <f>CT60*VLOOKUP('Données projet'!$B$13,Paramètres!$A$1:$I$89,3,0)*VLOOKUP('Données projet'!$B$13,Paramètres!$A$1:$I$89,5,0)</f>
        <v>#N/A</v>
      </c>
      <c r="CV60" s="13" t="e">
        <f t="shared" si="41"/>
        <v>#N/A</v>
      </c>
      <c r="CW60" s="20" t="e">
        <f t="shared" si="13"/>
        <v>#N/A</v>
      </c>
      <c r="CX60" s="59" t="e">
        <f t="shared" si="14"/>
        <v>#N/A</v>
      </c>
      <c r="CY60" s="59" t="e">
        <f ca="1">AVERAGE(OFFSET($CX$3,0,0,'Données projet'!$E$13+1,1))-AVERAGE(OFFSET($H$3,0,0,'Données projet'!$E$13+1,1))</f>
        <v>#N/A</v>
      </c>
      <c r="CZ60" s="59" t="e">
        <f t="shared" si="42"/>
        <v>#N/A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 t="e">
        <f>EXP(-LN(2)/35)*DF59+(1-EXP(-LN(2)/35))/(LN(2)/35)*DB60*DC60*VLOOKUP('Données projet'!$B$13,Paramètres!$A$1:$I$89,3,0)*0.475*44/12</f>
        <v>#N/A</v>
      </c>
      <c r="DG60" s="21" t="e">
        <f>EXP(-LN(2)/25)*DG59+(1-EXP(-LN(2)/25))/(LN(2)/25)*Calculateur!DB60*Calculateur!DD60*VLOOKUP('Données projet'!$B$13,Paramètres!$A$1:$I$89,3,0)*0.475*44/12</f>
        <v>#N/A</v>
      </c>
      <c r="DH60" s="21" t="e">
        <f>EXP(-LN(2)/2)*DH59+(1-EXP(-LN(2)/2))/(LN(2)/2)*DB60*DE60*VLOOKUP('Données projet'!$B$13,Paramètres!$A$1:$I$89,3,0)*0.475*44/12</f>
        <v>#N/A</v>
      </c>
      <c r="DI60" s="22" t="e">
        <f t="shared" si="15"/>
        <v>#N/A</v>
      </c>
      <c r="DJ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0</v>
      </c>
      <c r="DO60" s="12">
        <f>IF('Données projet'!$A$166&gt;35,DO59+DN60-DW59,IF(A60&lt;'Données projet'!$A$166,$DL$205^A60,IF(A60='Données projet'!$A$166,'Données projet'!$B$166,DO59+DN60-DW59)))</f>
        <v>0</v>
      </c>
      <c r="DP60" s="17" t="e">
        <f>DO60*VLOOKUP('Données projet'!$B$14,Paramètres!$A$1:$I$89,3,0)*VLOOKUP('Données projet'!$B$14,Paramètres!$A$1:$I$89,5,0)</f>
        <v>#N/A</v>
      </c>
      <c r="DQ60" s="13" t="e">
        <f t="shared" si="43"/>
        <v>#N/A</v>
      </c>
      <c r="DR60" s="20" t="e">
        <f t="shared" si="16"/>
        <v>#N/A</v>
      </c>
      <c r="DS60" s="59" t="e">
        <f t="shared" si="17"/>
        <v>#N/A</v>
      </c>
      <c r="DT60" s="59" t="e">
        <f ca="1">AVERAGE(OFFSET($DS$3,0,0,'Données projet'!$E$14+1,1))-AVERAGE(OFFSET($H$3,0,0,'Données projet'!$E$14+1,1))</f>
        <v>#N/A</v>
      </c>
      <c r="DU60" s="59" t="e">
        <f t="shared" si="44"/>
        <v>#N/A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 t="e">
        <f>EXP(-LN(2)/35)*EA59+(1-EXP(-LN(2)/35))/(LN(2)/35)*DW60*DX60*VLOOKUP('Données projet'!$B$14,Paramètres!$A$1:$I$89,3,0)*0.475*44/12</f>
        <v>#N/A</v>
      </c>
      <c r="EB60" s="21" t="e">
        <f>EXP(-LN(2)/25)*EB59+(1-EXP(-LN(2)/25))/(LN(2)/25)*Calculateur!DW60*Calculateur!DY60*VLOOKUP('Données projet'!$B$14,Paramètres!$A$1:$I$89,3,0)*0.475*44/12</f>
        <v>#N/A</v>
      </c>
      <c r="EC60" s="21" t="e">
        <f>EXP(-LN(2)/2)*EC59+(1-EXP(-LN(2)/2))/(LN(2)/2)*DW60*DZ60*VLOOKUP('Données projet'!$B$14,Paramètres!$A$1:$I$89,3,0)*0.475*44/12</f>
        <v>#N/A</v>
      </c>
      <c r="ED60" s="22" t="e">
        <f t="shared" si="18"/>
        <v>#N/A</v>
      </c>
      <c r="EE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0</v>
      </c>
      <c r="EJ60" s="12">
        <f>IF('Données projet'!$A$192&gt;35,EJ59+EI60-ER59,IF(A60&lt;'Données projet'!$A$192,$EG$205^A60,IF(A60='Données projet'!$A$192,'Données projet'!$B$192,EJ59+EI60-ER59)))</f>
        <v>0</v>
      </c>
      <c r="EK60" s="17" t="e">
        <f>EJ60*VLOOKUP('Données projet'!$B$15,Paramètres!$A$1:$I$89,3,0)*VLOOKUP('Données projet'!$B$15,Paramètres!$A$1:$I$89,5,0)</f>
        <v>#N/A</v>
      </c>
      <c r="EL60" s="13" t="e">
        <f t="shared" si="45"/>
        <v>#N/A</v>
      </c>
      <c r="EM60" s="20" t="e">
        <f t="shared" si="19"/>
        <v>#N/A</v>
      </c>
      <c r="EN60" s="59" t="e">
        <f t="shared" si="20"/>
        <v>#N/A</v>
      </c>
      <c r="EO60" s="59" t="e">
        <f ca="1">AVERAGE(OFFSET($EN$3,0,0,'Données projet'!$E$15+1,1))-AVERAGE(OFFSET($H$3,0,0,'Données projet'!$E$15+1,1))</f>
        <v>#N/A</v>
      </c>
      <c r="EP60" s="59" t="e">
        <f t="shared" si="46"/>
        <v>#N/A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 t="e">
        <f>EXP(-LN(2)/35)*EV59+(1-EXP(-LN(2)/35))/(LN(2)/35)*ER60*ES60*VLOOKUP('Données projet'!$B$15,Paramètres!$A$1:$I$89,3,0)*0.475*44/12</f>
        <v>#N/A</v>
      </c>
      <c r="EW60" s="21" t="e">
        <f>EXP(-LN(2)/25)*EW59+(1-EXP(-LN(2)/25))/(LN(2)/25)*Calculateur!ER60*Calculateur!ET60*VLOOKUP('Données projet'!$B$15,Paramètres!$A$1:$I$89,3,0)*0.475*44/12</f>
        <v>#N/A</v>
      </c>
      <c r="EX60" s="21" t="e">
        <f>EXP(-LN(2)/2)*EX59+(1-EXP(-LN(2)/2))/(LN(2)/2)*ER60*EU60*VLOOKUP('Données projet'!$B$15,Paramètres!$A$1:$I$89,3,0)*0.475*44/12</f>
        <v>#N/A</v>
      </c>
      <c r="EY60" s="22" t="e">
        <f t="shared" si="21"/>
        <v>#N/A</v>
      </c>
      <c r="EZ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45">
      <c r="A61" s="10">
        <f t="shared" si="31"/>
        <v>58</v>
      </c>
      <c r="B61" s="73">
        <f>'Scénario référence'!$B$16*5+'Scénario référence'!$B$17*0+'Scénario référence'!$B$18*5</f>
        <v>0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51.573600000000042</v>
      </c>
      <c r="D61" s="11">
        <f t="shared" si="32"/>
        <v>15.01941293027533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">
        <f>IF(OR('Scénario référence'!$F$8&gt;0,'Scénario référence'!$F$9&gt;0),('Scénario référence'!$F$8+'Scénario référence'!$F$9)*10,0)</f>
        <v>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514.05132788282742</v>
      </c>
      <c r="H61" s="67">
        <f t="shared" si="1"/>
        <v>372.6494975202296</v>
      </c>
      <c r="I61" s="7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11.968999999999999</v>
      </c>
      <c r="N61" s="13">
        <f>IF('Données projet'!$A$36&gt;35,N60+M61-V60,IF(A61&lt;'Données projet'!$A$36,$K$205^A61,IF(A61='Données projet'!$A$36,'Données projet'!$B$36,N60+M61-V60)))</f>
        <v>365.36400000000009</v>
      </c>
      <c r="O61" s="13">
        <f>N61*VLOOKUP('Données projet'!$B$9,Paramètres!$A$1:$I$89,3,0)*VLOOKUP('Données projet'!$B$9,Paramètres!$A$1:$I$89,5,0)</f>
        <v>204.23847600000008</v>
      </c>
      <c r="P61" s="13">
        <f t="shared" si="33"/>
        <v>50.674516529672211</v>
      </c>
      <c r="Q61" s="20">
        <f t="shared" si="53"/>
        <v>443.97346198917921</v>
      </c>
      <c r="R61" s="59">
        <f t="shared" si="0"/>
        <v>737.30679532251247</v>
      </c>
      <c r="S61" s="59">
        <f ca="1">AVERAGE(OFFSET($R$3,0,0,'Données projet'!$E$9+1,1))-AVERAGE(OFFSET($H$3,0,0,'Données projet'!$E$9+1,1))</f>
        <v>280.69347314340195</v>
      </c>
      <c r="T61" s="59">
        <f t="shared" si="34"/>
        <v>152.40533828556482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24.789649211372467</v>
      </c>
      <c r="AA61" s="21">
        <f>EXP(-LN(2)/25)*AA60+(1-EXP(-LN(2)/25))/(LN(2)/25)*Calculateur!V61*Calculateur!X61*VLOOKUP('Données projet'!$B$9,Paramètres!$A$1:$I$89,3,0)*0.475*44/12</f>
        <v>18.699942103361298</v>
      </c>
      <c r="AB61" s="21">
        <f>EXP(-LN(2)/2)*AB60+(1-EXP(-LN(2)/2))/(LN(2)/2)*V61*Y61*VLOOKUP('Données projet'!$B$9,Paramètres!$A$1:$I$89,3,0)*0.475*44/12</f>
        <v>1.0710962254989966</v>
      </c>
      <c r="AC61" s="22">
        <f t="shared" si="3"/>
        <v>44.560687540232763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9.75</v>
      </c>
      <c r="AI61" s="13">
        <f>IF('Données projet'!$A$62&gt;35,AI60+AH61-AQ60,IF(A61&lt;'Données projet'!$A$62,$AF$205^A61,IF(A61='Données projet'!$A$62,'Données projet'!$B$62,AI60+AH61-AQ60)))</f>
        <v>284.5</v>
      </c>
      <c r="AJ61" s="13">
        <f>AI61*VLOOKUP('Données projet'!$B$10,Paramètres!$A$1:$I$89,3,0)*VLOOKUP('Données projet'!$B$10,Paramètres!$A$1:$I$89,5,0)</f>
        <v>177.52800000000002</v>
      </c>
      <c r="AK61" s="13">
        <f t="shared" si="35"/>
        <v>44.771769863863661</v>
      </c>
      <c r="AL61" s="20">
        <f t="shared" si="4"/>
        <v>387.17209917956257</v>
      </c>
      <c r="AM61" s="59">
        <f t="shared" si="5"/>
        <v>680.50543251289582</v>
      </c>
      <c r="AN61" s="59">
        <f ca="1">AVERAGE(OFFSET($AM$3,0,0,'Données projet'!$E$10+1,1))-AVERAGE(OFFSET($H$3,0,0,'Données projet'!$E$10+1,1))</f>
        <v>179.4725256147085</v>
      </c>
      <c r="AO61" s="59">
        <f t="shared" si="36"/>
        <v>282.16750121151176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55.967943060802142</v>
      </c>
      <c r="AV61" s="21">
        <f>EXP(-LN(2)/25)*AV60+(1-EXP(-LN(2)/25))/(LN(2)/25)*Calculateur!AQ61*Calculateur!AS61*VLOOKUP('Données projet'!$B$10,Paramètres!$A$1:$I$89,3,0)*0.475*44/12</f>
        <v>19.85560420200682</v>
      </c>
      <c r="AW61" s="21">
        <f>EXP(-LN(2)/2)*AW60+(1-EXP(-LN(2)/2))/(LN(2)/2)*AQ61*AT61*VLOOKUP('Données projet'!$B$10,Paramètres!$A$1:$I$89,3,0)*0.475*44/12</f>
        <v>0.3288205848159218</v>
      </c>
      <c r="AX61" s="21">
        <f t="shared" si="6"/>
        <v>76.152367847624873</v>
      </c>
      <c r="AY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11.016666666666667</v>
      </c>
      <c r="BD61" s="12">
        <f>IF('Données projet'!$A$88&gt;35,BD60+BC61-BL60,IF(A61&lt;'Données projet'!$A$88,$BA$205^A61,IF(A61='Données projet'!$A$88,'Données projet'!$B$88,BD60+BC61-BL60)))</f>
        <v>166.49666666666693</v>
      </c>
      <c r="BE61" s="13">
        <f>BD61*VLOOKUP('Données projet'!$B$11,Paramètres!$A$1:$I$89,3,0)*VLOOKUP('Données projet'!$B$11,Paramètres!$A$1:$I$89,5,0)</f>
        <v>142.85414000000026</v>
      </c>
      <c r="BF61" s="13">
        <f t="shared" si="37"/>
        <v>36.950078923138378</v>
      </c>
      <c r="BG61" s="20">
        <f t="shared" si="7"/>
        <v>313.15901462446647</v>
      </c>
      <c r="BH61" s="59">
        <f t="shared" si="8"/>
        <v>606.49234795779978</v>
      </c>
      <c r="BI61" s="59">
        <f ca="1">AVERAGE(OFFSET($BH$3,0,0,'Données projet'!$E$11+1,1))-AVERAGE(OFFSET($H$3,0,0,'Données projet'!$E$11+1,1))</f>
        <v>312.89478437044261</v>
      </c>
      <c r="BJ61" s="59">
        <f t="shared" si="38"/>
        <v>276.16555507854571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>
        <f>EXP(-LN(2)/35)*BP60+(1-EXP(-LN(2)/35))/(LN(2)/35)*BL61*BM61*VLOOKUP('Données projet'!$B$11,Paramètres!$A$1:$I$89,3,0)*0.475*44/12</f>
        <v>0</v>
      </c>
      <c r="BQ61" s="21">
        <f>EXP(-LN(2)/25)*BQ60+(1-EXP(-LN(2)/25))/(LN(2)/25)*Calculateur!BL61*Calculateur!BN61*VLOOKUP('Données projet'!$B$11,Paramètres!$A$1:$I$89,3,0)*0.475*44/12</f>
        <v>36.00125728705769</v>
      </c>
      <c r="BR61" s="21">
        <f>EXP(-LN(2)/2)*BR60+(1-EXP(-LN(2)/2))/(LN(2)/2)*BL61*BO61*VLOOKUP('Données projet'!$B$11,Paramètres!$A$1:$I$89,3,0)*0.475*44/12</f>
        <v>42.314434514607981</v>
      </c>
      <c r="BS61" s="22">
        <f t="shared" si="9"/>
        <v>78.315691801665679</v>
      </c>
      <c r="BT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0</v>
      </c>
      <c r="BY61" s="12">
        <f>IF('Données projet'!$A$114&gt;35,BY60+BX61-CG60,IF(A61&lt;'Données projet'!$A$114,$BV$205^A61,IF(A61='Données projet'!$A$114,'Données projet'!$B$114,BY60+BX61-CG60)))</f>
        <v>0</v>
      </c>
      <c r="BZ61" s="13" t="e">
        <f>BY61*VLOOKUP('Données projet'!$B$12,Paramètres!$A$1:$I$89,3,0)*VLOOKUP('Données projet'!$B$12,Paramètres!$A$1:$I$89,5,0)</f>
        <v>#N/A</v>
      </c>
      <c r="CA61" s="13" t="e">
        <f t="shared" si="39"/>
        <v>#N/A</v>
      </c>
      <c r="CB61" s="20" t="e">
        <f t="shared" si="10"/>
        <v>#N/A</v>
      </c>
      <c r="CC61" s="59" t="e">
        <f t="shared" si="11"/>
        <v>#N/A</v>
      </c>
      <c r="CD61" s="59" t="e">
        <f ca="1">AVERAGE(OFFSET($CC$3,0,0,'Données projet'!$E$12+1,1))-AVERAGE(OFFSET($H$3,0,0,'Données projet'!$E$12+1,1))</f>
        <v>#N/A</v>
      </c>
      <c r="CE61" s="59" t="e">
        <f t="shared" si="40"/>
        <v>#N/A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 t="e">
        <f>EXP(-LN(2)/35)*CK60+(1-EXP(-LN(2)/35))/(LN(2)/35)*CG61*CH61*VLOOKUP('Données projet'!$B$12,Paramètres!$A$1:$I$89,3,0)*0.475*44/12</f>
        <v>#N/A</v>
      </c>
      <c r="CL61" s="21" t="e">
        <f>EXP(-LN(2)/25)*CL60+(1-EXP(-LN(2)/25))/(LN(2)/25)*Calculateur!CG61*Calculateur!CI61*VLOOKUP('Données projet'!$B$12,Paramètres!$A$1:$I$89,3,0)*0.475*44/12</f>
        <v>#N/A</v>
      </c>
      <c r="CM61" s="21" t="e">
        <f>EXP(-LN(2)/2)*CM60+(1-EXP(-LN(2)/2))/(LN(2)/2)*CG61*CJ61*VLOOKUP('Données projet'!$B$12,Paramètres!$A$1:$I$89,3,0)*0.475*44/12</f>
        <v>#N/A</v>
      </c>
      <c r="CN61" s="22" t="e">
        <f t="shared" si="12"/>
        <v>#N/A</v>
      </c>
      <c r="CO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0</v>
      </c>
      <c r="CT61" s="12">
        <f>IF('Données projet'!$A$140&gt;35,CT60+CS61-DB60,IF(A61&lt;'Données projet'!$A$140,$CQ$205^A61,IF(A61='Données projet'!$A$140,'Données projet'!$B$140,CT60+CS61-DB60)))</f>
        <v>0</v>
      </c>
      <c r="CU61" s="17" t="e">
        <f>CT61*VLOOKUP('Données projet'!$B$13,Paramètres!$A$1:$I$89,3,0)*VLOOKUP('Données projet'!$B$13,Paramètres!$A$1:$I$89,5,0)</f>
        <v>#N/A</v>
      </c>
      <c r="CV61" s="13" t="e">
        <f t="shared" si="41"/>
        <v>#N/A</v>
      </c>
      <c r="CW61" s="20" t="e">
        <f t="shared" si="13"/>
        <v>#N/A</v>
      </c>
      <c r="CX61" s="59" t="e">
        <f t="shared" si="14"/>
        <v>#N/A</v>
      </c>
      <c r="CY61" s="59" t="e">
        <f ca="1">AVERAGE(OFFSET($CX$3,0,0,'Données projet'!$E$13+1,1))-AVERAGE(OFFSET($H$3,0,0,'Données projet'!$E$13+1,1))</f>
        <v>#N/A</v>
      </c>
      <c r="CZ61" s="59" t="e">
        <f t="shared" si="42"/>
        <v>#N/A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 t="e">
        <f>EXP(-LN(2)/35)*DF60+(1-EXP(-LN(2)/35))/(LN(2)/35)*DB61*DC61*VLOOKUP('Données projet'!$B$13,Paramètres!$A$1:$I$89,3,0)*0.475*44/12</f>
        <v>#N/A</v>
      </c>
      <c r="DG61" s="21" t="e">
        <f>EXP(-LN(2)/25)*DG60+(1-EXP(-LN(2)/25))/(LN(2)/25)*Calculateur!DB61*Calculateur!DD61*VLOOKUP('Données projet'!$B$13,Paramètres!$A$1:$I$89,3,0)*0.475*44/12</f>
        <v>#N/A</v>
      </c>
      <c r="DH61" s="21" t="e">
        <f>EXP(-LN(2)/2)*DH60+(1-EXP(-LN(2)/2))/(LN(2)/2)*DB61*DE61*VLOOKUP('Données projet'!$B$13,Paramètres!$A$1:$I$89,3,0)*0.475*44/12</f>
        <v>#N/A</v>
      </c>
      <c r="DI61" s="22" t="e">
        <f t="shared" si="15"/>
        <v>#N/A</v>
      </c>
      <c r="DJ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0</v>
      </c>
      <c r="DO61" s="12">
        <f>IF('Données projet'!$A$166&gt;35,DO60+DN61-DW60,IF(A61&lt;'Données projet'!$A$166,$DL$205^A61,IF(A61='Données projet'!$A$166,'Données projet'!$B$166,DO60+DN61-DW60)))</f>
        <v>0</v>
      </c>
      <c r="DP61" s="17" t="e">
        <f>DO61*VLOOKUP('Données projet'!$B$14,Paramètres!$A$1:$I$89,3,0)*VLOOKUP('Données projet'!$B$14,Paramètres!$A$1:$I$89,5,0)</f>
        <v>#N/A</v>
      </c>
      <c r="DQ61" s="13" t="e">
        <f t="shared" si="43"/>
        <v>#N/A</v>
      </c>
      <c r="DR61" s="20" t="e">
        <f t="shared" si="16"/>
        <v>#N/A</v>
      </c>
      <c r="DS61" s="59" t="e">
        <f t="shared" si="17"/>
        <v>#N/A</v>
      </c>
      <c r="DT61" s="59" t="e">
        <f ca="1">AVERAGE(OFFSET($DS$3,0,0,'Données projet'!$E$14+1,1))-AVERAGE(OFFSET($H$3,0,0,'Données projet'!$E$14+1,1))</f>
        <v>#N/A</v>
      </c>
      <c r="DU61" s="59" t="e">
        <f t="shared" si="44"/>
        <v>#N/A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 t="e">
        <f>EXP(-LN(2)/35)*EA60+(1-EXP(-LN(2)/35))/(LN(2)/35)*DW61*DX61*VLOOKUP('Données projet'!$B$14,Paramètres!$A$1:$I$89,3,0)*0.475*44/12</f>
        <v>#N/A</v>
      </c>
      <c r="EB61" s="21" t="e">
        <f>EXP(-LN(2)/25)*EB60+(1-EXP(-LN(2)/25))/(LN(2)/25)*Calculateur!DW61*Calculateur!DY61*VLOOKUP('Données projet'!$B$14,Paramètres!$A$1:$I$89,3,0)*0.475*44/12</f>
        <v>#N/A</v>
      </c>
      <c r="EC61" s="21" t="e">
        <f>EXP(-LN(2)/2)*EC60+(1-EXP(-LN(2)/2))/(LN(2)/2)*DW61*DZ61*VLOOKUP('Données projet'!$B$14,Paramètres!$A$1:$I$89,3,0)*0.475*44/12</f>
        <v>#N/A</v>
      </c>
      <c r="ED61" s="22" t="e">
        <f t="shared" si="18"/>
        <v>#N/A</v>
      </c>
      <c r="EE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0</v>
      </c>
      <c r="EJ61" s="12">
        <f>IF('Données projet'!$A$192&gt;35,EJ60+EI61-ER60,IF(A61&lt;'Données projet'!$A$192,$EG$205^A61,IF(A61='Données projet'!$A$192,'Données projet'!$B$192,EJ60+EI61-ER60)))</f>
        <v>0</v>
      </c>
      <c r="EK61" s="17" t="e">
        <f>EJ61*VLOOKUP('Données projet'!$B$15,Paramètres!$A$1:$I$89,3,0)*VLOOKUP('Données projet'!$B$15,Paramètres!$A$1:$I$89,5,0)</f>
        <v>#N/A</v>
      </c>
      <c r="EL61" s="13" t="e">
        <f t="shared" si="45"/>
        <v>#N/A</v>
      </c>
      <c r="EM61" s="20" t="e">
        <f t="shared" si="19"/>
        <v>#N/A</v>
      </c>
      <c r="EN61" s="59" t="e">
        <f t="shared" si="20"/>
        <v>#N/A</v>
      </c>
      <c r="EO61" s="59" t="e">
        <f ca="1">AVERAGE(OFFSET($EN$3,0,0,'Données projet'!$E$15+1,1))-AVERAGE(OFFSET($H$3,0,0,'Données projet'!$E$15+1,1))</f>
        <v>#N/A</v>
      </c>
      <c r="EP61" s="59" t="e">
        <f t="shared" si="46"/>
        <v>#N/A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 t="e">
        <f>EXP(-LN(2)/35)*EV60+(1-EXP(-LN(2)/35))/(LN(2)/35)*ER61*ES61*VLOOKUP('Données projet'!$B$15,Paramètres!$A$1:$I$89,3,0)*0.475*44/12</f>
        <v>#N/A</v>
      </c>
      <c r="EW61" s="21" t="e">
        <f>EXP(-LN(2)/25)*EW60+(1-EXP(-LN(2)/25))/(LN(2)/25)*Calculateur!ER61*Calculateur!ET61*VLOOKUP('Données projet'!$B$15,Paramètres!$A$1:$I$89,3,0)*0.475*44/12</f>
        <v>#N/A</v>
      </c>
      <c r="EX61" s="21" t="e">
        <f>EXP(-LN(2)/2)*EX60+(1-EXP(-LN(2)/2))/(LN(2)/2)*ER61*EU61*VLOOKUP('Données projet'!$B$15,Paramètres!$A$1:$I$89,3,0)*0.475*44/12</f>
        <v>#N/A</v>
      </c>
      <c r="EY61" s="22" t="e">
        <f t="shared" si="21"/>
        <v>#N/A</v>
      </c>
      <c r="EZ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45">
      <c r="A62" s="10">
        <f t="shared" si="31"/>
        <v>59</v>
      </c>
      <c r="B62" s="73">
        <f>'Scénario référence'!$B$16*5+'Scénario référence'!$B$17*0+'Scénario référence'!$B$18*5</f>
        <v>0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52.462800000000044</v>
      </c>
      <c r="D62" s="11">
        <f t="shared" si="32"/>
        <v>15.247997775460181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">
        <f>IF(OR('Scénario référence'!$F$8&gt;0,'Scénario référence'!$F$9&gt;0),('Scénario référence'!$F$8+'Scénario référence'!$F$9)*10,0)</f>
        <v>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522.67984247723678</v>
      </c>
      <c r="H62" s="67">
        <f t="shared" si="1"/>
        <v>374.59630612559323</v>
      </c>
      <c r="I62" s="7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11.968999999999999</v>
      </c>
      <c r="N62" s="13">
        <f>IF('Données projet'!$A$36&gt;35,N61+M62-V61,IF(A62&lt;'Données projet'!$A$36,$K$205^A62,IF(A62='Données projet'!$A$36,'Données projet'!$B$36,N61+M62-V61)))</f>
        <v>377.33300000000008</v>
      </c>
      <c r="O62" s="13">
        <f>N62*VLOOKUP('Données projet'!$B$9,Paramètres!$A$1:$I$89,3,0)*VLOOKUP('Données projet'!$B$9,Paramètres!$A$1:$I$89,5,0)</f>
        <v>210.92914700000006</v>
      </c>
      <c r="P62" s="13">
        <f t="shared" si="33"/>
        <v>52.138575496060348</v>
      </c>
      <c r="Q62" s="20">
        <f t="shared" si="53"/>
        <v>458.17628334730517</v>
      </c>
      <c r="R62" s="59">
        <f t="shared" si="0"/>
        <v>751.50961668063849</v>
      </c>
      <c r="S62" s="59">
        <f ca="1">AVERAGE(OFFSET($R$3,0,0,'Données projet'!$E$9+1,1))-AVERAGE(OFFSET($H$3,0,0,'Données projet'!$E$9+1,1))</f>
        <v>280.69347314340195</v>
      </c>
      <c r="T62" s="59">
        <f t="shared" si="34"/>
        <v>152.40533828556482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24.303539310530478</v>
      </c>
      <c r="AA62" s="21">
        <f>EXP(-LN(2)/25)*AA61+(1-EXP(-LN(2)/25))/(LN(2)/25)*Calculateur!V62*Calculateur!X62*VLOOKUP('Données projet'!$B$9,Paramètres!$A$1:$I$89,3,0)*0.475*44/12</f>
        <v>18.188591203157667</v>
      </c>
      <c r="AB62" s="21">
        <f>EXP(-LN(2)/2)*AB61+(1-EXP(-LN(2)/2))/(LN(2)/2)*V62*Y62*VLOOKUP('Données projet'!$B$9,Paramètres!$A$1:$I$89,3,0)*0.475*44/12</f>
        <v>0.75737940435365603</v>
      </c>
      <c r="AC62" s="22">
        <f t="shared" si="3"/>
        <v>43.249509918041802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9.75</v>
      </c>
      <c r="AI62" s="13">
        <f>IF('Données projet'!$A$62&gt;35,AI61+AH62-AQ61,IF(A62&lt;'Données projet'!$A$62,$AF$205^A62,IF(A62='Données projet'!$A$62,'Données projet'!$B$62,AI61+AH62-AQ61)))</f>
        <v>294.25</v>
      </c>
      <c r="AJ62" s="13">
        <f>AI62*VLOOKUP('Données projet'!$B$10,Paramètres!$A$1:$I$89,3,0)*VLOOKUP('Données projet'!$B$10,Paramètres!$A$1:$I$89,5,0)</f>
        <v>183.61199999999999</v>
      </c>
      <c r="AK62" s="13">
        <f t="shared" si="35"/>
        <v>46.124858041839339</v>
      </c>
      <c r="AL62" s="20">
        <f t="shared" si="4"/>
        <v>400.12502775620351</v>
      </c>
      <c r="AM62" s="59">
        <f t="shared" si="5"/>
        <v>693.45836108953677</v>
      </c>
      <c r="AN62" s="59">
        <f ca="1">AVERAGE(OFFSET($AM$3,0,0,'Données projet'!$E$10+1,1))-AVERAGE(OFFSET($H$3,0,0,'Données projet'!$E$10+1,1))</f>
        <v>179.4725256147085</v>
      </c>
      <c r="AO62" s="59">
        <f t="shared" si="36"/>
        <v>282.16750121151176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54.870445834454323</v>
      </c>
      <c r="AV62" s="21">
        <f>EXP(-LN(2)/25)*AV61+(1-EXP(-LN(2)/25))/(LN(2)/25)*Calculateur!AQ62*Calculateur!AS62*VLOOKUP('Données projet'!$B$10,Paramètres!$A$1:$I$89,3,0)*0.475*44/12</f>
        <v>19.312651660942098</v>
      </c>
      <c r="AW62" s="21">
        <f>EXP(-LN(2)/2)*AW61+(1-EXP(-LN(2)/2))/(LN(2)/2)*AQ62*AT62*VLOOKUP('Données projet'!$B$10,Paramètres!$A$1:$I$89,3,0)*0.475*44/12</f>
        <v>0.23251126531706462</v>
      </c>
      <c r="AX62" s="21">
        <f t="shared" si="6"/>
        <v>74.415608760713482</v>
      </c>
      <c r="AY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11.016666666666667</v>
      </c>
      <c r="BD62" s="12">
        <f>IF('Données projet'!$A$88&gt;35,BD61+BC62-BL61,IF(A62&lt;'Données projet'!$A$88,$BA$205^A62,IF(A62='Données projet'!$A$88,'Données projet'!$B$88,BD61+BC62-BL61)))</f>
        <v>177.51333333333361</v>
      </c>
      <c r="BE62" s="13">
        <f>BD62*VLOOKUP('Données projet'!$B$11,Paramètres!$A$1:$I$89,3,0)*VLOOKUP('Données projet'!$B$11,Paramètres!$A$1:$I$89,5,0)</f>
        <v>152.30644000000026</v>
      </c>
      <c r="BF62" s="13">
        <f t="shared" si="37"/>
        <v>39.102265991262428</v>
      </c>
      <c r="BG62" s="20">
        <f t="shared" si="7"/>
        <v>333.37016293478251</v>
      </c>
      <c r="BH62" s="59">
        <f t="shared" si="8"/>
        <v>626.70349626811583</v>
      </c>
      <c r="BI62" s="59">
        <f ca="1">AVERAGE(OFFSET($BH$3,0,0,'Données projet'!$E$11+1,1))-AVERAGE(OFFSET($H$3,0,0,'Données projet'!$E$11+1,1))</f>
        <v>312.89478437044261</v>
      </c>
      <c r="BJ62" s="59">
        <f t="shared" si="38"/>
        <v>276.16555507854571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>
        <f>EXP(-LN(2)/35)*BP61+(1-EXP(-LN(2)/35))/(LN(2)/35)*BL62*BM62*VLOOKUP('Données projet'!$B$11,Paramètres!$A$1:$I$89,3,0)*0.475*44/12</f>
        <v>0</v>
      </c>
      <c r="BQ62" s="21">
        <f>EXP(-LN(2)/25)*BQ61+(1-EXP(-LN(2)/25))/(LN(2)/25)*Calculateur!BL62*Calculateur!BN62*VLOOKUP('Données projet'!$B$11,Paramètres!$A$1:$I$89,3,0)*0.475*44/12</f>
        <v>35.01680101331926</v>
      </c>
      <c r="BR62" s="21">
        <f>EXP(-LN(2)/2)*BR61+(1-EXP(-LN(2)/2))/(LN(2)/2)*BL62*BO62*VLOOKUP('Données projet'!$B$11,Paramètres!$A$1:$I$89,3,0)*0.475*44/12</f>
        <v>29.920823587353404</v>
      </c>
      <c r="BS62" s="22">
        <f t="shared" si="9"/>
        <v>64.937624600672663</v>
      </c>
      <c r="BT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0</v>
      </c>
      <c r="BY62" s="12">
        <f>IF('Données projet'!$A$114&gt;35,BY61+BX62-CG61,IF(A62&lt;'Données projet'!$A$114,$BV$205^A62,IF(A62='Données projet'!$A$114,'Données projet'!$B$114,BY61+BX62-CG61)))</f>
        <v>0</v>
      </c>
      <c r="BZ62" s="13" t="e">
        <f>BY62*VLOOKUP('Données projet'!$B$12,Paramètres!$A$1:$I$89,3,0)*VLOOKUP('Données projet'!$B$12,Paramètres!$A$1:$I$89,5,0)</f>
        <v>#N/A</v>
      </c>
      <c r="CA62" s="13" t="e">
        <f t="shared" si="39"/>
        <v>#N/A</v>
      </c>
      <c r="CB62" s="20" t="e">
        <f t="shared" si="10"/>
        <v>#N/A</v>
      </c>
      <c r="CC62" s="59" t="e">
        <f t="shared" si="11"/>
        <v>#N/A</v>
      </c>
      <c r="CD62" s="59" t="e">
        <f ca="1">AVERAGE(OFFSET($CC$3,0,0,'Données projet'!$E$12+1,1))-AVERAGE(OFFSET($H$3,0,0,'Données projet'!$E$12+1,1))</f>
        <v>#N/A</v>
      </c>
      <c r="CE62" s="59" t="e">
        <f t="shared" si="40"/>
        <v>#N/A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 t="e">
        <f>EXP(-LN(2)/35)*CK61+(1-EXP(-LN(2)/35))/(LN(2)/35)*CG62*CH62*VLOOKUP('Données projet'!$B$12,Paramètres!$A$1:$I$89,3,0)*0.475*44/12</f>
        <v>#N/A</v>
      </c>
      <c r="CL62" s="21" t="e">
        <f>EXP(-LN(2)/25)*CL61+(1-EXP(-LN(2)/25))/(LN(2)/25)*Calculateur!CG62*Calculateur!CI62*VLOOKUP('Données projet'!$B$12,Paramètres!$A$1:$I$89,3,0)*0.475*44/12</f>
        <v>#N/A</v>
      </c>
      <c r="CM62" s="21" t="e">
        <f>EXP(-LN(2)/2)*CM61+(1-EXP(-LN(2)/2))/(LN(2)/2)*CG62*CJ62*VLOOKUP('Données projet'!$B$12,Paramètres!$A$1:$I$89,3,0)*0.475*44/12</f>
        <v>#N/A</v>
      </c>
      <c r="CN62" s="22" t="e">
        <f t="shared" si="12"/>
        <v>#N/A</v>
      </c>
      <c r="CO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0</v>
      </c>
      <c r="CT62" s="12">
        <f>IF('Données projet'!$A$140&gt;35,CT61+CS62-DB61,IF(A62&lt;'Données projet'!$A$140,$CQ$205^A62,IF(A62='Données projet'!$A$140,'Données projet'!$B$140,CT61+CS62-DB61)))</f>
        <v>0</v>
      </c>
      <c r="CU62" s="17" t="e">
        <f>CT62*VLOOKUP('Données projet'!$B$13,Paramètres!$A$1:$I$89,3,0)*VLOOKUP('Données projet'!$B$13,Paramètres!$A$1:$I$89,5,0)</f>
        <v>#N/A</v>
      </c>
      <c r="CV62" s="13" t="e">
        <f t="shared" si="41"/>
        <v>#N/A</v>
      </c>
      <c r="CW62" s="20" t="e">
        <f t="shared" si="13"/>
        <v>#N/A</v>
      </c>
      <c r="CX62" s="59" t="e">
        <f t="shared" si="14"/>
        <v>#N/A</v>
      </c>
      <c r="CY62" s="59" t="e">
        <f ca="1">AVERAGE(OFFSET($CX$3,0,0,'Données projet'!$E$13+1,1))-AVERAGE(OFFSET($H$3,0,0,'Données projet'!$E$13+1,1))</f>
        <v>#N/A</v>
      </c>
      <c r="CZ62" s="59" t="e">
        <f t="shared" si="42"/>
        <v>#N/A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 t="e">
        <f>EXP(-LN(2)/35)*DF61+(1-EXP(-LN(2)/35))/(LN(2)/35)*DB62*DC62*VLOOKUP('Données projet'!$B$13,Paramètres!$A$1:$I$89,3,0)*0.475*44/12</f>
        <v>#N/A</v>
      </c>
      <c r="DG62" s="21" t="e">
        <f>EXP(-LN(2)/25)*DG61+(1-EXP(-LN(2)/25))/(LN(2)/25)*Calculateur!DB62*Calculateur!DD62*VLOOKUP('Données projet'!$B$13,Paramètres!$A$1:$I$89,3,0)*0.475*44/12</f>
        <v>#N/A</v>
      </c>
      <c r="DH62" s="21" t="e">
        <f>EXP(-LN(2)/2)*DH61+(1-EXP(-LN(2)/2))/(LN(2)/2)*DB62*DE62*VLOOKUP('Données projet'!$B$13,Paramètres!$A$1:$I$89,3,0)*0.475*44/12</f>
        <v>#N/A</v>
      </c>
      <c r="DI62" s="22" t="e">
        <f t="shared" si="15"/>
        <v>#N/A</v>
      </c>
      <c r="DJ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0</v>
      </c>
      <c r="DO62" s="12">
        <f>IF('Données projet'!$A$166&gt;35,DO61+DN62-DW61,IF(A62&lt;'Données projet'!$A$166,$DL$205^A62,IF(A62='Données projet'!$A$166,'Données projet'!$B$166,DO61+DN62-DW61)))</f>
        <v>0</v>
      </c>
      <c r="DP62" s="17" t="e">
        <f>DO62*VLOOKUP('Données projet'!$B$14,Paramètres!$A$1:$I$89,3,0)*VLOOKUP('Données projet'!$B$14,Paramètres!$A$1:$I$89,5,0)</f>
        <v>#N/A</v>
      </c>
      <c r="DQ62" s="13" t="e">
        <f t="shared" si="43"/>
        <v>#N/A</v>
      </c>
      <c r="DR62" s="20" t="e">
        <f t="shared" si="16"/>
        <v>#N/A</v>
      </c>
      <c r="DS62" s="59" t="e">
        <f t="shared" si="17"/>
        <v>#N/A</v>
      </c>
      <c r="DT62" s="59" t="e">
        <f ca="1">AVERAGE(OFFSET($DS$3,0,0,'Données projet'!$E$14+1,1))-AVERAGE(OFFSET($H$3,0,0,'Données projet'!$E$14+1,1))</f>
        <v>#N/A</v>
      </c>
      <c r="DU62" s="59" t="e">
        <f t="shared" si="44"/>
        <v>#N/A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 t="e">
        <f>EXP(-LN(2)/35)*EA61+(1-EXP(-LN(2)/35))/(LN(2)/35)*DW62*DX62*VLOOKUP('Données projet'!$B$14,Paramètres!$A$1:$I$89,3,0)*0.475*44/12</f>
        <v>#N/A</v>
      </c>
      <c r="EB62" s="21" t="e">
        <f>EXP(-LN(2)/25)*EB61+(1-EXP(-LN(2)/25))/(LN(2)/25)*Calculateur!DW62*Calculateur!DY62*VLOOKUP('Données projet'!$B$14,Paramètres!$A$1:$I$89,3,0)*0.475*44/12</f>
        <v>#N/A</v>
      </c>
      <c r="EC62" s="21" t="e">
        <f>EXP(-LN(2)/2)*EC61+(1-EXP(-LN(2)/2))/(LN(2)/2)*DW62*DZ62*VLOOKUP('Données projet'!$B$14,Paramètres!$A$1:$I$89,3,0)*0.475*44/12</f>
        <v>#N/A</v>
      </c>
      <c r="ED62" s="22" t="e">
        <f t="shared" si="18"/>
        <v>#N/A</v>
      </c>
      <c r="EE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0</v>
      </c>
      <c r="EJ62" s="12">
        <f>IF('Données projet'!$A$192&gt;35,EJ61+EI62-ER61,IF(A62&lt;'Données projet'!$A$192,$EG$205^A62,IF(A62='Données projet'!$A$192,'Données projet'!$B$192,EJ61+EI62-ER61)))</f>
        <v>0</v>
      </c>
      <c r="EK62" s="17" t="e">
        <f>EJ62*VLOOKUP('Données projet'!$B$15,Paramètres!$A$1:$I$89,3,0)*VLOOKUP('Données projet'!$B$15,Paramètres!$A$1:$I$89,5,0)</f>
        <v>#N/A</v>
      </c>
      <c r="EL62" s="13" t="e">
        <f t="shared" si="45"/>
        <v>#N/A</v>
      </c>
      <c r="EM62" s="20" t="e">
        <f t="shared" si="19"/>
        <v>#N/A</v>
      </c>
      <c r="EN62" s="59" t="e">
        <f t="shared" si="20"/>
        <v>#N/A</v>
      </c>
      <c r="EO62" s="59" t="e">
        <f ca="1">AVERAGE(OFFSET($EN$3,0,0,'Données projet'!$E$15+1,1))-AVERAGE(OFFSET($H$3,0,0,'Données projet'!$E$15+1,1))</f>
        <v>#N/A</v>
      </c>
      <c r="EP62" s="59" t="e">
        <f t="shared" si="46"/>
        <v>#N/A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 t="e">
        <f>EXP(-LN(2)/35)*EV61+(1-EXP(-LN(2)/35))/(LN(2)/35)*ER62*ES62*VLOOKUP('Données projet'!$B$15,Paramètres!$A$1:$I$89,3,0)*0.475*44/12</f>
        <v>#N/A</v>
      </c>
      <c r="EW62" s="21" t="e">
        <f>EXP(-LN(2)/25)*EW61+(1-EXP(-LN(2)/25))/(LN(2)/25)*Calculateur!ER62*Calculateur!ET62*VLOOKUP('Données projet'!$B$15,Paramètres!$A$1:$I$89,3,0)*0.475*44/12</f>
        <v>#N/A</v>
      </c>
      <c r="EX62" s="21" t="e">
        <f>EXP(-LN(2)/2)*EX61+(1-EXP(-LN(2)/2))/(LN(2)/2)*ER62*EU62*VLOOKUP('Données projet'!$B$15,Paramètres!$A$1:$I$89,3,0)*0.475*44/12</f>
        <v>#N/A</v>
      </c>
      <c r="EY62" s="22" t="e">
        <f t="shared" si="21"/>
        <v>#N/A</v>
      </c>
      <c r="EZ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45">
      <c r="A63" s="10">
        <f t="shared" si="31"/>
        <v>60</v>
      </c>
      <c r="B63" s="73">
        <f>'Scénario référence'!$B$16*5+'Scénario référence'!$B$17*0+'Scénario référence'!$B$18*5</f>
        <v>0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53.352000000000046</v>
      </c>
      <c r="D63" s="11">
        <f t="shared" si="32"/>
        <v>15.476132071622855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">
        <f>IF(OR('Scénario référence'!$F$8&gt;0,'Scénario référence'!$F$9&gt;0),('Scénario référence'!$F$8+'Scénario référence'!$F$9)*10,0)</f>
        <v>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531.30487914936975</v>
      </c>
      <c r="H63" s="67">
        <f t="shared" si="1"/>
        <v>376.54233002474325</v>
      </c>
      <c r="I63" s="7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 t="e">
        <f>VLOOKUP(A63,'Données projet'!$A$35:$I$55,2,0)</f>
        <v>#N/A</v>
      </c>
      <c r="L63" s="12" t="e">
        <f>VLOOKUP(A63,'Données projet'!$A$35:$I$55,9,0)</f>
        <v>#N/A</v>
      </c>
      <c r="M63" s="12">
        <f t="array" ref="M63">INDEX(L:L,MIN(IF(ISNUMBER(L63:L259),ROW(L63:L259),"")))</f>
        <v>11.968999999999999</v>
      </c>
      <c r="N63" s="13">
        <f>IF('Données projet'!$A$36&gt;35,N62+M63-V62,IF(A63&lt;'Données projet'!$A$36,$K$205^A63,IF(A63='Données projet'!$A$36,'Données projet'!$B$36,N62+M63-V62)))</f>
        <v>389.30200000000008</v>
      </c>
      <c r="O63" s="13">
        <f>N63*VLOOKUP('Données projet'!$B$9,Paramètres!$A$1:$I$89,3,0)*VLOOKUP('Données projet'!$B$9,Paramètres!$A$1:$I$89,5,0)</f>
        <v>217.61981800000004</v>
      </c>
      <c r="P63" s="13">
        <f t="shared" si="33"/>
        <v>53.597237864402892</v>
      </c>
      <c r="Q63" s="20">
        <f t="shared" si="53"/>
        <v>472.36970563050181</v>
      </c>
      <c r="R63" s="59">
        <f t="shared" si="0"/>
        <v>765.70303896383507</v>
      </c>
      <c r="S63" s="59">
        <f ca="1">AVERAGE(OFFSET($R$3,0,0,'Données projet'!$E$9+1,1))-AVERAGE(OFFSET($H$3,0,0,'Données projet'!$E$9+1,1))</f>
        <v>280.69347314340195</v>
      </c>
      <c r="T63" s="59">
        <f t="shared" si="34"/>
        <v>152.40533828556482</v>
      </c>
      <c r="U63" s="15">
        <f>IF(ISNA(VLOOKUP(A63,'Données projet'!$A$35:$I$55,3,0)),0,VLOOKUP(A63,'Données projet'!$A$35:$I$55,3,0))</f>
        <v>0</v>
      </c>
      <c r="V63" s="15">
        <f>IF(ISNA(VLOOKUP(A63,'Données projet'!$A$35:$I$55,4,0)),0,VLOOKUP(A63,'Données projet'!$A$35:$I$55,4,0))</f>
        <v>0</v>
      </c>
      <c r="W63" s="16">
        <f>IF(ISNA(VLOOKUP(A63,'Données projet'!$A$35:$I$55,5,0)),0%,VLOOKUP(A63,'Données projet'!$A$35:$I$55,5,0)*VLOOKUP('Données projet'!$B$9,Paramètres!$A$1:$I$89,7,0))</f>
        <v>0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23.826961728346237</v>
      </c>
      <c r="AA63" s="21">
        <f>EXP(-LN(2)/25)*AA62+(1-EXP(-LN(2)/25))/(LN(2)/25)*Calculateur!V63*Calculateur!X63*VLOOKUP('Données projet'!$B$9,Paramètres!$A$1:$I$89,3,0)*0.475*44/12</f>
        <v>17.69122322021088</v>
      </c>
      <c r="AB63" s="21">
        <f>EXP(-LN(2)/2)*AB62+(1-EXP(-LN(2)/2))/(LN(2)/2)*V63*Y63*VLOOKUP('Données projet'!$B$9,Paramètres!$A$1:$I$89,3,0)*0.475*44/12</f>
        <v>0.53554811274949843</v>
      </c>
      <c r="AC63" s="22">
        <f t="shared" si="3"/>
        <v>42.053733061306616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>
        <f>VLOOKUP(A63,'Données projet'!$A$61:$I$81,2,0)</f>
        <v>304</v>
      </c>
      <c r="AG63" s="12">
        <f>VLOOKUP(A63,'Données projet'!$A$61:$I$81,9,0)</f>
        <v>9.75</v>
      </c>
      <c r="AH63" s="12">
        <f t="array" ref="AH63">INDEX(AG:AG,MIN(IF(ISNUMBER(AG63:AG259),ROW(AG63:AG259),"")))</f>
        <v>9.75</v>
      </c>
      <c r="AI63" s="13">
        <f>IF('Données projet'!$A$62&gt;35,AI62+AH63-AQ62,IF(A63&lt;'Données projet'!$A$62,$AF$205^A63,IF(A63='Données projet'!$A$62,'Données projet'!$B$62,AI62+AH63-AQ62)))</f>
        <v>304</v>
      </c>
      <c r="AJ63" s="13">
        <f>AI63*VLOOKUP('Données projet'!$B$10,Paramètres!$A$1:$I$89,3,0)*VLOOKUP('Données projet'!$B$10,Paramètres!$A$1:$I$89,5,0)</f>
        <v>189.696</v>
      </c>
      <c r="AK63" s="13">
        <f t="shared" si="35"/>
        <v>47.472736505152469</v>
      </c>
      <c r="AL63" s="20">
        <f t="shared" si="4"/>
        <v>413.06888274647389</v>
      </c>
      <c r="AM63" s="59">
        <f t="shared" si="5"/>
        <v>706.4022160798072</v>
      </c>
      <c r="AN63" s="59">
        <f ca="1">AVERAGE(OFFSET($AM$3,0,0,'Données projet'!$E$10+1,1))-AVERAGE(OFFSET($H$3,0,0,'Données projet'!$E$10+1,1))</f>
        <v>179.4725256147085</v>
      </c>
      <c r="AO63" s="59">
        <f t="shared" si="36"/>
        <v>282.16750121151176</v>
      </c>
      <c r="AP63" s="15">
        <f>IF(ISNA(VLOOKUP(A63,'Données projet'!$A$61:$I$81,3,0)),0,VLOOKUP(A63,'Données projet'!$A$61:$I$81,3,0))</f>
        <v>8</v>
      </c>
      <c r="AQ63" s="15">
        <f>IF(ISNA(VLOOKUP(A63,'Données projet'!$A$61:$I$81,4,0)),0,VLOOKUP(A63,'Données projet'!$A$61:$I$81,4,0))</f>
        <v>304</v>
      </c>
      <c r="AR63" s="16">
        <f>IF(ISNA(VLOOKUP(A63,'Données projet'!$A$61:$I$81,5,0)),0%,VLOOKUP(A63,'Données projet'!$A$61:$I$81,5,0)*VLOOKUP('Données projet'!$B$10,Paramètres!$A$1:$I$89,7,0))</f>
        <v>0.36</v>
      </c>
      <c r="AS63" s="16">
        <f>IF(ISNA(VLOOKUP(A63,'Données projet'!$A$61:$I$81,6,0)),0%,VLOOKUP(A63,'Données projet'!$A$61:$I$81,6,0)*VLOOKUP('Données projet'!$B$10,Paramètres!$A$1:$I$89,7,0))</f>
        <v>0.12</v>
      </c>
      <c r="AT63" s="16">
        <f>IF(ISNA(VLOOKUP(A63,'Données projet'!$A$61:$I$81,7,0)),0%,VLOOKUP(A63,'Données projet'!$A$61:$I$81,7,0))</f>
        <v>0.2</v>
      </c>
      <c r="AU63" s="21">
        <f>EXP(-LN(2)/35)*AU62+(1-EXP(-LN(2)/35))/(LN(2)/35)*AQ63*AR63*VLOOKUP('Données projet'!$B$10,Paramètres!$A$1:$I$89,3,0)*0.475*44/12</f>
        <v>144.38629939736921</v>
      </c>
      <c r="AV63" s="21">
        <f>EXP(-LN(2)/25)*AV62+(1-EXP(-LN(2)/25))/(LN(2)/25)*Calculateur!AQ63*Calculateur!AS63*VLOOKUP('Données projet'!$B$10,Paramètres!$A$1:$I$89,3,0)*0.475*44/12</f>
        <v>48.862924514657642</v>
      </c>
      <c r="AW63" s="21">
        <f>EXP(-LN(2)/2)*AW62+(1-EXP(-LN(2)/2))/(LN(2)/2)*AQ63*AT63*VLOOKUP('Données projet'!$B$10,Paramètres!$A$1:$I$89,3,0)*0.475*44/12</f>
        <v>43.120397874724048</v>
      </c>
      <c r="AX63" s="21">
        <f t="shared" si="6"/>
        <v>236.36962178675088</v>
      </c>
      <c r="AY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 t="e">
        <f>VLOOKUP(A63,'Données projet'!$A$87:$I$107,2,0)</f>
        <v>#N/A</v>
      </c>
      <c r="BB63" s="12" t="e">
        <f>VLOOKUP(A63,'Données projet'!$A$87:$I$107,9,0)</f>
        <v>#N/A</v>
      </c>
      <c r="BC63" s="12">
        <f t="array" ref="BC63">INDEX(BB:BB,MIN(IF(ISNUMBER(BB63:BB259),ROW(BB63:BB259),"")))</f>
        <v>11.016666666666667</v>
      </c>
      <c r="BD63" s="12">
        <f>IF('Données projet'!$A$88&gt;35,BD62+BC63-BL62,IF(A63&lt;'Données projet'!$A$88,$BA$205^A63,IF(A63='Données projet'!$A$88,'Données projet'!$B$88,BD62+BC63-BL62)))</f>
        <v>188.53000000000029</v>
      </c>
      <c r="BE63" s="13">
        <f>BD63*VLOOKUP('Données projet'!$B$11,Paramètres!$A$1:$I$89,3,0)*VLOOKUP('Données projet'!$B$11,Paramètres!$A$1:$I$89,5,0)</f>
        <v>161.75874000000024</v>
      </c>
      <c r="BF63" s="13">
        <f t="shared" si="37"/>
        <v>41.238951376714851</v>
      </c>
      <c r="BG63" s="20">
        <f t="shared" si="7"/>
        <v>353.55431248111205</v>
      </c>
      <c r="BH63" s="59">
        <f t="shared" si="8"/>
        <v>646.88764581444536</v>
      </c>
      <c r="BI63" s="59">
        <f ca="1">AVERAGE(OFFSET($BH$3,0,0,'Données projet'!$E$11+1,1))-AVERAGE(OFFSET($H$3,0,0,'Données projet'!$E$11+1,1))</f>
        <v>312.89478437044261</v>
      </c>
      <c r="BJ63" s="59">
        <f t="shared" si="38"/>
        <v>276.16555507854571</v>
      </c>
      <c r="BK63" s="15">
        <f>IF(ISNA(VLOOKUP(A63,'Données projet'!$A$87:$I$107,3,0)),0,VLOOKUP(A63,'Données projet'!$A$87:$I$107,3,0))</f>
        <v>0</v>
      </c>
      <c r="BL63" s="15">
        <f>IF(ISNA(VLOOKUP(A63,'Données projet'!$A$87:$I$107,4,0)),0,VLOOKUP(A63,'Données projet'!$A$87:$I$107,4,0))</f>
        <v>0</v>
      </c>
      <c r="BM63" s="16">
        <f>IF(ISNA(VLOOKUP(A63,'Données projet'!$A$87:$I$107,5,0)),0%,VLOOKUP(A63,'Données projet'!$A$87:$I$107,5,0)*VLOOKUP('Données projet'!$B$11,Paramètres!$A$1:$I$89,7,0))</f>
        <v>0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>
        <f>EXP(-LN(2)/35)*BP62+(1-EXP(-LN(2)/35))/(LN(2)/35)*BL63*BM63*VLOOKUP('Données projet'!$B$11,Paramètres!$A$1:$I$89,3,0)*0.475*44/12</f>
        <v>0</v>
      </c>
      <c r="BQ63" s="21">
        <f>EXP(-LN(2)/25)*BQ62+(1-EXP(-LN(2)/25))/(LN(2)/25)*Calculateur!BL63*Calculateur!BN63*VLOOKUP('Données projet'!$B$11,Paramètres!$A$1:$I$89,3,0)*0.475*44/12</f>
        <v>34.059264748156508</v>
      </c>
      <c r="BR63" s="21">
        <f>EXP(-LN(2)/2)*BR62+(1-EXP(-LN(2)/2))/(LN(2)/2)*BL63*BO63*VLOOKUP('Données projet'!$B$11,Paramètres!$A$1:$I$89,3,0)*0.475*44/12</f>
        <v>21.157217257303994</v>
      </c>
      <c r="BS63" s="22">
        <f t="shared" si="9"/>
        <v>55.216482005460506</v>
      </c>
      <c r="BT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 t="e">
        <f>VLOOKUP(A63,'Données projet'!$A$113:$I$133,2,0)</f>
        <v>#N/A</v>
      </c>
      <c r="BW63" s="12" t="e">
        <f>VLOOKUP(A63,'Données projet'!$A$113:$I$133,9,0)</f>
        <v>#N/A</v>
      </c>
      <c r="BX63" s="12">
        <f t="array" ref="BX63">INDEX(BW:BW,MIN(IF(ISNUMBER(BW63:BW259),ROW(BW63:BW259),"")))</f>
        <v>0</v>
      </c>
      <c r="BY63" s="12">
        <f>IF('Données projet'!$A$114&gt;35,BY62+BX63-CG62,IF(A63&lt;'Données projet'!$A$114,$BV$205^A63,IF(A63='Données projet'!$A$114,'Données projet'!$B$114,BY62+BX63-CG62)))</f>
        <v>0</v>
      </c>
      <c r="BZ63" s="13" t="e">
        <f>BY63*VLOOKUP('Données projet'!$B$12,Paramètres!$A$1:$I$89,3,0)*VLOOKUP('Données projet'!$B$12,Paramètres!$A$1:$I$89,5,0)</f>
        <v>#N/A</v>
      </c>
      <c r="CA63" s="13" t="e">
        <f t="shared" si="39"/>
        <v>#N/A</v>
      </c>
      <c r="CB63" s="20" t="e">
        <f t="shared" si="10"/>
        <v>#N/A</v>
      </c>
      <c r="CC63" s="59" t="e">
        <f t="shared" si="11"/>
        <v>#N/A</v>
      </c>
      <c r="CD63" s="59" t="e">
        <f ca="1">AVERAGE(OFFSET($CC$3,0,0,'Données projet'!$E$12+1,1))-AVERAGE(OFFSET($H$3,0,0,'Données projet'!$E$12+1,1))</f>
        <v>#N/A</v>
      </c>
      <c r="CE63" s="59" t="e">
        <f t="shared" si="40"/>
        <v>#N/A</v>
      </c>
      <c r="CF63" s="15">
        <f>IF(ISNA(VLOOKUP(A63,'Données projet'!$A$113:$I$133,3,0)),0,VLOOKUP(A63,'Données projet'!$A$113:$I$133,3,0))</f>
        <v>0</v>
      </c>
      <c r="CG63" s="15">
        <f>IF(ISNA(VLOOKUP(A63,'Données projet'!$A$113:$I$133,4,0)),0,VLOOKUP(A63,'Données projet'!$A$113:$I$133,4,0))</f>
        <v>0</v>
      </c>
      <c r="CH63" s="16">
        <f>IF(ISNA(VLOOKUP(A63,'Données projet'!$A$113:$I$133,5,0)),0%,VLOOKUP(A63,'Données projet'!$A$113:$I$133,5,0)*VLOOKUP('Données projet'!$B$12,Paramètres!$A$1:$I$89,7,0))</f>
        <v>0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 t="e">
        <f>EXP(-LN(2)/35)*CK62+(1-EXP(-LN(2)/35))/(LN(2)/35)*CG63*CH63*VLOOKUP('Données projet'!$B$12,Paramètres!$A$1:$I$89,3,0)*0.475*44/12</f>
        <v>#N/A</v>
      </c>
      <c r="CL63" s="21" t="e">
        <f>EXP(-LN(2)/25)*CL62+(1-EXP(-LN(2)/25))/(LN(2)/25)*Calculateur!CG63*Calculateur!CI63*VLOOKUP('Données projet'!$B$12,Paramètres!$A$1:$I$89,3,0)*0.475*44/12</f>
        <v>#N/A</v>
      </c>
      <c r="CM63" s="21" t="e">
        <f>EXP(-LN(2)/2)*CM62+(1-EXP(-LN(2)/2))/(LN(2)/2)*CG63*CJ63*VLOOKUP('Données projet'!$B$12,Paramètres!$A$1:$I$89,3,0)*0.475*44/12</f>
        <v>#N/A</v>
      </c>
      <c r="CN63" s="22" t="e">
        <f t="shared" si="12"/>
        <v>#N/A</v>
      </c>
      <c r="CO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 t="e">
        <f>VLOOKUP(A63,'Données projet'!$A$139:$I$159,2,0)</f>
        <v>#N/A</v>
      </c>
      <c r="CR63" s="12" t="e">
        <f>VLOOKUP(A63,'Données projet'!$A$139:$I$159,9,0)</f>
        <v>#N/A</v>
      </c>
      <c r="CS63" s="12">
        <f t="array" ref="CS63">INDEX(CR:CR,MIN(IF(ISNUMBER(CR63:CR259),ROW(CR63:CR259),"")))</f>
        <v>0</v>
      </c>
      <c r="CT63" s="12">
        <f>IF('Données projet'!$A$140&gt;35,CT62+CS63-DB62,IF(A63&lt;'Données projet'!$A$140,$CQ$205^A63,IF(A63='Données projet'!$A$140,'Données projet'!$B$140,CT62+CS63-DB62)))</f>
        <v>0</v>
      </c>
      <c r="CU63" s="17" t="e">
        <f>CT63*VLOOKUP('Données projet'!$B$13,Paramètres!$A$1:$I$89,3,0)*VLOOKUP('Données projet'!$B$13,Paramètres!$A$1:$I$89,5,0)</f>
        <v>#N/A</v>
      </c>
      <c r="CV63" s="13" t="e">
        <f t="shared" si="41"/>
        <v>#N/A</v>
      </c>
      <c r="CW63" s="20" t="e">
        <f t="shared" si="13"/>
        <v>#N/A</v>
      </c>
      <c r="CX63" s="59" t="e">
        <f t="shared" si="14"/>
        <v>#N/A</v>
      </c>
      <c r="CY63" s="59" t="e">
        <f ca="1">AVERAGE(OFFSET($CX$3,0,0,'Données projet'!$E$13+1,1))-AVERAGE(OFFSET($H$3,0,0,'Données projet'!$E$13+1,1))</f>
        <v>#N/A</v>
      </c>
      <c r="CZ63" s="59" t="e">
        <f t="shared" si="42"/>
        <v>#N/A</v>
      </c>
      <c r="DA63" s="15">
        <f>IF(ISNA(VLOOKUP(A63,'Données projet'!$A$139:$I$159,3,0)),0,VLOOKUP(A63,'Données projet'!$A$139:$I$159,3,0))</f>
        <v>0</v>
      </c>
      <c r="DB63" s="15">
        <f>IF(ISNA(VLOOKUP(A63,'Données projet'!$A$139:$I$159,4,0)),0,VLOOKUP(A63,'Données projet'!$A$139:$I$159,4,0))</f>
        <v>0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 t="e">
        <f>EXP(-LN(2)/35)*DF62+(1-EXP(-LN(2)/35))/(LN(2)/35)*DB63*DC63*VLOOKUP('Données projet'!$B$13,Paramètres!$A$1:$I$89,3,0)*0.475*44/12</f>
        <v>#N/A</v>
      </c>
      <c r="DG63" s="21" t="e">
        <f>EXP(-LN(2)/25)*DG62+(1-EXP(-LN(2)/25))/(LN(2)/25)*Calculateur!DB63*Calculateur!DD63*VLOOKUP('Données projet'!$B$13,Paramètres!$A$1:$I$89,3,0)*0.475*44/12</f>
        <v>#N/A</v>
      </c>
      <c r="DH63" s="21" t="e">
        <f>EXP(-LN(2)/2)*DH62+(1-EXP(-LN(2)/2))/(LN(2)/2)*DB63*DE63*VLOOKUP('Données projet'!$B$13,Paramètres!$A$1:$I$89,3,0)*0.475*44/12</f>
        <v>#N/A</v>
      </c>
      <c r="DI63" s="22" t="e">
        <f t="shared" si="15"/>
        <v>#N/A</v>
      </c>
      <c r="DJ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 t="e">
        <f>VLOOKUP(A63,'Données projet'!$A$165:$I$185,2,0)</f>
        <v>#N/A</v>
      </c>
      <c r="DM63" s="12" t="e">
        <f>VLOOKUP(A63,'Données projet'!$A$165:$I$185,9,0)</f>
        <v>#N/A</v>
      </c>
      <c r="DN63" s="12">
        <f t="array" ref="DN63">INDEX(DM:DM,MIN(IF(ISNUMBER(DM63:DM259),ROW(DM63:DM259),"")))</f>
        <v>0</v>
      </c>
      <c r="DO63" s="12">
        <f>IF('Données projet'!$A$166&gt;35,DO62+DN63-DW62,IF(A63&lt;'Données projet'!$A$166,$DL$205^A63,IF(A63='Données projet'!$A$166,'Données projet'!$B$166,DO62+DN63-DW62)))</f>
        <v>0</v>
      </c>
      <c r="DP63" s="17" t="e">
        <f>DO63*VLOOKUP('Données projet'!$B$14,Paramètres!$A$1:$I$89,3,0)*VLOOKUP('Données projet'!$B$14,Paramètres!$A$1:$I$89,5,0)</f>
        <v>#N/A</v>
      </c>
      <c r="DQ63" s="13" t="e">
        <f t="shared" si="43"/>
        <v>#N/A</v>
      </c>
      <c r="DR63" s="20" t="e">
        <f t="shared" si="16"/>
        <v>#N/A</v>
      </c>
      <c r="DS63" s="59" t="e">
        <f t="shared" si="17"/>
        <v>#N/A</v>
      </c>
      <c r="DT63" s="59" t="e">
        <f ca="1">AVERAGE(OFFSET($DS$3,0,0,'Données projet'!$E$14+1,1))-AVERAGE(OFFSET($H$3,0,0,'Données projet'!$E$14+1,1))</f>
        <v>#N/A</v>
      </c>
      <c r="DU63" s="59" t="e">
        <f t="shared" si="44"/>
        <v>#N/A</v>
      </c>
      <c r="DV63" s="15">
        <f>IF(ISNA(VLOOKUP(A63,'Données projet'!$A$165:$I$185,3,0)),0,VLOOKUP(A63,'Données projet'!$A$165:$I$185,3,0))</f>
        <v>0</v>
      </c>
      <c r="DW63" s="15">
        <f>IF(ISNA(VLOOKUP(A63,'Données projet'!$A$165:$I$185,4,0)),0,VLOOKUP(A63,'Données projet'!$A$165:$I$185,4,0))</f>
        <v>0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 t="e">
        <f>EXP(-LN(2)/35)*EA62+(1-EXP(-LN(2)/35))/(LN(2)/35)*DW63*DX63*VLOOKUP('Données projet'!$B$14,Paramètres!$A$1:$I$89,3,0)*0.475*44/12</f>
        <v>#N/A</v>
      </c>
      <c r="EB63" s="21" t="e">
        <f>EXP(-LN(2)/25)*EB62+(1-EXP(-LN(2)/25))/(LN(2)/25)*Calculateur!DW63*Calculateur!DY63*VLOOKUP('Données projet'!$B$14,Paramètres!$A$1:$I$89,3,0)*0.475*44/12</f>
        <v>#N/A</v>
      </c>
      <c r="EC63" s="21" t="e">
        <f>EXP(-LN(2)/2)*EC62+(1-EXP(-LN(2)/2))/(LN(2)/2)*DW63*DZ63*VLOOKUP('Données projet'!$B$14,Paramètres!$A$1:$I$89,3,0)*0.475*44/12</f>
        <v>#N/A</v>
      </c>
      <c r="ED63" s="22" t="e">
        <f t="shared" si="18"/>
        <v>#N/A</v>
      </c>
      <c r="EE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0</v>
      </c>
      <c r="EJ63" s="12">
        <f>IF('Données projet'!$A$192&gt;35,EJ62+EI63-ER62,IF(A63&lt;'Données projet'!$A$192,$EG$205^A63,IF(A63='Données projet'!$A$192,'Données projet'!$B$192,EJ62+EI63-ER62)))</f>
        <v>0</v>
      </c>
      <c r="EK63" s="17" t="e">
        <f>EJ63*VLOOKUP('Données projet'!$B$15,Paramètres!$A$1:$I$89,3,0)*VLOOKUP('Données projet'!$B$15,Paramètres!$A$1:$I$89,5,0)</f>
        <v>#N/A</v>
      </c>
      <c r="EL63" s="13" t="e">
        <f t="shared" si="45"/>
        <v>#N/A</v>
      </c>
      <c r="EM63" s="20" t="e">
        <f t="shared" si="19"/>
        <v>#N/A</v>
      </c>
      <c r="EN63" s="59" t="e">
        <f t="shared" si="20"/>
        <v>#N/A</v>
      </c>
      <c r="EO63" s="59" t="e">
        <f ca="1">AVERAGE(OFFSET($EN$3,0,0,'Données projet'!$E$15+1,1))-AVERAGE(OFFSET($H$3,0,0,'Données projet'!$E$15+1,1))</f>
        <v>#N/A</v>
      </c>
      <c r="EP63" s="59" t="e">
        <f t="shared" si="46"/>
        <v>#N/A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 t="e">
        <f>EXP(-LN(2)/35)*EV62+(1-EXP(-LN(2)/35))/(LN(2)/35)*ER63*ES63*VLOOKUP('Données projet'!$B$15,Paramètres!$A$1:$I$89,3,0)*0.475*44/12</f>
        <v>#N/A</v>
      </c>
      <c r="EW63" s="21" t="e">
        <f>EXP(-LN(2)/25)*EW62+(1-EXP(-LN(2)/25))/(LN(2)/25)*Calculateur!ER63*Calculateur!ET63*VLOOKUP('Données projet'!$B$15,Paramètres!$A$1:$I$89,3,0)*0.475*44/12</f>
        <v>#N/A</v>
      </c>
      <c r="EX63" s="21" t="e">
        <f>EXP(-LN(2)/2)*EX62+(1-EXP(-LN(2)/2))/(LN(2)/2)*ER63*EU63*VLOOKUP('Données projet'!$B$15,Paramètres!$A$1:$I$89,3,0)*0.475*44/12</f>
        <v>#N/A</v>
      </c>
      <c r="EY63" s="22" t="e">
        <f t="shared" si="21"/>
        <v>#N/A</v>
      </c>
      <c r="EZ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45">
      <c r="A64" s="10">
        <f t="shared" si="31"/>
        <v>61</v>
      </c>
      <c r="B64" s="73">
        <f>'Scénario référence'!$B$16*5+'Scénario référence'!$B$17*0+'Scénario référence'!$B$18*5</f>
        <v>0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54.241200000000049</v>
      </c>
      <c r="D64" s="11">
        <f t="shared" si="32"/>
        <v>15.703824194633762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">
        <f>IF(OR('Scénario référence'!$F$8&gt;0,'Scénario référence'!$F$9&gt;0),('Scénario référence'!$F$8+'Scénario référence'!$F$9)*10,0)</f>
        <v>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539.92650255506805</v>
      </c>
      <c r="H64" s="67">
        <f t="shared" si="1"/>
        <v>378.48758380565391</v>
      </c>
      <c r="I64" s="7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11.968999999999999</v>
      </c>
      <c r="N64" s="13">
        <f>IF('Données projet'!$A$36&gt;35,N63+M64-V63,IF(A64&lt;'Données projet'!$A$36,$K$205^A64,IF(A64='Données projet'!$A$36,'Données projet'!$B$36,N63+M64-V63)))</f>
        <v>401.27100000000007</v>
      </c>
      <c r="O64" s="13">
        <f>N64*VLOOKUP('Données projet'!$B$9,Paramètres!$A$1:$I$89,3,0)*VLOOKUP('Données projet'!$B$9,Paramètres!$A$1:$I$89,5,0)</f>
        <v>224.31048900000002</v>
      </c>
      <c r="P64" s="13">
        <f t="shared" si="33"/>
        <v>55.050688592681482</v>
      </c>
      <c r="Q64" s="20">
        <f t="shared" si="53"/>
        <v>486.55405097392025</v>
      </c>
      <c r="R64" s="59">
        <f t="shared" si="0"/>
        <v>779.88738430725357</v>
      </c>
      <c r="S64" s="59">
        <f ca="1">AVERAGE(OFFSET($R$3,0,0,'Données projet'!$E$9+1,1))-AVERAGE(OFFSET($H$3,0,0,'Données projet'!$E$9+1,1))</f>
        <v>280.69347314340195</v>
      </c>
      <c r="T64" s="59">
        <f t="shared" si="34"/>
        <v>152.40533828556482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23.359729541865008</v>
      </c>
      <c r="AA64" s="21">
        <f>EXP(-LN(2)/25)*AA63+(1-EXP(-LN(2)/25))/(LN(2)/25)*Calculateur!V64*Calculateur!X64*VLOOKUP('Données projet'!$B$9,Paramètres!$A$1:$I$89,3,0)*0.475*44/12</f>
        <v>17.207455790913219</v>
      </c>
      <c r="AB64" s="21">
        <f>EXP(-LN(2)/2)*AB63+(1-EXP(-LN(2)/2))/(LN(2)/2)*V64*Y64*VLOOKUP('Données projet'!$B$9,Paramètres!$A$1:$I$89,3,0)*0.475*44/12</f>
        <v>0.37868970217682807</v>
      </c>
      <c r="AC64" s="22">
        <f t="shared" si="3"/>
        <v>40.945875034955051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0</v>
      </c>
      <c r="AI64" s="13">
        <f>IF('Données projet'!$A$62&gt;35,AI63+AH64-AQ63,IF(A64&lt;'Données projet'!$A$62,$AF$205^A64,IF(A64='Données projet'!$A$62,'Données projet'!$B$62,AI63+AH64-AQ63)))</f>
        <v>0</v>
      </c>
      <c r="AJ64" s="13">
        <f>AI64*VLOOKUP('Données projet'!$B$10,Paramètres!$A$1:$I$89,3,0)*VLOOKUP('Données projet'!$B$10,Paramètres!$A$1:$I$89,5,0)</f>
        <v>0</v>
      </c>
      <c r="AK64" s="13" t="e">
        <f t="shared" si="35"/>
        <v>#NUM!</v>
      </c>
      <c r="AL64" s="20" t="e">
        <f t="shared" si="4"/>
        <v>#NUM!</v>
      </c>
      <c r="AM64" s="59" t="e">
        <f t="shared" si="5"/>
        <v>#NUM!</v>
      </c>
      <c r="AN64" s="59">
        <f ca="1">AVERAGE(OFFSET($AM$3,0,0,'Données projet'!$E$10+1,1))-AVERAGE(OFFSET($H$3,0,0,'Données projet'!$E$10+1,1))</f>
        <v>179.4725256147085</v>
      </c>
      <c r="AO64" s="59">
        <f t="shared" si="36"/>
        <v>282.16750121151176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141.55497213313356</v>
      </c>
      <c r="AV64" s="21">
        <f>EXP(-LN(2)/25)*AV63+(1-EXP(-LN(2)/25))/(LN(2)/25)*Calculateur!AQ64*Calculateur!AS64*VLOOKUP('Données projet'!$B$10,Paramètres!$A$1:$I$89,3,0)*0.475*44/12</f>
        <v>47.52676527421481</v>
      </c>
      <c r="AW64" s="21">
        <f>EXP(-LN(2)/2)*AW63+(1-EXP(-LN(2)/2))/(LN(2)/2)*AQ64*AT64*VLOOKUP('Données projet'!$B$10,Paramètres!$A$1:$I$89,3,0)*0.475*44/12</f>
        <v>30.49072574467937</v>
      </c>
      <c r="AX64" s="21">
        <f t="shared" si="6"/>
        <v>219.57246315202775</v>
      </c>
      <c r="AY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11.016666666666667</v>
      </c>
      <c r="BD64" s="12">
        <f>IF('Données projet'!$A$88&gt;35,BD63+BC64-BL63,IF(A64&lt;'Données projet'!$A$88,$BA$205^A64,IF(A64='Données projet'!$A$88,'Données projet'!$B$88,BD63+BC64-BL63)))</f>
        <v>199.54666666666697</v>
      </c>
      <c r="BE64" s="13">
        <f>BD64*VLOOKUP('Données projet'!$B$11,Paramètres!$A$1:$I$89,3,0)*VLOOKUP('Données projet'!$B$11,Paramètres!$A$1:$I$89,5,0)</f>
        <v>171.21104000000028</v>
      </c>
      <c r="BF64" s="13">
        <f t="shared" si="37"/>
        <v>43.36114410236933</v>
      </c>
      <c r="BG64" s="20">
        <f t="shared" si="7"/>
        <v>373.71322064496036</v>
      </c>
      <c r="BH64" s="59">
        <f t="shared" si="8"/>
        <v>667.04655397829367</v>
      </c>
      <c r="BI64" s="59">
        <f ca="1">AVERAGE(OFFSET($BH$3,0,0,'Données projet'!$E$11+1,1))-AVERAGE(OFFSET($H$3,0,0,'Données projet'!$E$11+1,1))</f>
        <v>312.89478437044261</v>
      </c>
      <c r="BJ64" s="59">
        <f t="shared" si="38"/>
        <v>276.16555507854571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>
        <f>EXP(-LN(2)/35)*BP63+(1-EXP(-LN(2)/35))/(LN(2)/35)*BL64*BM64*VLOOKUP('Données projet'!$B$11,Paramètres!$A$1:$I$89,3,0)*0.475*44/12</f>
        <v>0</v>
      </c>
      <c r="BQ64" s="21">
        <f>EXP(-LN(2)/25)*BQ63+(1-EXP(-LN(2)/25))/(LN(2)/25)*Calculateur!BL64*Calculateur!BN64*VLOOKUP('Données projet'!$B$11,Paramètres!$A$1:$I$89,3,0)*0.475*44/12</f>
        <v>33.127912362519275</v>
      </c>
      <c r="BR64" s="21">
        <f>EXP(-LN(2)/2)*BR63+(1-EXP(-LN(2)/2))/(LN(2)/2)*BL64*BO64*VLOOKUP('Données projet'!$B$11,Paramètres!$A$1:$I$89,3,0)*0.475*44/12</f>
        <v>14.960411793676704</v>
      </c>
      <c r="BS64" s="22">
        <f t="shared" si="9"/>
        <v>48.088324156195981</v>
      </c>
      <c r="BT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0</v>
      </c>
      <c r="BY64" s="12">
        <f>IF('Données projet'!$A$114&gt;35,BY63+BX64-CG63,IF(A64&lt;'Données projet'!$A$114,$BV$205^A64,IF(A64='Données projet'!$A$114,'Données projet'!$B$114,BY63+BX64-CG63)))</f>
        <v>0</v>
      </c>
      <c r="BZ64" s="13" t="e">
        <f>BY64*VLOOKUP('Données projet'!$B$12,Paramètres!$A$1:$I$89,3,0)*VLOOKUP('Données projet'!$B$12,Paramètres!$A$1:$I$89,5,0)</f>
        <v>#N/A</v>
      </c>
      <c r="CA64" s="13" t="e">
        <f t="shared" si="39"/>
        <v>#N/A</v>
      </c>
      <c r="CB64" s="20" t="e">
        <f t="shared" si="10"/>
        <v>#N/A</v>
      </c>
      <c r="CC64" s="59" t="e">
        <f t="shared" si="11"/>
        <v>#N/A</v>
      </c>
      <c r="CD64" s="59" t="e">
        <f ca="1">AVERAGE(OFFSET($CC$3,0,0,'Données projet'!$E$12+1,1))-AVERAGE(OFFSET($H$3,0,0,'Données projet'!$E$12+1,1))</f>
        <v>#N/A</v>
      </c>
      <c r="CE64" s="59" t="e">
        <f t="shared" si="40"/>
        <v>#N/A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 t="e">
        <f>EXP(-LN(2)/35)*CK63+(1-EXP(-LN(2)/35))/(LN(2)/35)*CG64*CH64*VLOOKUP('Données projet'!$B$12,Paramètres!$A$1:$I$89,3,0)*0.475*44/12</f>
        <v>#N/A</v>
      </c>
      <c r="CL64" s="21" t="e">
        <f>EXP(-LN(2)/25)*CL63+(1-EXP(-LN(2)/25))/(LN(2)/25)*Calculateur!CG64*Calculateur!CI64*VLOOKUP('Données projet'!$B$12,Paramètres!$A$1:$I$89,3,0)*0.475*44/12</f>
        <v>#N/A</v>
      </c>
      <c r="CM64" s="21" t="e">
        <f>EXP(-LN(2)/2)*CM63+(1-EXP(-LN(2)/2))/(LN(2)/2)*CG64*CJ64*VLOOKUP('Données projet'!$B$12,Paramètres!$A$1:$I$89,3,0)*0.475*44/12</f>
        <v>#N/A</v>
      </c>
      <c r="CN64" s="22" t="e">
        <f t="shared" si="12"/>
        <v>#N/A</v>
      </c>
      <c r="CO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0</v>
      </c>
      <c r="CT64" s="12">
        <f>IF('Données projet'!$A$140&gt;35,CT63+CS64-DB63,IF(A64&lt;'Données projet'!$A$140,$CQ$205^A64,IF(A64='Données projet'!$A$140,'Données projet'!$B$140,CT63+CS64-DB63)))</f>
        <v>0</v>
      </c>
      <c r="CU64" s="17" t="e">
        <f>CT64*VLOOKUP('Données projet'!$B$13,Paramètres!$A$1:$I$89,3,0)*VLOOKUP('Données projet'!$B$13,Paramètres!$A$1:$I$89,5,0)</f>
        <v>#N/A</v>
      </c>
      <c r="CV64" s="13" t="e">
        <f t="shared" si="41"/>
        <v>#N/A</v>
      </c>
      <c r="CW64" s="20" t="e">
        <f t="shared" si="13"/>
        <v>#N/A</v>
      </c>
      <c r="CX64" s="59" t="e">
        <f t="shared" si="14"/>
        <v>#N/A</v>
      </c>
      <c r="CY64" s="59" t="e">
        <f ca="1">AVERAGE(OFFSET($CX$3,0,0,'Données projet'!$E$13+1,1))-AVERAGE(OFFSET($H$3,0,0,'Données projet'!$E$13+1,1))</f>
        <v>#N/A</v>
      </c>
      <c r="CZ64" s="59" t="e">
        <f t="shared" si="42"/>
        <v>#N/A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 t="e">
        <f>EXP(-LN(2)/35)*DF63+(1-EXP(-LN(2)/35))/(LN(2)/35)*DB64*DC64*VLOOKUP('Données projet'!$B$13,Paramètres!$A$1:$I$89,3,0)*0.475*44/12</f>
        <v>#N/A</v>
      </c>
      <c r="DG64" s="21" t="e">
        <f>EXP(-LN(2)/25)*DG63+(1-EXP(-LN(2)/25))/(LN(2)/25)*Calculateur!DB64*Calculateur!DD64*VLOOKUP('Données projet'!$B$13,Paramètres!$A$1:$I$89,3,0)*0.475*44/12</f>
        <v>#N/A</v>
      </c>
      <c r="DH64" s="21" t="e">
        <f>EXP(-LN(2)/2)*DH63+(1-EXP(-LN(2)/2))/(LN(2)/2)*DB64*DE64*VLOOKUP('Données projet'!$B$13,Paramètres!$A$1:$I$89,3,0)*0.475*44/12</f>
        <v>#N/A</v>
      </c>
      <c r="DI64" s="22" t="e">
        <f t="shared" si="15"/>
        <v>#N/A</v>
      </c>
      <c r="DJ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0</v>
      </c>
      <c r="DO64" s="12">
        <f>IF('Données projet'!$A$166&gt;35,DO63+DN64-DW63,IF(A64&lt;'Données projet'!$A$166,$DL$205^A64,IF(A64='Données projet'!$A$166,'Données projet'!$B$166,DO63+DN64-DW63)))</f>
        <v>0</v>
      </c>
      <c r="DP64" s="17" t="e">
        <f>DO64*VLOOKUP('Données projet'!$B$14,Paramètres!$A$1:$I$89,3,0)*VLOOKUP('Données projet'!$B$14,Paramètres!$A$1:$I$89,5,0)</f>
        <v>#N/A</v>
      </c>
      <c r="DQ64" s="13" t="e">
        <f t="shared" si="43"/>
        <v>#N/A</v>
      </c>
      <c r="DR64" s="20" t="e">
        <f t="shared" si="16"/>
        <v>#N/A</v>
      </c>
      <c r="DS64" s="59" t="e">
        <f t="shared" si="17"/>
        <v>#N/A</v>
      </c>
      <c r="DT64" s="59" t="e">
        <f ca="1">AVERAGE(OFFSET($DS$3,0,0,'Données projet'!$E$14+1,1))-AVERAGE(OFFSET($H$3,0,0,'Données projet'!$E$14+1,1))</f>
        <v>#N/A</v>
      </c>
      <c r="DU64" s="59" t="e">
        <f t="shared" si="44"/>
        <v>#N/A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 t="e">
        <f>EXP(-LN(2)/35)*EA63+(1-EXP(-LN(2)/35))/(LN(2)/35)*DW64*DX64*VLOOKUP('Données projet'!$B$14,Paramètres!$A$1:$I$89,3,0)*0.475*44/12</f>
        <v>#N/A</v>
      </c>
      <c r="EB64" s="21" t="e">
        <f>EXP(-LN(2)/25)*EB63+(1-EXP(-LN(2)/25))/(LN(2)/25)*Calculateur!DW64*Calculateur!DY64*VLOOKUP('Données projet'!$B$14,Paramètres!$A$1:$I$89,3,0)*0.475*44/12</f>
        <v>#N/A</v>
      </c>
      <c r="EC64" s="21" t="e">
        <f>EXP(-LN(2)/2)*EC63+(1-EXP(-LN(2)/2))/(LN(2)/2)*DW64*DZ64*VLOOKUP('Données projet'!$B$14,Paramètres!$A$1:$I$89,3,0)*0.475*44/12</f>
        <v>#N/A</v>
      </c>
      <c r="ED64" s="22" t="e">
        <f t="shared" si="18"/>
        <v>#N/A</v>
      </c>
      <c r="EE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0</v>
      </c>
      <c r="EJ64" s="12">
        <f>IF('Données projet'!$A$192&gt;35,EJ63+EI64-ER63,IF(A64&lt;'Données projet'!$A$192,$EG$205^A64,IF(A64='Données projet'!$A$192,'Données projet'!$B$192,EJ63+EI64-ER63)))</f>
        <v>0</v>
      </c>
      <c r="EK64" s="17" t="e">
        <f>EJ64*VLOOKUP('Données projet'!$B$15,Paramètres!$A$1:$I$89,3,0)*VLOOKUP('Données projet'!$B$15,Paramètres!$A$1:$I$89,5,0)</f>
        <v>#N/A</v>
      </c>
      <c r="EL64" s="13" t="e">
        <f t="shared" si="45"/>
        <v>#N/A</v>
      </c>
      <c r="EM64" s="20" t="e">
        <f t="shared" si="19"/>
        <v>#N/A</v>
      </c>
      <c r="EN64" s="59" t="e">
        <f t="shared" si="20"/>
        <v>#N/A</v>
      </c>
      <c r="EO64" s="59" t="e">
        <f ca="1">AVERAGE(OFFSET($EN$3,0,0,'Données projet'!$E$15+1,1))-AVERAGE(OFFSET($H$3,0,0,'Données projet'!$E$15+1,1))</f>
        <v>#N/A</v>
      </c>
      <c r="EP64" s="59" t="e">
        <f t="shared" si="46"/>
        <v>#N/A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 t="e">
        <f>EXP(-LN(2)/35)*EV63+(1-EXP(-LN(2)/35))/(LN(2)/35)*ER64*ES64*VLOOKUP('Données projet'!$B$15,Paramètres!$A$1:$I$89,3,0)*0.475*44/12</f>
        <v>#N/A</v>
      </c>
      <c r="EW64" s="21" t="e">
        <f>EXP(-LN(2)/25)*EW63+(1-EXP(-LN(2)/25))/(LN(2)/25)*Calculateur!ER64*Calculateur!ET64*VLOOKUP('Données projet'!$B$15,Paramètres!$A$1:$I$89,3,0)*0.475*44/12</f>
        <v>#N/A</v>
      </c>
      <c r="EX64" s="21" t="e">
        <f>EXP(-LN(2)/2)*EX63+(1-EXP(-LN(2)/2))/(LN(2)/2)*ER64*EU64*VLOOKUP('Données projet'!$B$15,Paramètres!$A$1:$I$89,3,0)*0.475*44/12</f>
        <v>#N/A</v>
      </c>
      <c r="EY64" s="22" t="e">
        <f t="shared" si="21"/>
        <v>#N/A</v>
      </c>
      <c r="EZ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45">
      <c r="A65" s="10">
        <f t="shared" si="31"/>
        <v>62</v>
      </c>
      <c r="B65" s="73">
        <f>'Scénario référence'!$B$16*5+'Scénario référence'!$B$17*0+'Scénario référence'!$B$18*5</f>
        <v>0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55.130400000000051</v>
      </c>
      <c r="D65" s="11">
        <f t="shared" si="32"/>
        <v>15.931082230000042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">
        <f>IF(OR('Scénario référence'!$F$8&gt;0,'Scénario référence'!$F$9&gt;0),('Scénario référence'!$F$8+'Scénario référence'!$F$9)*10,0)</f>
        <v>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548.54477510877268</v>
      </c>
      <c r="H65" s="67">
        <f t="shared" si="1"/>
        <v>380.43208155058352</v>
      </c>
      <c r="I65" s="7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>
        <f>VLOOKUP(A65,'Données projet'!$A$35:$I$55,2,0)</f>
        <v>413.24</v>
      </c>
      <c r="L65" s="12">
        <f>VLOOKUP(A65,'Données projet'!$A$35:$I$55,9,0)</f>
        <v>11.968999999999999</v>
      </c>
      <c r="M65" s="12">
        <f t="array" ref="M65">INDEX(L:L,MIN(IF(ISNUMBER(L65:L261),ROW(L65:L261),"")))</f>
        <v>11.968999999999999</v>
      </c>
      <c r="N65" s="13">
        <f>IF('Données projet'!$A$36&gt;35,N64+M65-V64,IF(A65&lt;'Données projet'!$A$36,$K$205^A65,IF(A65='Données projet'!$A$36,'Données projet'!$B$36,N64+M65-V64)))</f>
        <v>413.24000000000007</v>
      </c>
      <c r="O65" s="13">
        <f>N65*VLOOKUP('Données projet'!$B$9,Paramètres!$A$1:$I$89,3,0)*VLOOKUP('Données projet'!$B$9,Paramètres!$A$1:$I$89,5,0)</f>
        <v>231.00116000000003</v>
      </c>
      <c r="P65" s="13">
        <f t="shared" si="33"/>
        <v>56.499100977969647</v>
      </c>
      <c r="Q65" s="20">
        <f t="shared" si="53"/>
        <v>500.7296212032972</v>
      </c>
      <c r="R65" s="59">
        <f t="shared" si="0"/>
        <v>794.06295453663051</v>
      </c>
      <c r="S65" s="59">
        <f ca="1">AVERAGE(OFFSET($R$3,0,0,'Données projet'!$E$9+1,1))-AVERAGE(OFFSET($H$3,0,0,'Données projet'!$E$9+1,1))</f>
        <v>280.69347314340195</v>
      </c>
      <c r="T65" s="59">
        <f t="shared" si="34"/>
        <v>152.40533828556482</v>
      </c>
      <c r="U65" s="15">
        <f>IF(ISNA(VLOOKUP(A65,'Données projet'!$A$35:$I$55,3,0)),0,VLOOKUP(A65,'Données projet'!$A$35:$I$55,3,0))</f>
        <v>4</v>
      </c>
      <c r="V65" s="15">
        <f>IF(ISNA(VLOOKUP(A65,'Données projet'!$A$35:$I$55,4,0)),0,VLOOKUP(A65,'Données projet'!$A$35:$I$55,4,0))</f>
        <v>66.019999999999982</v>
      </c>
      <c r="W65" s="16">
        <f>IF(ISNA(VLOOKUP(A65,'Données projet'!$A$35:$I$55,5,0)),0%,VLOOKUP(A65,'Données projet'!$A$35:$I$55,5,0)*VLOOKUP('Données projet'!$B$9,Paramètres!$A$1:$I$89,7,0))</f>
        <v>0.33</v>
      </c>
      <c r="X65" s="16">
        <f>IF(ISNA(VLOOKUP(A65,'Données projet'!$A$35:$I$55,6,0)),0%,VLOOKUP(A65,'Données projet'!$A$35:$I$55,6,0)*VLOOKUP('Données projet'!$B$9,Paramètres!$A$1:$I$89,7,0))</f>
        <v>0.11000000000000001</v>
      </c>
      <c r="Y65" s="16">
        <f>IF(ISNA(VLOOKUP(A65,'Données projet'!$A$35:$I$55,7,0)),0%,VLOOKUP(A65,'Données projet'!$A$35:$I$55,7,0))</f>
        <v>0.2</v>
      </c>
      <c r="Z65" s="21">
        <f>EXP(-LN(2)/35)*Z64+(1-EXP(-LN(2)/35))/(LN(2)/35)*V65*W65*VLOOKUP('Données projet'!$B$9,Paramètres!$A$1:$I$89,3,0)*0.475*44/12</f>
        <v>39.057502496744583</v>
      </c>
      <c r="AA65" s="21">
        <f>EXP(-LN(2)/25)*AA64+(1-EXP(-LN(2)/25))/(LN(2)/25)*Calculateur!V65*Calculateur!X65*VLOOKUP('Données projet'!$B$9,Paramètres!$A$1:$I$89,3,0)*0.475*44/12</f>
        <v>22.100994105211637</v>
      </c>
      <c r="AB65" s="21">
        <f>EXP(-LN(2)/2)*AB64+(1-EXP(-LN(2)/2))/(LN(2)/2)*V65*Y65*VLOOKUP('Données projet'!$B$9,Paramètres!$A$1:$I$89,3,0)*0.475*44/12</f>
        <v>8.6248214047803025</v>
      </c>
      <c r="AC65" s="22">
        <f t="shared" si="3"/>
        <v>69.783318006736522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0</v>
      </c>
      <c r="AI65" s="13">
        <f>IF('Données projet'!$A$62&gt;35,AI64+AH65-AQ64,IF(A65&lt;'Données projet'!$A$62,$AF$205^A65,IF(A65='Données projet'!$A$62,'Données projet'!$B$62,AI64+AH65-AQ64)))</f>
        <v>0</v>
      </c>
      <c r="AJ65" s="13">
        <f>AI65*VLOOKUP('Données projet'!$B$10,Paramètres!$A$1:$I$89,3,0)*VLOOKUP('Données projet'!$B$10,Paramètres!$A$1:$I$89,5,0)</f>
        <v>0</v>
      </c>
      <c r="AK65" s="13" t="e">
        <f t="shared" si="35"/>
        <v>#NUM!</v>
      </c>
      <c r="AL65" s="20" t="e">
        <f t="shared" si="4"/>
        <v>#NUM!</v>
      </c>
      <c r="AM65" s="59" t="e">
        <f t="shared" si="5"/>
        <v>#NUM!</v>
      </c>
      <c r="AN65" s="59">
        <f ca="1">AVERAGE(OFFSET($AM$3,0,0,'Données projet'!$E$10+1,1))-AVERAGE(OFFSET($H$3,0,0,'Données projet'!$E$10+1,1))</f>
        <v>179.4725256147085</v>
      </c>
      <c r="AO65" s="59">
        <f t="shared" si="36"/>
        <v>282.16750121151176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138.77916546961043</v>
      </c>
      <c r="AV65" s="21">
        <f>EXP(-LN(2)/25)*AV64+(1-EXP(-LN(2)/25))/(LN(2)/25)*Calculateur!AQ65*Calculateur!AS65*VLOOKUP('Données projet'!$B$10,Paramètres!$A$1:$I$89,3,0)*0.475*44/12</f>
        <v>46.227143378467446</v>
      </c>
      <c r="AW65" s="21">
        <f>EXP(-LN(2)/2)*AW64+(1-EXP(-LN(2)/2))/(LN(2)/2)*AQ65*AT65*VLOOKUP('Données projet'!$B$10,Paramètres!$A$1:$I$89,3,0)*0.475*44/12</f>
        <v>21.560198937362028</v>
      </c>
      <c r="AX65" s="21">
        <f t="shared" si="6"/>
        <v>206.56650778543991</v>
      </c>
      <c r="AY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11.016666666666667</v>
      </c>
      <c r="BD65" s="12">
        <f>IF('Données projet'!$A$88&gt;35,BD64+BC65-BL64,IF(A65&lt;'Données projet'!$A$88,$BA$205^A65,IF(A65='Données projet'!$A$88,'Données projet'!$B$88,BD64+BC65-BL64)))</f>
        <v>210.56333333333365</v>
      </c>
      <c r="BE65" s="13">
        <f>BD65*VLOOKUP('Données projet'!$B$11,Paramètres!$A$1:$I$89,3,0)*VLOOKUP('Données projet'!$B$11,Paramètres!$A$1:$I$89,5,0)</f>
        <v>180.66334000000029</v>
      </c>
      <c r="BF65" s="13">
        <f t="shared" si="37"/>
        <v>45.46973548542649</v>
      </c>
      <c r="BG65" s="20">
        <f t="shared" si="7"/>
        <v>393.84843980378497</v>
      </c>
      <c r="BH65" s="59">
        <f t="shared" si="8"/>
        <v>687.18177313711828</v>
      </c>
      <c r="BI65" s="59">
        <f ca="1">AVERAGE(OFFSET($BH$3,0,0,'Données projet'!$E$11+1,1))-AVERAGE(OFFSET($H$3,0,0,'Données projet'!$E$11+1,1))</f>
        <v>312.89478437044261</v>
      </c>
      <c r="BJ65" s="59">
        <f t="shared" si="38"/>
        <v>276.16555507854571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>
        <f>EXP(-LN(2)/35)*BP64+(1-EXP(-LN(2)/35))/(LN(2)/35)*BL65*BM65*VLOOKUP('Données projet'!$B$11,Paramètres!$A$1:$I$89,3,0)*0.475*44/12</f>
        <v>0</v>
      </c>
      <c r="BQ65" s="21">
        <f>EXP(-LN(2)/25)*BQ64+(1-EXP(-LN(2)/25))/(LN(2)/25)*Calculateur!BL65*Calculateur!BN65*VLOOKUP('Données projet'!$B$11,Paramètres!$A$1:$I$89,3,0)*0.475*44/12</f>
        <v>32.222027856844988</v>
      </c>
      <c r="BR65" s="21">
        <f>EXP(-LN(2)/2)*BR64+(1-EXP(-LN(2)/2))/(LN(2)/2)*BL65*BO65*VLOOKUP('Données projet'!$B$11,Paramètres!$A$1:$I$89,3,0)*0.475*44/12</f>
        <v>10.578608628651999</v>
      </c>
      <c r="BS65" s="22">
        <f t="shared" si="9"/>
        <v>42.800636485496987</v>
      </c>
      <c r="BT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0</v>
      </c>
      <c r="BY65" s="12">
        <f>IF('Données projet'!$A$114&gt;35,BY64+BX65-CG64,IF(A65&lt;'Données projet'!$A$114,$BV$205^A65,IF(A65='Données projet'!$A$114,'Données projet'!$B$114,BY64+BX65-CG64)))</f>
        <v>0</v>
      </c>
      <c r="BZ65" s="13" t="e">
        <f>BY65*VLOOKUP('Données projet'!$B$12,Paramètres!$A$1:$I$89,3,0)*VLOOKUP('Données projet'!$B$12,Paramètres!$A$1:$I$89,5,0)</f>
        <v>#N/A</v>
      </c>
      <c r="CA65" s="13" t="e">
        <f t="shared" si="39"/>
        <v>#N/A</v>
      </c>
      <c r="CB65" s="20" t="e">
        <f t="shared" si="10"/>
        <v>#N/A</v>
      </c>
      <c r="CC65" s="59" t="e">
        <f t="shared" si="11"/>
        <v>#N/A</v>
      </c>
      <c r="CD65" s="59" t="e">
        <f ca="1">AVERAGE(OFFSET($CC$3,0,0,'Données projet'!$E$12+1,1))-AVERAGE(OFFSET($H$3,0,0,'Données projet'!$E$12+1,1))</f>
        <v>#N/A</v>
      </c>
      <c r="CE65" s="59" t="e">
        <f t="shared" si="40"/>
        <v>#N/A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 t="e">
        <f>EXP(-LN(2)/35)*CK64+(1-EXP(-LN(2)/35))/(LN(2)/35)*CG65*CH65*VLOOKUP('Données projet'!$B$12,Paramètres!$A$1:$I$89,3,0)*0.475*44/12</f>
        <v>#N/A</v>
      </c>
      <c r="CL65" s="21" t="e">
        <f>EXP(-LN(2)/25)*CL64+(1-EXP(-LN(2)/25))/(LN(2)/25)*Calculateur!CG65*Calculateur!CI65*VLOOKUP('Données projet'!$B$12,Paramètres!$A$1:$I$89,3,0)*0.475*44/12</f>
        <v>#N/A</v>
      </c>
      <c r="CM65" s="21" t="e">
        <f>EXP(-LN(2)/2)*CM64+(1-EXP(-LN(2)/2))/(LN(2)/2)*CG65*CJ65*VLOOKUP('Données projet'!$B$12,Paramètres!$A$1:$I$89,3,0)*0.475*44/12</f>
        <v>#N/A</v>
      </c>
      <c r="CN65" s="22" t="e">
        <f t="shared" si="12"/>
        <v>#N/A</v>
      </c>
      <c r="CO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0</v>
      </c>
      <c r="CT65" s="12">
        <f>IF('Données projet'!$A$140&gt;35,CT64+CS65-DB64,IF(A65&lt;'Données projet'!$A$140,$CQ$205^A65,IF(A65='Données projet'!$A$140,'Données projet'!$B$140,CT64+CS65-DB64)))</f>
        <v>0</v>
      </c>
      <c r="CU65" s="17" t="e">
        <f>CT65*VLOOKUP('Données projet'!$B$13,Paramètres!$A$1:$I$89,3,0)*VLOOKUP('Données projet'!$B$13,Paramètres!$A$1:$I$89,5,0)</f>
        <v>#N/A</v>
      </c>
      <c r="CV65" s="13" t="e">
        <f t="shared" si="41"/>
        <v>#N/A</v>
      </c>
      <c r="CW65" s="20" t="e">
        <f t="shared" si="13"/>
        <v>#N/A</v>
      </c>
      <c r="CX65" s="59" t="e">
        <f t="shared" si="14"/>
        <v>#N/A</v>
      </c>
      <c r="CY65" s="59" t="e">
        <f ca="1">AVERAGE(OFFSET($CX$3,0,0,'Données projet'!$E$13+1,1))-AVERAGE(OFFSET($H$3,0,0,'Données projet'!$E$13+1,1))</f>
        <v>#N/A</v>
      </c>
      <c r="CZ65" s="59" t="e">
        <f t="shared" si="42"/>
        <v>#N/A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 t="e">
        <f>EXP(-LN(2)/35)*DF64+(1-EXP(-LN(2)/35))/(LN(2)/35)*DB65*DC65*VLOOKUP('Données projet'!$B$13,Paramètres!$A$1:$I$89,3,0)*0.475*44/12</f>
        <v>#N/A</v>
      </c>
      <c r="DG65" s="21" t="e">
        <f>EXP(-LN(2)/25)*DG64+(1-EXP(-LN(2)/25))/(LN(2)/25)*Calculateur!DB65*Calculateur!DD65*VLOOKUP('Données projet'!$B$13,Paramètres!$A$1:$I$89,3,0)*0.475*44/12</f>
        <v>#N/A</v>
      </c>
      <c r="DH65" s="21" t="e">
        <f>EXP(-LN(2)/2)*DH64+(1-EXP(-LN(2)/2))/(LN(2)/2)*DB65*DE65*VLOOKUP('Données projet'!$B$13,Paramètres!$A$1:$I$89,3,0)*0.475*44/12</f>
        <v>#N/A</v>
      </c>
      <c r="DI65" s="22" t="e">
        <f t="shared" si="15"/>
        <v>#N/A</v>
      </c>
      <c r="DJ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0</v>
      </c>
      <c r="DO65" s="12">
        <f>IF('Données projet'!$A$166&gt;35,DO64+DN65-DW64,IF(A65&lt;'Données projet'!$A$166,$DL$205^A65,IF(A65='Données projet'!$A$166,'Données projet'!$B$166,DO64+DN65-DW64)))</f>
        <v>0</v>
      </c>
      <c r="DP65" s="17" t="e">
        <f>DO65*VLOOKUP('Données projet'!$B$14,Paramètres!$A$1:$I$89,3,0)*VLOOKUP('Données projet'!$B$14,Paramètres!$A$1:$I$89,5,0)</f>
        <v>#N/A</v>
      </c>
      <c r="DQ65" s="13" t="e">
        <f t="shared" si="43"/>
        <v>#N/A</v>
      </c>
      <c r="DR65" s="20" t="e">
        <f t="shared" si="16"/>
        <v>#N/A</v>
      </c>
      <c r="DS65" s="59" t="e">
        <f t="shared" si="17"/>
        <v>#N/A</v>
      </c>
      <c r="DT65" s="59" t="e">
        <f ca="1">AVERAGE(OFFSET($DS$3,0,0,'Données projet'!$E$14+1,1))-AVERAGE(OFFSET($H$3,0,0,'Données projet'!$E$14+1,1))</f>
        <v>#N/A</v>
      </c>
      <c r="DU65" s="59" t="e">
        <f t="shared" si="44"/>
        <v>#N/A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 t="e">
        <f>EXP(-LN(2)/35)*EA64+(1-EXP(-LN(2)/35))/(LN(2)/35)*DW65*DX65*VLOOKUP('Données projet'!$B$14,Paramètres!$A$1:$I$89,3,0)*0.475*44/12</f>
        <v>#N/A</v>
      </c>
      <c r="EB65" s="21" t="e">
        <f>EXP(-LN(2)/25)*EB64+(1-EXP(-LN(2)/25))/(LN(2)/25)*Calculateur!DW65*Calculateur!DY65*VLOOKUP('Données projet'!$B$14,Paramètres!$A$1:$I$89,3,0)*0.475*44/12</f>
        <v>#N/A</v>
      </c>
      <c r="EC65" s="21" t="e">
        <f>EXP(-LN(2)/2)*EC64+(1-EXP(-LN(2)/2))/(LN(2)/2)*DW65*DZ65*VLOOKUP('Données projet'!$B$14,Paramètres!$A$1:$I$89,3,0)*0.475*44/12</f>
        <v>#N/A</v>
      </c>
      <c r="ED65" s="22" t="e">
        <f t="shared" si="18"/>
        <v>#N/A</v>
      </c>
      <c r="EE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0</v>
      </c>
      <c r="EJ65" s="12">
        <f>IF('Données projet'!$A$192&gt;35,EJ64+EI65-ER64,IF(A65&lt;'Données projet'!$A$192,$EG$205^A65,IF(A65='Données projet'!$A$192,'Données projet'!$B$192,EJ64+EI65-ER64)))</f>
        <v>0</v>
      </c>
      <c r="EK65" s="17" t="e">
        <f>EJ65*VLOOKUP('Données projet'!$B$15,Paramètres!$A$1:$I$89,3,0)*VLOOKUP('Données projet'!$B$15,Paramètres!$A$1:$I$89,5,0)</f>
        <v>#N/A</v>
      </c>
      <c r="EL65" s="13" t="e">
        <f t="shared" si="45"/>
        <v>#N/A</v>
      </c>
      <c r="EM65" s="20" t="e">
        <f t="shared" si="19"/>
        <v>#N/A</v>
      </c>
      <c r="EN65" s="59" t="e">
        <f t="shared" si="20"/>
        <v>#N/A</v>
      </c>
      <c r="EO65" s="59" t="e">
        <f ca="1">AVERAGE(OFFSET($EN$3,0,0,'Données projet'!$E$15+1,1))-AVERAGE(OFFSET($H$3,0,0,'Données projet'!$E$15+1,1))</f>
        <v>#N/A</v>
      </c>
      <c r="EP65" s="59" t="e">
        <f t="shared" si="46"/>
        <v>#N/A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 t="e">
        <f>EXP(-LN(2)/35)*EV64+(1-EXP(-LN(2)/35))/(LN(2)/35)*ER65*ES65*VLOOKUP('Données projet'!$B$15,Paramètres!$A$1:$I$89,3,0)*0.475*44/12</f>
        <v>#N/A</v>
      </c>
      <c r="EW65" s="21" t="e">
        <f>EXP(-LN(2)/25)*EW64+(1-EXP(-LN(2)/25))/(LN(2)/25)*Calculateur!ER65*Calculateur!ET65*VLOOKUP('Données projet'!$B$15,Paramètres!$A$1:$I$89,3,0)*0.475*44/12</f>
        <v>#N/A</v>
      </c>
      <c r="EX65" s="21" t="e">
        <f>EXP(-LN(2)/2)*EX64+(1-EXP(-LN(2)/2))/(LN(2)/2)*ER65*EU65*VLOOKUP('Données projet'!$B$15,Paramètres!$A$1:$I$89,3,0)*0.475*44/12</f>
        <v>#N/A</v>
      </c>
      <c r="EY65" s="22" t="e">
        <f t="shared" si="21"/>
        <v>#N/A</v>
      </c>
      <c r="EZ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45">
      <c r="A66" s="10">
        <f t="shared" si="31"/>
        <v>63</v>
      </c>
      <c r="B66" s="73">
        <f>'Scénario référence'!$B$16*5+'Scénario référence'!$B$17*0+'Scénario référence'!$B$18*5</f>
        <v>0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56.019600000000054</v>
      </c>
      <c r="D66" s="11">
        <f t="shared" si="32"/>
        <v>16.157913987449295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">
        <f>IF(OR('Scénario référence'!$F$8&gt;0,'Scénario référence'!$F$9&gt;0),('Scénario référence'!$F$8+'Scénario référence'!$F$9)*10,0)</f>
        <v>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557.15975709610018</v>
      </c>
      <c r="H66" s="67">
        <f t="shared" si="1"/>
        <v>382.37583686147428</v>
      </c>
      <c r="I66" s="7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10.513</v>
      </c>
      <c r="N66" s="13">
        <f>IF('Données projet'!$A$36&gt;35,N65+M66-V65,IF(A66&lt;'Données projet'!$A$36,$K$205^A66,IF(A66='Données projet'!$A$36,'Données projet'!$B$36,N65+M66-V65)))</f>
        <v>357.73300000000006</v>
      </c>
      <c r="O66" s="13">
        <f>N66*VLOOKUP('Données projet'!$B$9,Paramètres!$A$1:$I$89,3,0)*VLOOKUP('Données projet'!$B$9,Paramètres!$A$1:$I$89,5,0)</f>
        <v>199.97274700000003</v>
      </c>
      <c r="P66" s="13">
        <f t="shared" si="33"/>
        <v>49.738178293347474</v>
      </c>
      <c r="Q66" s="20">
        <f t="shared" si="53"/>
        <v>434.91319488591353</v>
      </c>
      <c r="R66" s="59">
        <f t="shared" si="0"/>
        <v>728.24652821924678</v>
      </c>
      <c r="S66" s="59">
        <f ca="1">AVERAGE(OFFSET($R$3,0,0,'Données projet'!$E$9+1,1))-AVERAGE(OFFSET($H$3,0,0,'Données projet'!$E$9+1,1))</f>
        <v>280.69347314340195</v>
      </c>
      <c r="T66" s="59">
        <f t="shared" si="34"/>
        <v>152.40533828556482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38.291608695507648</v>
      </c>
      <c r="AA66" s="21">
        <f>EXP(-LN(2)/25)*AA65+(1-EXP(-LN(2)/25))/(LN(2)/25)*Calculateur!V66*Calculateur!X66*VLOOKUP('Données projet'!$B$9,Paramètres!$A$1:$I$89,3,0)*0.475*44/12</f>
        <v>21.496641259163859</v>
      </c>
      <c r="AB66" s="21">
        <f>EXP(-LN(2)/2)*AB65+(1-EXP(-LN(2)/2))/(LN(2)/2)*V66*Y66*VLOOKUP('Données projet'!$B$9,Paramètres!$A$1:$I$89,3,0)*0.475*44/12</f>
        <v>6.0986697018430371</v>
      </c>
      <c r="AC66" s="22">
        <f t="shared" si="3"/>
        <v>65.88691965651455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0</v>
      </c>
      <c r="AI66" s="13">
        <f>IF('Données projet'!$A$62&gt;35,AI65+AH66-AQ65,IF(A66&lt;'Données projet'!$A$62,$AF$205^A66,IF(A66='Données projet'!$A$62,'Données projet'!$B$62,AI65+AH66-AQ65)))</f>
        <v>0</v>
      </c>
      <c r="AJ66" s="13">
        <f>AI66*VLOOKUP('Données projet'!$B$10,Paramètres!$A$1:$I$89,3,0)*VLOOKUP('Données projet'!$B$10,Paramètres!$A$1:$I$89,5,0)</f>
        <v>0</v>
      </c>
      <c r="AK66" s="13" t="e">
        <f t="shared" si="35"/>
        <v>#NUM!</v>
      </c>
      <c r="AL66" s="20" t="e">
        <f t="shared" si="4"/>
        <v>#NUM!</v>
      </c>
      <c r="AM66" s="59" t="e">
        <f t="shared" si="5"/>
        <v>#NUM!</v>
      </c>
      <c r="AN66" s="59">
        <f ca="1">AVERAGE(OFFSET($AM$3,0,0,'Données projet'!$E$10+1,1))-AVERAGE(OFFSET($H$3,0,0,'Données projet'!$E$10+1,1))</f>
        <v>179.4725256147085</v>
      </c>
      <c r="AO66" s="59">
        <f t="shared" si="36"/>
        <v>282.16750121151176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136.05779068168411</v>
      </c>
      <c r="AV66" s="21">
        <f>EXP(-LN(2)/25)*AV65+(1-EXP(-LN(2)/25))/(LN(2)/25)*Calculateur!AQ66*Calculateur!AS66*VLOOKUP('Données projet'!$B$10,Paramètres!$A$1:$I$89,3,0)*0.475*44/12</f>
        <v>44.963059711803439</v>
      </c>
      <c r="AW66" s="21">
        <f>EXP(-LN(2)/2)*AW65+(1-EXP(-LN(2)/2))/(LN(2)/2)*AQ66*AT66*VLOOKUP('Données projet'!$B$10,Paramètres!$A$1:$I$89,3,0)*0.475*44/12</f>
        <v>15.245362872339687</v>
      </c>
      <c r="AX66" s="21">
        <f t="shared" si="6"/>
        <v>196.26621326582722</v>
      </c>
      <c r="AY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11.016666666666667</v>
      </c>
      <c r="BD66" s="12">
        <f>IF('Données projet'!$A$88&gt;35,BD65+BC66-BL65,IF(A66&lt;'Données projet'!$A$88,$BA$205^A66,IF(A66='Données projet'!$A$88,'Données projet'!$B$88,BD65+BC66-BL65)))</f>
        <v>221.58000000000033</v>
      </c>
      <c r="BE66" s="13">
        <f>BD66*VLOOKUP('Données projet'!$B$11,Paramètres!$A$1:$I$89,3,0)*VLOOKUP('Données projet'!$B$11,Paramètres!$A$1:$I$89,5,0)</f>
        <v>190.1156400000003</v>
      </c>
      <c r="BF66" s="13">
        <f t="shared" si="37"/>
        <v>47.565518307930859</v>
      </c>
      <c r="BG66" s="20">
        <f t="shared" si="7"/>
        <v>413.96135071964676</v>
      </c>
      <c r="BH66" s="59">
        <f t="shared" si="8"/>
        <v>707.29468405298007</v>
      </c>
      <c r="BI66" s="59">
        <f ca="1">AVERAGE(OFFSET($BH$3,0,0,'Données projet'!$E$11+1,1))-AVERAGE(OFFSET($H$3,0,0,'Données projet'!$E$11+1,1))</f>
        <v>312.89478437044261</v>
      </c>
      <c r="BJ66" s="59">
        <f t="shared" si="38"/>
        <v>276.16555507854571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>
        <f>EXP(-LN(2)/35)*BP65+(1-EXP(-LN(2)/35))/(LN(2)/35)*BL66*BM66*VLOOKUP('Données projet'!$B$11,Paramètres!$A$1:$I$89,3,0)*0.475*44/12</f>
        <v>0</v>
      </c>
      <c r="BQ66" s="21">
        <f>EXP(-LN(2)/25)*BQ65+(1-EXP(-LN(2)/25))/(LN(2)/25)*Calculateur!BL66*Calculateur!BN66*VLOOKUP('Données projet'!$B$11,Paramètres!$A$1:$I$89,3,0)*0.475*44/12</f>
        <v>31.340914810616763</v>
      </c>
      <c r="BR66" s="21">
        <f>EXP(-LN(2)/2)*BR65+(1-EXP(-LN(2)/2))/(LN(2)/2)*BL66*BO66*VLOOKUP('Données projet'!$B$11,Paramètres!$A$1:$I$89,3,0)*0.475*44/12</f>
        <v>7.4802058968383527</v>
      </c>
      <c r="BS66" s="22">
        <f t="shared" si="9"/>
        <v>38.821120707455115</v>
      </c>
      <c r="BT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0</v>
      </c>
      <c r="BY66" s="12">
        <f>IF('Données projet'!$A$114&gt;35,BY65+BX66-CG65,IF(A66&lt;'Données projet'!$A$114,$BV$205^A66,IF(A66='Données projet'!$A$114,'Données projet'!$B$114,BY65+BX66-CG65)))</f>
        <v>0</v>
      </c>
      <c r="BZ66" s="13" t="e">
        <f>BY66*VLOOKUP('Données projet'!$B$12,Paramètres!$A$1:$I$89,3,0)*VLOOKUP('Données projet'!$B$12,Paramètres!$A$1:$I$89,5,0)</f>
        <v>#N/A</v>
      </c>
      <c r="CA66" s="13" t="e">
        <f t="shared" si="39"/>
        <v>#N/A</v>
      </c>
      <c r="CB66" s="20" t="e">
        <f t="shared" si="10"/>
        <v>#N/A</v>
      </c>
      <c r="CC66" s="59" t="e">
        <f t="shared" si="11"/>
        <v>#N/A</v>
      </c>
      <c r="CD66" s="59" t="e">
        <f ca="1">AVERAGE(OFFSET($CC$3,0,0,'Données projet'!$E$12+1,1))-AVERAGE(OFFSET($H$3,0,0,'Données projet'!$E$12+1,1))</f>
        <v>#N/A</v>
      </c>
      <c r="CE66" s="59" t="e">
        <f t="shared" si="40"/>
        <v>#N/A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 t="e">
        <f>EXP(-LN(2)/35)*CK65+(1-EXP(-LN(2)/35))/(LN(2)/35)*CG66*CH66*VLOOKUP('Données projet'!$B$12,Paramètres!$A$1:$I$89,3,0)*0.475*44/12</f>
        <v>#N/A</v>
      </c>
      <c r="CL66" s="21" t="e">
        <f>EXP(-LN(2)/25)*CL65+(1-EXP(-LN(2)/25))/(LN(2)/25)*Calculateur!CG66*Calculateur!CI66*VLOOKUP('Données projet'!$B$12,Paramètres!$A$1:$I$89,3,0)*0.475*44/12</f>
        <v>#N/A</v>
      </c>
      <c r="CM66" s="21" t="e">
        <f>EXP(-LN(2)/2)*CM65+(1-EXP(-LN(2)/2))/(LN(2)/2)*CG66*CJ66*VLOOKUP('Données projet'!$B$12,Paramètres!$A$1:$I$89,3,0)*0.475*44/12</f>
        <v>#N/A</v>
      </c>
      <c r="CN66" s="22" t="e">
        <f t="shared" si="12"/>
        <v>#N/A</v>
      </c>
      <c r="CO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0</v>
      </c>
      <c r="CT66" s="12">
        <f>IF('Données projet'!$A$140&gt;35,CT65+CS66-DB65,IF(A66&lt;'Données projet'!$A$140,$CQ$205^A66,IF(A66='Données projet'!$A$140,'Données projet'!$B$140,CT65+CS66-DB65)))</f>
        <v>0</v>
      </c>
      <c r="CU66" s="17" t="e">
        <f>CT66*VLOOKUP('Données projet'!$B$13,Paramètres!$A$1:$I$89,3,0)*VLOOKUP('Données projet'!$B$13,Paramètres!$A$1:$I$89,5,0)</f>
        <v>#N/A</v>
      </c>
      <c r="CV66" s="13" t="e">
        <f t="shared" si="41"/>
        <v>#N/A</v>
      </c>
      <c r="CW66" s="20" t="e">
        <f t="shared" si="13"/>
        <v>#N/A</v>
      </c>
      <c r="CX66" s="59" t="e">
        <f t="shared" si="14"/>
        <v>#N/A</v>
      </c>
      <c r="CY66" s="59" t="e">
        <f ca="1">AVERAGE(OFFSET($CX$3,0,0,'Données projet'!$E$13+1,1))-AVERAGE(OFFSET($H$3,0,0,'Données projet'!$E$13+1,1))</f>
        <v>#N/A</v>
      </c>
      <c r="CZ66" s="59" t="e">
        <f t="shared" si="42"/>
        <v>#N/A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 t="e">
        <f>EXP(-LN(2)/35)*DF65+(1-EXP(-LN(2)/35))/(LN(2)/35)*DB66*DC66*VLOOKUP('Données projet'!$B$13,Paramètres!$A$1:$I$89,3,0)*0.475*44/12</f>
        <v>#N/A</v>
      </c>
      <c r="DG66" s="21" t="e">
        <f>EXP(-LN(2)/25)*DG65+(1-EXP(-LN(2)/25))/(LN(2)/25)*Calculateur!DB66*Calculateur!DD66*VLOOKUP('Données projet'!$B$13,Paramètres!$A$1:$I$89,3,0)*0.475*44/12</f>
        <v>#N/A</v>
      </c>
      <c r="DH66" s="21" t="e">
        <f>EXP(-LN(2)/2)*DH65+(1-EXP(-LN(2)/2))/(LN(2)/2)*DB66*DE66*VLOOKUP('Données projet'!$B$13,Paramètres!$A$1:$I$89,3,0)*0.475*44/12</f>
        <v>#N/A</v>
      </c>
      <c r="DI66" s="22" t="e">
        <f t="shared" si="15"/>
        <v>#N/A</v>
      </c>
      <c r="DJ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0</v>
      </c>
      <c r="DO66" s="12">
        <f>IF('Données projet'!$A$166&gt;35,DO65+DN66-DW65,IF(A66&lt;'Données projet'!$A$166,$DL$205^A66,IF(A66='Données projet'!$A$166,'Données projet'!$B$166,DO65+DN66-DW65)))</f>
        <v>0</v>
      </c>
      <c r="DP66" s="17" t="e">
        <f>DO66*VLOOKUP('Données projet'!$B$14,Paramètres!$A$1:$I$89,3,0)*VLOOKUP('Données projet'!$B$14,Paramètres!$A$1:$I$89,5,0)</f>
        <v>#N/A</v>
      </c>
      <c r="DQ66" s="13" t="e">
        <f t="shared" si="43"/>
        <v>#N/A</v>
      </c>
      <c r="DR66" s="20" t="e">
        <f t="shared" si="16"/>
        <v>#N/A</v>
      </c>
      <c r="DS66" s="59" t="e">
        <f t="shared" si="17"/>
        <v>#N/A</v>
      </c>
      <c r="DT66" s="59" t="e">
        <f ca="1">AVERAGE(OFFSET($DS$3,0,0,'Données projet'!$E$14+1,1))-AVERAGE(OFFSET($H$3,0,0,'Données projet'!$E$14+1,1))</f>
        <v>#N/A</v>
      </c>
      <c r="DU66" s="59" t="e">
        <f t="shared" si="44"/>
        <v>#N/A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 t="e">
        <f>EXP(-LN(2)/35)*EA65+(1-EXP(-LN(2)/35))/(LN(2)/35)*DW66*DX66*VLOOKUP('Données projet'!$B$14,Paramètres!$A$1:$I$89,3,0)*0.475*44/12</f>
        <v>#N/A</v>
      </c>
      <c r="EB66" s="21" t="e">
        <f>EXP(-LN(2)/25)*EB65+(1-EXP(-LN(2)/25))/(LN(2)/25)*Calculateur!DW66*Calculateur!DY66*VLOOKUP('Données projet'!$B$14,Paramètres!$A$1:$I$89,3,0)*0.475*44/12</f>
        <v>#N/A</v>
      </c>
      <c r="EC66" s="21" t="e">
        <f>EXP(-LN(2)/2)*EC65+(1-EXP(-LN(2)/2))/(LN(2)/2)*DW66*DZ66*VLOOKUP('Données projet'!$B$14,Paramètres!$A$1:$I$89,3,0)*0.475*44/12</f>
        <v>#N/A</v>
      </c>
      <c r="ED66" s="22" t="e">
        <f t="shared" si="18"/>
        <v>#N/A</v>
      </c>
      <c r="EE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0</v>
      </c>
      <c r="EJ66" s="12">
        <f>IF('Données projet'!$A$192&gt;35,EJ65+EI66-ER65,IF(A66&lt;'Données projet'!$A$192,$EG$205^A66,IF(A66='Données projet'!$A$192,'Données projet'!$B$192,EJ65+EI66-ER65)))</f>
        <v>0</v>
      </c>
      <c r="EK66" s="17" t="e">
        <f>EJ66*VLOOKUP('Données projet'!$B$15,Paramètres!$A$1:$I$89,3,0)*VLOOKUP('Données projet'!$B$15,Paramètres!$A$1:$I$89,5,0)</f>
        <v>#N/A</v>
      </c>
      <c r="EL66" s="13" t="e">
        <f t="shared" si="45"/>
        <v>#N/A</v>
      </c>
      <c r="EM66" s="20" t="e">
        <f t="shared" si="19"/>
        <v>#N/A</v>
      </c>
      <c r="EN66" s="59" t="e">
        <f t="shared" si="20"/>
        <v>#N/A</v>
      </c>
      <c r="EO66" s="59" t="e">
        <f ca="1">AVERAGE(OFFSET($EN$3,0,0,'Données projet'!$E$15+1,1))-AVERAGE(OFFSET($H$3,0,0,'Données projet'!$E$15+1,1))</f>
        <v>#N/A</v>
      </c>
      <c r="EP66" s="59" t="e">
        <f t="shared" si="46"/>
        <v>#N/A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 t="e">
        <f>EXP(-LN(2)/35)*EV65+(1-EXP(-LN(2)/35))/(LN(2)/35)*ER66*ES66*VLOOKUP('Données projet'!$B$15,Paramètres!$A$1:$I$89,3,0)*0.475*44/12</f>
        <v>#N/A</v>
      </c>
      <c r="EW66" s="21" t="e">
        <f>EXP(-LN(2)/25)*EW65+(1-EXP(-LN(2)/25))/(LN(2)/25)*Calculateur!ER66*Calculateur!ET66*VLOOKUP('Données projet'!$B$15,Paramètres!$A$1:$I$89,3,0)*0.475*44/12</f>
        <v>#N/A</v>
      </c>
      <c r="EX66" s="21" t="e">
        <f>EXP(-LN(2)/2)*EX65+(1-EXP(-LN(2)/2))/(LN(2)/2)*ER66*EU66*VLOOKUP('Données projet'!$B$15,Paramètres!$A$1:$I$89,3,0)*0.475*44/12</f>
        <v>#N/A</v>
      </c>
      <c r="EY66" s="22" t="e">
        <f t="shared" si="21"/>
        <v>#N/A</v>
      </c>
      <c r="EZ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45">
      <c r="A67" s="10">
        <f t="shared" si="31"/>
        <v>64</v>
      </c>
      <c r="B67" s="73">
        <f>'Scénario référence'!$B$16*5+'Scénario référence'!$B$17*0+'Scénario référence'!$B$18*5</f>
        <v>0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56.908800000000056</v>
      </c>
      <c r="D67" s="11">
        <f t="shared" si="32"/>
        <v>16.384327014561212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">
        <f>IF(OR('Scénario référence'!$F$8&gt;0,'Scénario référence'!$F$9&gt;0),('Scénario référence'!$F$8+'Scénario référence'!$F$9)*10,0)</f>
        <v>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565.77150677906945</v>
      </c>
      <c r="H67" s="67">
        <f t="shared" si="1"/>
        <v>384.31886288369424</v>
      </c>
      <c r="I67" s="7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10.513</v>
      </c>
      <c r="N67" s="13">
        <f>IF('Données projet'!$A$36&gt;35,N66+M67-V66,IF(A67&lt;'Données projet'!$A$36,$K$205^A67,IF(A67='Données projet'!$A$36,'Données projet'!$B$36,N66+M67-V66)))</f>
        <v>368.24600000000004</v>
      </c>
      <c r="O67" s="13">
        <f>N67*VLOOKUP('Données projet'!$B$9,Paramètres!$A$1:$I$89,3,0)*VLOOKUP('Données projet'!$B$9,Paramètres!$A$1:$I$89,5,0)</f>
        <v>205.84951400000003</v>
      </c>
      <c r="P67" s="13">
        <f t="shared" si="33"/>
        <v>51.027549042876508</v>
      </c>
      <c r="Q67" s="20">
        <f t="shared" ref="Q67:Q98" si="54">(O67+P67)*0.475*44/12</f>
        <v>447.39421813300993</v>
      </c>
      <c r="R67" s="59">
        <f t="shared" ref="R67:R130" si="55">Q67+(I67+J67)*44/12</f>
        <v>740.72755146634324</v>
      </c>
      <c r="S67" s="59">
        <f ca="1">AVERAGE(OFFSET($R$3,0,0,'Données projet'!$E$9+1,1))-AVERAGE(OFFSET($H$3,0,0,'Données projet'!$E$9+1,1))</f>
        <v>280.69347314340195</v>
      </c>
      <c r="T67" s="59">
        <f t="shared" si="34"/>
        <v>152.40533828556482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37.540733604563876</v>
      </c>
      <c r="AA67" s="21">
        <f>EXP(-LN(2)/25)*AA66+(1-EXP(-LN(2)/25))/(LN(2)/25)*Calculateur!V67*Calculateur!X67*VLOOKUP('Données projet'!$B$9,Paramètres!$A$1:$I$89,3,0)*0.475*44/12</f>
        <v>20.908814473472791</v>
      </c>
      <c r="AB67" s="21">
        <f>EXP(-LN(2)/2)*AB66+(1-EXP(-LN(2)/2))/(LN(2)/2)*V67*Y67*VLOOKUP('Données projet'!$B$9,Paramètres!$A$1:$I$89,3,0)*0.475*44/12</f>
        <v>4.3124107023901521</v>
      </c>
      <c r="AC67" s="22">
        <f t="shared" si="3"/>
        <v>62.761958780426824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0</v>
      </c>
      <c r="AI67" s="13">
        <f>IF('Données projet'!$A$62&gt;35,AI66+AH67-AQ66,IF(A67&lt;'Données projet'!$A$62,$AF$205^A67,IF(A67='Données projet'!$A$62,'Données projet'!$B$62,AI66+AH67-AQ66)))</f>
        <v>0</v>
      </c>
      <c r="AJ67" s="13">
        <f>AI67*VLOOKUP('Données projet'!$B$10,Paramètres!$A$1:$I$89,3,0)*VLOOKUP('Données projet'!$B$10,Paramètres!$A$1:$I$89,5,0)</f>
        <v>0</v>
      </c>
      <c r="AK67" s="13" t="e">
        <f t="shared" si="35"/>
        <v>#NUM!</v>
      </c>
      <c r="AL67" s="20" t="e">
        <f t="shared" si="4"/>
        <v>#NUM!</v>
      </c>
      <c r="AM67" s="59" t="e">
        <f t="shared" si="5"/>
        <v>#NUM!</v>
      </c>
      <c r="AN67" s="59">
        <f ca="1">AVERAGE(OFFSET($AM$3,0,0,'Données projet'!$E$10+1,1))-AVERAGE(OFFSET($H$3,0,0,'Données projet'!$E$10+1,1))</f>
        <v>179.4725256147085</v>
      </c>
      <c r="AO67" s="59">
        <f t="shared" si="36"/>
        <v>282.16750121151176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133.3897803934743</v>
      </c>
      <c r="AV67" s="21">
        <f>EXP(-LN(2)/25)*AV66+(1-EXP(-LN(2)/25))/(LN(2)/25)*Calculateur!AQ67*Calculateur!AS67*VLOOKUP('Données projet'!$B$10,Paramètres!$A$1:$I$89,3,0)*0.475*44/12</f>
        <v>43.733542479479631</v>
      </c>
      <c r="AW67" s="21">
        <f>EXP(-LN(2)/2)*AW66+(1-EXP(-LN(2)/2))/(LN(2)/2)*AQ67*AT67*VLOOKUP('Données projet'!$B$10,Paramètres!$A$1:$I$89,3,0)*0.475*44/12</f>
        <v>10.780099468681016</v>
      </c>
      <c r="AX67" s="21">
        <f t="shared" si="6"/>
        <v>187.90342234163495</v>
      </c>
      <c r="AY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11.016666666666667</v>
      </c>
      <c r="BD67" s="12">
        <f>IF('Données projet'!$A$88&gt;35,BD66+BC67-BL66,IF(A67&lt;'Données projet'!$A$88,$BA$205^A67,IF(A67='Données projet'!$A$88,'Données projet'!$B$88,BD66+BC67-BL66)))</f>
        <v>232.59666666666701</v>
      </c>
      <c r="BE67" s="13">
        <f>BD67*VLOOKUP('Données projet'!$B$11,Paramètres!$A$1:$I$89,3,0)*VLOOKUP('Données projet'!$B$11,Paramètres!$A$1:$I$89,5,0)</f>
        <v>199.56794000000033</v>
      </c>
      <c r="BF67" s="13">
        <f t="shared" si="37"/>
        <v>49.649202066451238</v>
      </c>
      <c r="BG67" s="20">
        <f t="shared" si="7"/>
        <v>434.05318909906981</v>
      </c>
      <c r="BH67" s="59">
        <f t="shared" si="8"/>
        <v>727.38652243240313</v>
      </c>
      <c r="BI67" s="59">
        <f ca="1">AVERAGE(OFFSET($BH$3,0,0,'Données projet'!$E$11+1,1))-AVERAGE(OFFSET($H$3,0,0,'Données projet'!$E$11+1,1))</f>
        <v>312.89478437044261</v>
      </c>
      <c r="BJ67" s="59">
        <f t="shared" si="38"/>
        <v>276.16555507854571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>
        <f>EXP(-LN(2)/35)*BP66+(1-EXP(-LN(2)/35))/(LN(2)/35)*BL67*BM67*VLOOKUP('Données projet'!$B$11,Paramètres!$A$1:$I$89,3,0)*0.475*44/12</f>
        <v>0</v>
      </c>
      <c r="BQ67" s="21">
        <f>EXP(-LN(2)/25)*BQ66+(1-EXP(-LN(2)/25))/(LN(2)/25)*Calculateur!BL67*Calculateur!BN67*VLOOKUP('Données projet'!$B$11,Paramètres!$A$1:$I$89,3,0)*0.475*44/12</f>
        <v>30.483895846973368</v>
      </c>
      <c r="BR67" s="21">
        <f>EXP(-LN(2)/2)*BR66+(1-EXP(-LN(2)/2))/(LN(2)/2)*BL67*BO67*VLOOKUP('Données projet'!$B$11,Paramètres!$A$1:$I$89,3,0)*0.475*44/12</f>
        <v>5.2893043143259995</v>
      </c>
      <c r="BS67" s="22">
        <f t="shared" si="9"/>
        <v>35.773200161299371</v>
      </c>
      <c r="BT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0</v>
      </c>
      <c r="BY67" s="12">
        <f>IF('Données projet'!$A$114&gt;35,BY66+BX67-CG66,IF(A67&lt;'Données projet'!$A$114,$BV$205^A67,IF(A67='Données projet'!$A$114,'Données projet'!$B$114,BY66+BX67-CG66)))</f>
        <v>0</v>
      </c>
      <c r="BZ67" s="13" t="e">
        <f>BY67*VLOOKUP('Données projet'!$B$12,Paramètres!$A$1:$I$89,3,0)*VLOOKUP('Données projet'!$B$12,Paramètres!$A$1:$I$89,5,0)</f>
        <v>#N/A</v>
      </c>
      <c r="CA67" s="13" t="e">
        <f t="shared" si="39"/>
        <v>#N/A</v>
      </c>
      <c r="CB67" s="20" t="e">
        <f t="shared" si="10"/>
        <v>#N/A</v>
      </c>
      <c r="CC67" s="59" t="e">
        <f t="shared" si="11"/>
        <v>#N/A</v>
      </c>
      <c r="CD67" s="59" t="e">
        <f ca="1">AVERAGE(OFFSET($CC$3,0,0,'Données projet'!$E$12+1,1))-AVERAGE(OFFSET($H$3,0,0,'Données projet'!$E$12+1,1))</f>
        <v>#N/A</v>
      </c>
      <c r="CE67" s="59" t="e">
        <f t="shared" si="40"/>
        <v>#N/A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 t="e">
        <f>EXP(-LN(2)/35)*CK66+(1-EXP(-LN(2)/35))/(LN(2)/35)*CG67*CH67*VLOOKUP('Données projet'!$B$12,Paramètres!$A$1:$I$89,3,0)*0.475*44/12</f>
        <v>#N/A</v>
      </c>
      <c r="CL67" s="21" t="e">
        <f>EXP(-LN(2)/25)*CL66+(1-EXP(-LN(2)/25))/(LN(2)/25)*Calculateur!CG67*Calculateur!CI67*VLOOKUP('Données projet'!$B$12,Paramètres!$A$1:$I$89,3,0)*0.475*44/12</f>
        <v>#N/A</v>
      </c>
      <c r="CM67" s="21" t="e">
        <f>EXP(-LN(2)/2)*CM66+(1-EXP(-LN(2)/2))/(LN(2)/2)*CG67*CJ67*VLOOKUP('Données projet'!$B$12,Paramètres!$A$1:$I$89,3,0)*0.475*44/12</f>
        <v>#N/A</v>
      </c>
      <c r="CN67" s="22" t="e">
        <f t="shared" si="12"/>
        <v>#N/A</v>
      </c>
      <c r="CO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0</v>
      </c>
      <c r="CT67" s="12">
        <f>IF('Données projet'!$A$140&gt;35,CT66+CS67-DB66,IF(A67&lt;'Données projet'!$A$140,$CQ$205^A67,IF(A67='Données projet'!$A$140,'Données projet'!$B$140,CT66+CS67-DB66)))</f>
        <v>0</v>
      </c>
      <c r="CU67" s="17" t="e">
        <f>CT67*VLOOKUP('Données projet'!$B$13,Paramètres!$A$1:$I$89,3,0)*VLOOKUP('Données projet'!$B$13,Paramètres!$A$1:$I$89,5,0)</f>
        <v>#N/A</v>
      </c>
      <c r="CV67" s="13" t="e">
        <f t="shared" si="41"/>
        <v>#N/A</v>
      </c>
      <c r="CW67" s="20" t="e">
        <f t="shared" si="13"/>
        <v>#N/A</v>
      </c>
      <c r="CX67" s="59" t="e">
        <f t="shared" si="14"/>
        <v>#N/A</v>
      </c>
      <c r="CY67" s="59" t="e">
        <f ca="1">AVERAGE(OFFSET($CX$3,0,0,'Données projet'!$E$13+1,1))-AVERAGE(OFFSET($H$3,0,0,'Données projet'!$E$13+1,1))</f>
        <v>#N/A</v>
      </c>
      <c r="CZ67" s="59" t="e">
        <f t="shared" si="42"/>
        <v>#N/A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 t="e">
        <f>EXP(-LN(2)/35)*DF66+(1-EXP(-LN(2)/35))/(LN(2)/35)*DB67*DC67*VLOOKUP('Données projet'!$B$13,Paramètres!$A$1:$I$89,3,0)*0.475*44/12</f>
        <v>#N/A</v>
      </c>
      <c r="DG67" s="21" t="e">
        <f>EXP(-LN(2)/25)*DG66+(1-EXP(-LN(2)/25))/(LN(2)/25)*Calculateur!DB67*Calculateur!DD67*VLOOKUP('Données projet'!$B$13,Paramètres!$A$1:$I$89,3,0)*0.475*44/12</f>
        <v>#N/A</v>
      </c>
      <c r="DH67" s="21" t="e">
        <f>EXP(-LN(2)/2)*DH66+(1-EXP(-LN(2)/2))/(LN(2)/2)*DB67*DE67*VLOOKUP('Données projet'!$B$13,Paramètres!$A$1:$I$89,3,0)*0.475*44/12</f>
        <v>#N/A</v>
      </c>
      <c r="DI67" s="22" t="e">
        <f t="shared" si="15"/>
        <v>#N/A</v>
      </c>
      <c r="DJ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0</v>
      </c>
      <c r="DO67" s="12">
        <f>IF('Données projet'!$A$166&gt;35,DO66+DN67-DW66,IF(A67&lt;'Données projet'!$A$166,$DL$205^A67,IF(A67='Données projet'!$A$166,'Données projet'!$B$166,DO66+DN67-DW66)))</f>
        <v>0</v>
      </c>
      <c r="DP67" s="17" t="e">
        <f>DO67*VLOOKUP('Données projet'!$B$14,Paramètres!$A$1:$I$89,3,0)*VLOOKUP('Données projet'!$B$14,Paramètres!$A$1:$I$89,5,0)</f>
        <v>#N/A</v>
      </c>
      <c r="DQ67" s="13" t="e">
        <f t="shared" si="43"/>
        <v>#N/A</v>
      </c>
      <c r="DR67" s="20" t="e">
        <f t="shared" si="16"/>
        <v>#N/A</v>
      </c>
      <c r="DS67" s="59" t="e">
        <f t="shared" si="17"/>
        <v>#N/A</v>
      </c>
      <c r="DT67" s="59" t="e">
        <f ca="1">AVERAGE(OFFSET($DS$3,0,0,'Données projet'!$E$14+1,1))-AVERAGE(OFFSET($H$3,0,0,'Données projet'!$E$14+1,1))</f>
        <v>#N/A</v>
      </c>
      <c r="DU67" s="59" t="e">
        <f t="shared" si="44"/>
        <v>#N/A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 t="e">
        <f>EXP(-LN(2)/35)*EA66+(1-EXP(-LN(2)/35))/(LN(2)/35)*DW67*DX67*VLOOKUP('Données projet'!$B$14,Paramètres!$A$1:$I$89,3,0)*0.475*44/12</f>
        <v>#N/A</v>
      </c>
      <c r="EB67" s="21" t="e">
        <f>EXP(-LN(2)/25)*EB66+(1-EXP(-LN(2)/25))/(LN(2)/25)*Calculateur!DW67*Calculateur!DY67*VLOOKUP('Données projet'!$B$14,Paramètres!$A$1:$I$89,3,0)*0.475*44/12</f>
        <v>#N/A</v>
      </c>
      <c r="EC67" s="21" t="e">
        <f>EXP(-LN(2)/2)*EC66+(1-EXP(-LN(2)/2))/(LN(2)/2)*DW67*DZ67*VLOOKUP('Données projet'!$B$14,Paramètres!$A$1:$I$89,3,0)*0.475*44/12</f>
        <v>#N/A</v>
      </c>
      <c r="ED67" s="22" t="e">
        <f t="shared" si="18"/>
        <v>#N/A</v>
      </c>
      <c r="EE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0</v>
      </c>
      <c r="EJ67" s="12">
        <f>IF('Données projet'!$A$192&gt;35,EJ66+EI67-ER66,IF(A67&lt;'Données projet'!$A$192,$EG$205^A67,IF(A67='Données projet'!$A$192,'Données projet'!$B$192,EJ66+EI67-ER66)))</f>
        <v>0</v>
      </c>
      <c r="EK67" s="17" t="e">
        <f>EJ67*VLOOKUP('Données projet'!$B$15,Paramètres!$A$1:$I$89,3,0)*VLOOKUP('Données projet'!$B$15,Paramètres!$A$1:$I$89,5,0)</f>
        <v>#N/A</v>
      </c>
      <c r="EL67" s="13" t="e">
        <f t="shared" si="45"/>
        <v>#N/A</v>
      </c>
      <c r="EM67" s="20" t="e">
        <f t="shared" si="19"/>
        <v>#N/A</v>
      </c>
      <c r="EN67" s="59" t="e">
        <f t="shared" si="20"/>
        <v>#N/A</v>
      </c>
      <c r="EO67" s="59" t="e">
        <f ca="1">AVERAGE(OFFSET($EN$3,0,0,'Données projet'!$E$15+1,1))-AVERAGE(OFFSET($H$3,0,0,'Données projet'!$E$15+1,1))</f>
        <v>#N/A</v>
      </c>
      <c r="EP67" s="59" t="e">
        <f t="shared" si="46"/>
        <v>#N/A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 t="e">
        <f>EXP(-LN(2)/35)*EV66+(1-EXP(-LN(2)/35))/(LN(2)/35)*ER67*ES67*VLOOKUP('Données projet'!$B$15,Paramètres!$A$1:$I$89,3,0)*0.475*44/12</f>
        <v>#N/A</v>
      </c>
      <c r="EW67" s="21" t="e">
        <f>EXP(-LN(2)/25)*EW66+(1-EXP(-LN(2)/25))/(LN(2)/25)*Calculateur!ER67*Calculateur!ET67*VLOOKUP('Données projet'!$B$15,Paramètres!$A$1:$I$89,3,0)*0.475*44/12</f>
        <v>#N/A</v>
      </c>
      <c r="EX67" s="21" t="e">
        <f>EXP(-LN(2)/2)*EX66+(1-EXP(-LN(2)/2))/(LN(2)/2)*ER67*EU67*VLOOKUP('Données projet'!$B$15,Paramètres!$A$1:$I$89,3,0)*0.475*44/12</f>
        <v>#N/A</v>
      </c>
      <c r="EY67" s="22" t="e">
        <f t="shared" si="21"/>
        <v>#N/A</v>
      </c>
      <c r="EZ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9" t="e">
        <f t="shared" si="23"/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45">
      <c r="A68" s="10">
        <f t="shared" si="31"/>
        <v>65</v>
      </c>
      <c r="B68" s="73">
        <f>'Scénario référence'!$B$16*5+'Scénario référence'!$B$17*0+'Scénario référence'!$B$18*5</f>
        <v>0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57.798000000000059</v>
      </c>
      <c r="D68" s="11">
        <f t="shared" si="32"/>
        <v>16.610328609523005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">
        <f>IF(OR('Scénario référence'!$F$8&gt;0,'Scénario référence'!$F$9&gt;0),('Scénario référence'!$F$8+'Scénario référence'!$F$9)*10,0)</f>
        <v>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574.38008049456403</v>
      </c>
      <c r="H68" s="67">
        <f t="shared" ref="H68:H131" si="56">(B68+E68+F68)*44/12+(C68+D68)*0.475*44/12</f>
        <v>386.26117232825266</v>
      </c>
      <c r="I68" s="7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10.513</v>
      </c>
      <c r="N68" s="13">
        <f>IF('Données projet'!$A$36&gt;35,N67+M68-V67,IF(A68&lt;'Données projet'!$A$36,$K$205^A68,IF(A68='Données projet'!$A$36,'Données projet'!$B$36,N67+M68-V67)))</f>
        <v>378.75900000000001</v>
      </c>
      <c r="O68" s="13">
        <f>N68*VLOOKUP('Données projet'!$B$9,Paramètres!$A$1:$I$89,3,0)*VLOOKUP('Données projet'!$B$9,Paramètres!$A$1:$I$89,5,0)</f>
        <v>211.72628100000003</v>
      </c>
      <c r="P68" s="13">
        <f t="shared" si="33"/>
        <v>52.312641599511544</v>
      </c>
      <c r="Q68" s="20">
        <f t="shared" si="54"/>
        <v>459.86779019414934</v>
      </c>
      <c r="R68" s="59">
        <f t="shared" si="55"/>
        <v>753.20112352748265</v>
      </c>
      <c r="S68" s="59">
        <f ca="1">AVERAGE(OFFSET($R$3,0,0,'Données projet'!$E$9+1,1))-AVERAGE(OFFSET($H$3,0,0,'Données projet'!$E$9+1,1))</f>
        <v>280.69347314340195</v>
      </c>
      <c r="T68" s="59">
        <f t="shared" si="34"/>
        <v>152.40533828556482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36.80458271616493</v>
      </c>
      <c r="AA68" s="21">
        <f>EXP(-LN(2)/25)*AA67+(1-EXP(-LN(2)/25))/(LN(2)/25)*Calculateur!V68*Calculateur!X68*VLOOKUP('Données projet'!$B$9,Paramètres!$A$1:$I$89,3,0)*0.475*44/12</f>
        <v>20.337061842148913</v>
      </c>
      <c r="AB68" s="21">
        <f>EXP(-LN(2)/2)*AB67+(1-EXP(-LN(2)/2))/(LN(2)/2)*V68*Y68*VLOOKUP('Données projet'!$B$9,Paramètres!$A$1:$I$89,3,0)*0.475*44/12</f>
        <v>3.049334850921519</v>
      </c>
      <c r="AC68" s="22">
        <f t="shared" ref="AC68:AC131" si="57">SUM(Z68:AB68)</f>
        <v>60.190979409235361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 t="e">
        <f>VLOOKUP(A68,'Données projet'!$A$61:$I$81,2,0)</f>
        <v>#N/A</v>
      </c>
      <c r="AG68" s="12" t="e">
        <f>VLOOKUP(A68,'Données projet'!$A$61:$I$81,9,0)</f>
        <v>#N/A</v>
      </c>
      <c r="AH68" s="12">
        <f t="array" ref="AH68">INDEX(AG:AG,MIN(IF(ISNUMBER(AG68:AG264),ROW(AG68:AG264),"")))</f>
        <v>0</v>
      </c>
      <c r="AI68" s="13">
        <f>IF('Données projet'!$A$62&gt;35,AI67+AH68-AQ67,IF(A68&lt;'Données projet'!$A$62,$AF$205^A68,IF(A68='Données projet'!$A$62,'Données projet'!$B$62,AI67+AH68-AQ67)))</f>
        <v>0</v>
      </c>
      <c r="AJ68" s="13">
        <f>AI68*VLOOKUP('Données projet'!$B$10,Paramètres!$A$1:$I$89,3,0)*VLOOKUP('Données projet'!$B$10,Paramètres!$A$1:$I$89,5,0)</f>
        <v>0</v>
      </c>
      <c r="AK68" s="13" t="e">
        <f t="shared" si="35"/>
        <v>#NUM!</v>
      </c>
      <c r="AL68" s="20" t="e">
        <f t="shared" ref="AL68:AL131" si="58">(AJ68+AK68)*0.475*44/12</f>
        <v>#NUM!</v>
      </c>
      <c r="AM68" s="59" t="e">
        <f t="shared" ref="AM68:AM131" si="59">AL68+(AD68+AE68)*44/12</f>
        <v>#NUM!</v>
      </c>
      <c r="AN68" s="59">
        <f ca="1">AVERAGE(OFFSET($AM$3,0,0,'Données projet'!$E$10+1,1))-AVERAGE(OFFSET($H$3,0,0,'Données projet'!$E$10+1,1))</f>
        <v>179.4725256147085</v>
      </c>
      <c r="AO68" s="59">
        <f t="shared" si="36"/>
        <v>282.16750121151176</v>
      </c>
      <c r="AP68" s="15">
        <f>IF(ISNA(VLOOKUP(A68,'Données projet'!$A$61:$I$81,3,0)),0,VLOOKUP(A68,'Données projet'!$A$61:$I$81,3,0))</f>
        <v>0</v>
      </c>
      <c r="AQ68" s="15">
        <f>IF(ISNA(VLOOKUP(A68,'Données projet'!$A$61:$I$81,4,0)),0,VLOOKUP(A68,'Données projet'!$A$61:$I$81,4,0))</f>
        <v>0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>
        <f>EXP(-LN(2)/35)*AU67+(1-EXP(-LN(2)/35))/(LN(2)/35)*AQ68*AR68*VLOOKUP('Données projet'!$B$10,Paramètres!$A$1:$I$89,3,0)*0.475*44/12</f>
        <v>130.77408815969071</v>
      </c>
      <c r="AV68" s="21">
        <f>EXP(-LN(2)/25)*AV67+(1-EXP(-LN(2)/25))/(LN(2)/25)*Calculateur!AQ68*Calculateur!AS68*VLOOKUP('Données projet'!$B$10,Paramètres!$A$1:$I$89,3,0)*0.475*44/12</f>
        <v>42.537646460531214</v>
      </c>
      <c r="AW68" s="21">
        <f>EXP(-LN(2)/2)*AW67+(1-EXP(-LN(2)/2))/(LN(2)/2)*AQ68*AT68*VLOOKUP('Données projet'!$B$10,Paramètres!$A$1:$I$89,3,0)*0.475*44/12</f>
        <v>7.6226814361698443</v>
      </c>
      <c r="AX68" s="21">
        <f t="shared" ref="AX68:AX131" si="60">SUM(AU68:AW68)</f>
        <v>180.93441605639177</v>
      </c>
      <c r="AY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 t="e">
        <f>VLOOKUP(A68,'Données projet'!$A$87:$I$107,2,0)</f>
        <v>#N/A</v>
      </c>
      <c r="BB68" s="12" t="e">
        <f>VLOOKUP(A68,'Données projet'!$A$87:$I$107,9,0)</f>
        <v>#N/A</v>
      </c>
      <c r="BC68" s="12">
        <f t="array" ref="BC68">INDEX(BB:BB,MIN(IF(ISNUMBER(BB68:BB264),ROW(BB68:BB264),"")))</f>
        <v>11.016666666666667</v>
      </c>
      <c r="BD68" s="12">
        <f>IF('Données projet'!$A$88&gt;35,BD67+BC68-BL67,IF(A68&lt;'Données projet'!$A$88,$BA$205^A68,IF(A68='Données projet'!$A$88,'Données projet'!$B$88,BD67+BC68-BL67)))</f>
        <v>243.61333333333369</v>
      </c>
      <c r="BE68" s="13">
        <f>BD68*VLOOKUP('Données projet'!$B$11,Paramètres!$A$1:$I$89,3,0)*VLOOKUP('Données projet'!$B$11,Paramètres!$A$1:$I$89,5,0)</f>
        <v>209.02024000000031</v>
      </c>
      <c r="BF68" s="13">
        <f t="shared" si="37"/>
        <v>51.721425250793814</v>
      </c>
      <c r="BG68" s="20">
        <f t="shared" ref="BG68:BG131" si="61">(BE68+BF68)*0.475*44/12</f>
        <v>454.12506697846646</v>
      </c>
      <c r="BH68" s="59">
        <f t="shared" ref="BH68:BH131" si="62">BG68+(AY68+AZ68)*44/12</f>
        <v>747.45840031179978</v>
      </c>
      <c r="BI68" s="59">
        <f ca="1">AVERAGE(OFFSET($BH$3,0,0,'Données projet'!$E$11+1,1))-AVERAGE(OFFSET($H$3,0,0,'Données projet'!$E$11+1,1))</f>
        <v>312.89478437044261</v>
      </c>
      <c r="BJ68" s="59">
        <f t="shared" si="38"/>
        <v>276.16555507854571</v>
      </c>
      <c r="BK68" s="15">
        <f>IF(ISNA(VLOOKUP(A68,'Données projet'!$A$87:$I$107,3,0)),0,VLOOKUP(A68,'Données projet'!$A$87:$I$107,3,0))</f>
        <v>0</v>
      </c>
      <c r="BL68" s="15">
        <f>IF(ISNA(VLOOKUP(A68,'Données projet'!$A$87:$I$107,4,0)),0,VLOOKUP(A68,'Données projet'!$A$87:$I$107,4,0))</f>
        <v>0</v>
      </c>
      <c r="BM68" s="16">
        <f>IF(ISNA(VLOOKUP(A68,'Données projet'!$A$87:$I$107,5,0)),0%,VLOOKUP(A68,'Données projet'!$A$87:$I$107,5,0)*VLOOKUP('Données projet'!$B$11,Paramètres!$A$1:$I$89,7,0))</f>
        <v>0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>
        <f>EXP(-LN(2)/35)*BP67+(1-EXP(-LN(2)/35))/(LN(2)/35)*BL68*BM68*VLOOKUP('Données projet'!$B$11,Paramètres!$A$1:$I$89,3,0)*0.475*44/12</f>
        <v>0</v>
      </c>
      <c r="BQ68" s="21">
        <f>EXP(-LN(2)/25)*BQ67+(1-EXP(-LN(2)/25))/(LN(2)/25)*Calculateur!BL68*Calculateur!BN68*VLOOKUP('Données projet'!$B$11,Paramètres!$A$1:$I$89,3,0)*0.475*44/12</f>
        <v>29.650312111959472</v>
      </c>
      <c r="BR68" s="21">
        <f>EXP(-LN(2)/2)*BR67+(1-EXP(-LN(2)/2))/(LN(2)/2)*BL68*BO68*VLOOKUP('Données projet'!$B$11,Paramètres!$A$1:$I$89,3,0)*0.475*44/12</f>
        <v>3.7401029484191763</v>
      </c>
      <c r="BS68" s="22">
        <f t="shared" ref="BS68:BS131" si="63">SUM(BP68:BR68)</f>
        <v>33.39041506037865</v>
      </c>
      <c r="BT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 t="e">
        <f>VLOOKUP(A68,'Données projet'!$A$113:$I$133,2,0)</f>
        <v>#N/A</v>
      </c>
      <c r="BW68" s="12" t="e">
        <f>VLOOKUP(A68,'Données projet'!$A$113:$I$133,9,0)</f>
        <v>#N/A</v>
      </c>
      <c r="BX68" s="12">
        <f t="array" ref="BX68">INDEX(BW:BW,MIN(IF(ISNUMBER(BW68:BW264),ROW(BW68:BW264),"")))</f>
        <v>0</v>
      </c>
      <c r="BY68" s="12">
        <f>IF('Données projet'!$A$114&gt;35,BY67+BX68-CG67,IF(A68&lt;'Données projet'!$A$114,$BV$205^A68,IF(A68='Données projet'!$A$114,'Données projet'!$B$114,BY67+BX68-CG67)))</f>
        <v>0</v>
      </c>
      <c r="BZ68" s="13" t="e">
        <f>BY68*VLOOKUP('Données projet'!$B$12,Paramètres!$A$1:$I$89,3,0)*VLOOKUP('Données projet'!$B$12,Paramètres!$A$1:$I$89,5,0)</f>
        <v>#N/A</v>
      </c>
      <c r="CA68" s="13" t="e">
        <f t="shared" si="39"/>
        <v>#N/A</v>
      </c>
      <c r="CB68" s="20" t="e">
        <f t="shared" ref="CB68:CB131" si="64">(BZ68+CA68)*0.475*44/12</f>
        <v>#N/A</v>
      </c>
      <c r="CC68" s="59" t="e">
        <f t="shared" ref="CC68:CC131" si="65">CB68+(BT68+BU68)*44/12</f>
        <v>#N/A</v>
      </c>
      <c r="CD68" s="59" t="e">
        <f ca="1">AVERAGE(OFFSET($CC$3,0,0,'Données projet'!$E$12+1,1))-AVERAGE(OFFSET($H$3,0,0,'Données projet'!$E$12+1,1))</f>
        <v>#N/A</v>
      </c>
      <c r="CE68" s="59" t="e">
        <f t="shared" si="40"/>
        <v>#N/A</v>
      </c>
      <c r="CF68" s="15">
        <f>IF(ISNA(VLOOKUP(A68,'Données projet'!$A$113:$I$133,3,0)),0,VLOOKUP(A68,'Données projet'!$A$113:$I$133,3,0))</f>
        <v>0</v>
      </c>
      <c r="CG68" s="15">
        <f>IF(ISNA(VLOOKUP(A68,'Données projet'!$A$113:$I$133,4,0)),0,VLOOKUP(A68,'Données projet'!$A$113:$I$133,4,0))</f>
        <v>0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 t="e">
        <f>EXP(-LN(2)/35)*CK67+(1-EXP(-LN(2)/35))/(LN(2)/35)*CG68*CH68*VLOOKUP('Données projet'!$B$12,Paramètres!$A$1:$I$89,3,0)*0.475*44/12</f>
        <v>#N/A</v>
      </c>
      <c r="CL68" s="21" t="e">
        <f>EXP(-LN(2)/25)*CL67+(1-EXP(-LN(2)/25))/(LN(2)/25)*Calculateur!CG68*Calculateur!CI68*VLOOKUP('Données projet'!$B$12,Paramètres!$A$1:$I$89,3,0)*0.475*44/12</f>
        <v>#N/A</v>
      </c>
      <c r="CM68" s="21" t="e">
        <f>EXP(-LN(2)/2)*CM67+(1-EXP(-LN(2)/2))/(LN(2)/2)*CG68*CJ68*VLOOKUP('Données projet'!$B$12,Paramètres!$A$1:$I$89,3,0)*0.475*44/12</f>
        <v>#N/A</v>
      </c>
      <c r="CN68" s="22" t="e">
        <f t="shared" ref="CN68:CN131" si="66">SUM(CK68:CM68)</f>
        <v>#N/A</v>
      </c>
      <c r="CO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0</v>
      </c>
      <c r="CT68" s="12">
        <f>IF('Données projet'!$A$140&gt;35,CT67+CS68-DB67,IF(A68&lt;'Données projet'!$A$140,$CQ$205^A68,IF(A68='Données projet'!$A$140,'Données projet'!$B$140,CT67+CS68-DB67)))</f>
        <v>0</v>
      </c>
      <c r="CU68" s="17" t="e">
        <f>CT68*VLOOKUP('Données projet'!$B$13,Paramètres!$A$1:$I$89,3,0)*VLOOKUP('Données projet'!$B$13,Paramètres!$A$1:$I$89,5,0)</f>
        <v>#N/A</v>
      </c>
      <c r="CV68" s="13" t="e">
        <f t="shared" si="41"/>
        <v>#N/A</v>
      </c>
      <c r="CW68" s="20" t="e">
        <f t="shared" ref="CW68:CW131" si="67">(CU68+CV68)*0.475*44/12</f>
        <v>#N/A</v>
      </c>
      <c r="CX68" s="59" t="e">
        <f t="shared" ref="CX68:CX131" si="68">CW68+(CO68+CP68)*44/12</f>
        <v>#N/A</v>
      </c>
      <c r="CY68" s="59" t="e">
        <f ca="1">AVERAGE(OFFSET($CX$3,0,0,'Données projet'!$E$13+1,1))-AVERAGE(OFFSET($H$3,0,0,'Données projet'!$E$13+1,1))</f>
        <v>#N/A</v>
      </c>
      <c r="CZ68" s="59" t="e">
        <f t="shared" si="42"/>
        <v>#N/A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 t="e">
        <f>EXP(-LN(2)/35)*DF67+(1-EXP(-LN(2)/35))/(LN(2)/35)*DB68*DC68*VLOOKUP('Données projet'!$B$13,Paramètres!$A$1:$I$89,3,0)*0.475*44/12</f>
        <v>#N/A</v>
      </c>
      <c r="DG68" s="21" t="e">
        <f>EXP(-LN(2)/25)*DG67+(1-EXP(-LN(2)/25))/(LN(2)/25)*Calculateur!DB68*Calculateur!DD68*VLOOKUP('Données projet'!$B$13,Paramètres!$A$1:$I$89,3,0)*0.475*44/12</f>
        <v>#N/A</v>
      </c>
      <c r="DH68" s="21" t="e">
        <f>EXP(-LN(2)/2)*DH67+(1-EXP(-LN(2)/2))/(LN(2)/2)*DB68*DE68*VLOOKUP('Données projet'!$B$13,Paramètres!$A$1:$I$89,3,0)*0.475*44/12</f>
        <v>#N/A</v>
      </c>
      <c r="DI68" s="22" t="e">
        <f t="shared" ref="DI68:DI131" si="69">SUM(DF68:DH68)</f>
        <v>#N/A</v>
      </c>
      <c r="DJ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0</v>
      </c>
      <c r="DO68" s="12">
        <f>IF('Données projet'!$A$166&gt;35,DO67+DN68-DW67,IF(A68&lt;'Données projet'!$A$166,$DL$205^A68,IF(A68='Données projet'!$A$166,'Données projet'!$B$166,DO67+DN68-DW67)))</f>
        <v>0</v>
      </c>
      <c r="DP68" s="17" t="e">
        <f>DO68*VLOOKUP('Données projet'!$B$14,Paramètres!$A$1:$I$89,3,0)*VLOOKUP('Données projet'!$B$14,Paramètres!$A$1:$I$89,5,0)</f>
        <v>#N/A</v>
      </c>
      <c r="DQ68" s="13" t="e">
        <f t="shared" si="43"/>
        <v>#N/A</v>
      </c>
      <c r="DR68" s="20" t="e">
        <f t="shared" ref="DR68:DR131" si="70">(DP68+DQ68)*0.475*44/12</f>
        <v>#N/A</v>
      </c>
      <c r="DS68" s="59" t="e">
        <f t="shared" ref="DS68:DS131" si="71">DR68+(DJ68+DK68)*44/12</f>
        <v>#N/A</v>
      </c>
      <c r="DT68" s="59" t="e">
        <f ca="1">AVERAGE(OFFSET($DS$3,0,0,'Données projet'!$E$14+1,1))-AVERAGE(OFFSET($H$3,0,0,'Données projet'!$E$14+1,1))</f>
        <v>#N/A</v>
      </c>
      <c r="DU68" s="59" t="e">
        <f t="shared" si="44"/>
        <v>#N/A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 t="e">
        <f>EXP(-LN(2)/35)*EA67+(1-EXP(-LN(2)/35))/(LN(2)/35)*DW68*DX68*VLOOKUP('Données projet'!$B$14,Paramètres!$A$1:$I$89,3,0)*0.475*44/12</f>
        <v>#N/A</v>
      </c>
      <c r="EB68" s="21" t="e">
        <f>EXP(-LN(2)/25)*EB67+(1-EXP(-LN(2)/25))/(LN(2)/25)*Calculateur!DW68*Calculateur!DY68*VLOOKUP('Données projet'!$B$14,Paramètres!$A$1:$I$89,3,0)*0.475*44/12</f>
        <v>#N/A</v>
      </c>
      <c r="EC68" s="21" t="e">
        <f>EXP(-LN(2)/2)*EC67+(1-EXP(-LN(2)/2))/(LN(2)/2)*DW68*DZ68*VLOOKUP('Données projet'!$B$14,Paramètres!$A$1:$I$89,3,0)*0.475*44/12</f>
        <v>#N/A</v>
      </c>
      <c r="ED68" s="22" t="e">
        <f t="shared" ref="ED68:ED131" si="72">SUM(EA68:EC68)</f>
        <v>#N/A</v>
      </c>
      <c r="EE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0</v>
      </c>
      <c r="EJ68" s="12">
        <f>IF('Données projet'!$A$192&gt;35,EJ67+EI68-ER67,IF(A68&lt;'Données projet'!$A$192,$EG$205^A68,IF(A68='Données projet'!$A$192,'Données projet'!$B$192,EJ67+EI68-ER67)))</f>
        <v>0</v>
      </c>
      <c r="EK68" s="17" t="e">
        <f>EJ68*VLOOKUP('Données projet'!$B$15,Paramètres!$A$1:$I$89,3,0)*VLOOKUP('Données projet'!$B$15,Paramètres!$A$1:$I$89,5,0)</f>
        <v>#N/A</v>
      </c>
      <c r="EL68" s="13" t="e">
        <f t="shared" si="45"/>
        <v>#N/A</v>
      </c>
      <c r="EM68" s="20" t="e">
        <f t="shared" ref="EM68:EM131" si="73">(EK68+EL68)*0.475*44/12</f>
        <v>#N/A</v>
      </c>
      <c r="EN68" s="59" t="e">
        <f t="shared" ref="EN68:EN131" si="74">EM68+(EE68+EF68)*44/12</f>
        <v>#N/A</v>
      </c>
      <c r="EO68" s="59" t="e">
        <f ca="1">AVERAGE(OFFSET($EN$3,0,0,'Données projet'!$E$15+1,1))-AVERAGE(OFFSET($H$3,0,0,'Données projet'!$E$15+1,1))</f>
        <v>#N/A</v>
      </c>
      <c r="EP68" s="59" t="e">
        <f t="shared" si="46"/>
        <v>#N/A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 t="e">
        <f>EXP(-LN(2)/35)*EV67+(1-EXP(-LN(2)/35))/(LN(2)/35)*ER68*ES68*VLOOKUP('Données projet'!$B$15,Paramètres!$A$1:$I$89,3,0)*0.475*44/12</f>
        <v>#N/A</v>
      </c>
      <c r="EW68" s="21" t="e">
        <f>EXP(-LN(2)/25)*EW67+(1-EXP(-LN(2)/25))/(LN(2)/25)*Calculateur!ER68*Calculateur!ET68*VLOOKUP('Données projet'!$B$15,Paramètres!$A$1:$I$89,3,0)*0.475*44/12</f>
        <v>#N/A</v>
      </c>
      <c r="EX68" s="21" t="e">
        <f>EXP(-LN(2)/2)*EX67+(1-EXP(-LN(2)/2))/(LN(2)/2)*ER68*EU68*VLOOKUP('Données projet'!$B$15,Paramètres!$A$1:$I$89,3,0)*0.475*44/12</f>
        <v>#N/A</v>
      </c>
      <c r="EY68" s="22" t="e">
        <f t="shared" ref="EY68:EY131" si="75">SUM(EV68:EX68)</f>
        <v>#N/A</v>
      </c>
      <c r="EZ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9" t="e">
        <f t="shared" ref="FI68:FI131" si="77">FH68+(EZ68+FA68)*44/12</f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45">
      <c r="A69" s="10">
        <f t="shared" ref="A69:A132" si="85">A68+1</f>
        <v>66</v>
      </c>
      <c r="B69" s="73">
        <f>'Scénario référence'!$B$16*5+'Scénario référence'!$B$17*0+'Scénario référence'!$B$18*5</f>
        <v>0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58.687200000000061</v>
      </c>
      <c r="D69" s="11">
        <f t="shared" ref="D69:D132" si="86">IFERROR(EXP(-1.0587+0.8836*LN(C69)+0.284),0)</f>
        <v>16.835925833077553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">
        <f>IF(OR('Scénario référence'!$F$8&gt;0,'Scénario référence'!$F$9&gt;0),('Scénario référence'!$F$8+'Scénario référence'!$F$9)*10,0)</f>
        <v>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582.98553274656399</v>
      </c>
      <c r="H69" s="67">
        <f t="shared" si="56"/>
        <v>388.20277749261015</v>
      </c>
      <c r="I69" s="7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10.513</v>
      </c>
      <c r="N69" s="13">
        <f>IF('Données projet'!$A$36&gt;35,N68+M69-V68,IF(A69&lt;'Données projet'!$A$36,$K$205^A69,IF(A69='Données projet'!$A$36,'Données projet'!$B$36,N68+M69-V68)))</f>
        <v>389.27199999999999</v>
      </c>
      <c r="O69" s="13">
        <f>N69*VLOOKUP('Données projet'!$B$9,Paramètres!$A$1:$I$89,3,0)*VLOOKUP('Données projet'!$B$9,Paramètres!$A$1:$I$89,5,0)</f>
        <v>217.603048</v>
      </c>
      <c r="P69" s="13">
        <f t="shared" ref="P69:P132" si="87">EXP(-1.0587+0.8836*LN(O69)+0.284)</f>
        <v>53.593588353345908</v>
      </c>
      <c r="Q69" s="20">
        <f t="shared" si="54"/>
        <v>472.33414164874415</v>
      </c>
      <c r="R69" s="59">
        <f t="shared" si="55"/>
        <v>765.66747498207747</v>
      </c>
      <c r="S69" s="59">
        <f ca="1">AVERAGE(OFFSET($R$3,0,0,'Données projet'!$E$9+1,1))-AVERAGE(OFFSET($H$3,0,0,'Données projet'!$E$9+1,1))</f>
        <v>280.69347314340195</v>
      </c>
      <c r="T69" s="59">
        <f t="shared" ref="T69:T132" si="88">$T$3</f>
        <v>152.40533828556482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36.082867297679776</v>
      </c>
      <c r="AA69" s="21">
        <f>EXP(-LN(2)/25)*AA68+(1-EXP(-LN(2)/25))/(LN(2)/25)*Calculateur!V69*Calculateur!X69*VLOOKUP('Données projet'!$B$9,Paramètres!$A$1:$I$89,3,0)*0.475*44/12</f>
        <v>19.780943816595748</v>
      </c>
      <c r="AB69" s="21">
        <f>EXP(-LN(2)/2)*AB68+(1-EXP(-LN(2)/2))/(LN(2)/2)*V69*Y69*VLOOKUP('Données projet'!$B$9,Paramètres!$A$1:$I$89,3,0)*0.475*44/12</f>
        <v>2.1562053511950761</v>
      </c>
      <c r="AC69" s="22">
        <f t="shared" si="57"/>
        <v>58.020016465470597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0</v>
      </c>
      <c r="AI69" s="13">
        <f>IF('Données projet'!$A$62&gt;35,AI68+AH69-AQ68,IF(A69&lt;'Données projet'!$A$62,$AF$205^A69,IF(A69='Données projet'!$A$62,'Données projet'!$B$62,AI68+AH69-AQ68)))</f>
        <v>0</v>
      </c>
      <c r="AJ69" s="13">
        <f>AI69*VLOOKUP('Données projet'!$B$10,Paramètres!$A$1:$I$89,3,0)*VLOOKUP('Données projet'!$B$10,Paramètres!$A$1:$I$89,5,0)</f>
        <v>0</v>
      </c>
      <c r="AK69" s="13" t="e">
        <f t="shared" ref="AK69:AK132" si="89">EXP(-1.0587+0.8836*LN(AJ69)+0.284)</f>
        <v>#NUM!</v>
      </c>
      <c r="AL69" s="20" t="e">
        <f t="shared" si="58"/>
        <v>#NUM!</v>
      </c>
      <c r="AM69" s="59" t="e">
        <f t="shared" si="59"/>
        <v>#NUM!</v>
      </c>
      <c r="AN69" s="59">
        <f ca="1">AVERAGE(OFFSET($AM$3,0,0,'Données projet'!$E$10+1,1))-AVERAGE(OFFSET($H$3,0,0,'Données projet'!$E$10+1,1))</f>
        <v>179.4725256147085</v>
      </c>
      <c r="AO69" s="59">
        <f t="shared" ref="AO69:AO132" si="90">$AO$3</f>
        <v>282.16750121151176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>
        <f>EXP(-LN(2)/35)*AU68+(1-EXP(-LN(2)/35))/(LN(2)/35)*AQ69*AR69*VLOOKUP('Données projet'!$B$10,Paramètres!$A$1:$I$89,3,0)*0.475*44/12</f>
        <v>128.20968805519686</v>
      </c>
      <c r="AV69" s="21">
        <f>EXP(-LN(2)/25)*AV68+(1-EXP(-LN(2)/25))/(LN(2)/25)*Calculateur!AQ69*Calculateur!AS69*VLOOKUP('Données projet'!$B$10,Paramètres!$A$1:$I$89,3,0)*0.475*44/12</f>
        <v>41.374452281110379</v>
      </c>
      <c r="AW69" s="21">
        <f>EXP(-LN(2)/2)*AW68+(1-EXP(-LN(2)/2))/(LN(2)/2)*AQ69*AT69*VLOOKUP('Données projet'!$B$10,Paramètres!$A$1:$I$89,3,0)*0.475*44/12</f>
        <v>5.3900497343405087</v>
      </c>
      <c r="AX69" s="21">
        <f t="shared" si="60"/>
        <v>174.97419007064778</v>
      </c>
      <c r="AY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>
        <f>VLOOKUP(A69,'Données projet'!$A$87:$I$107,2,0)</f>
        <v>254.63</v>
      </c>
      <c r="BB69" s="12">
        <f>VLOOKUP(A69,'Données projet'!$A$87:$I$107,9,0)</f>
        <v>11.016666666666667</v>
      </c>
      <c r="BC69" s="12">
        <f t="array" ref="BC69">INDEX(BB:BB,MIN(IF(ISNUMBER(BB69:BB265),ROW(BB69:BB265),"")))</f>
        <v>11.016666666666667</v>
      </c>
      <c r="BD69" s="12">
        <f>IF('Données projet'!$A$88&gt;35,BD68+BC69-BL68,IF(A69&lt;'Données projet'!$A$88,$BA$205^A69,IF(A69='Données projet'!$A$88,'Données projet'!$B$88,BD68+BC69-BL68)))</f>
        <v>254.63000000000036</v>
      </c>
      <c r="BE69" s="13">
        <f>BD69*VLOOKUP('Données projet'!$B$11,Paramètres!$A$1:$I$89,3,0)*VLOOKUP('Données projet'!$B$11,Paramètres!$A$1:$I$89,5,0)</f>
        <v>218.47254000000032</v>
      </c>
      <c r="BF69" s="13">
        <f t="shared" ref="BF69:BF132" si="91">EXP(-1.0587+0.8836*LN(BE69)+0.284)</f>
        <v>53.782765338875748</v>
      </c>
      <c r="BG69" s="20">
        <f t="shared" si="61"/>
        <v>474.17799013187573</v>
      </c>
      <c r="BH69" s="59">
        <f t="shared" si="62"/>
        <v>767.51132346520899</v>
      </c>
      <c r="BI69" s="59">
        <f ca="1">AVERAGE(OFFSET($BH$3,0,0,'Données projet'!$E$11+1,1))-AVERAGE(OFFSET($H$3,0,0,'Données projet'!$E$11+1,1))</f>
        <v>312.89478437044261</v>
      </c>
      <c r="BJ69" s="59">
        <f t="shared" ref="BJ69:BJ132" si="92">$BJ$3</f>
        <v>276.16555507854571</v>
      </c>
      <c r="BK69" s="15">
        <f>IF(ISNA(VLOOKUP(A69,'Données projet'!$A$87:$I$107,3,0)),0,VLOOKUP(A69,'Données projet'!$A$87:$I$107,3,0))</f>
        <v>2</v>
      </c>
      <c r="BL69" s="15">
        <f>IF(ISNA(VLOOKUP(A69,'Données projet'!$A$87:$I$107,4,0)),0,VLOOKUP(A69,'Données projet'!$A$87:$I$107,4,0))</f>
        <v>77.13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0.26500000000000001</v>
      </c>
      <c r="BO69" s="16">
        <f>IF(ISNA(VLOOKUP(A69,'Données projet'!$A$87:$I$107,7,0)),0%,VLOOKUP(A69,'Données projet'!$A$87:$I$107,7,0))</f>
        <v>0.5</v>
      </c>
      <c r="BP69" s="21">
        <f>EXP(-LN(2)/35)*BP68+(1-EXP(-LN(2)/35))/(LN(2)/35)*BL69*BM69*VLOOKUP('Données projet'!$B$11,Paramètres!$A$1:$I$89,3,0)*0.475*44/12</f>
        <v>0</v>
      </c>
      <c r="BQ69" s="21">
        <f>EXP(-LN(2)/25)*BQ68+(1-EXP(-LN(2)/25))/(LN(2)/25)*Calculateur!BL69*Calculateur!BN69*VLOOKUP('Données projet'!$B$11,Paramètres!$A$1:$I$89,3,0)*0.475*44/12</f>
        <v>48.149877212522263</v>
      </c>
      <c r="BR69" s="21">
        <f>EXP(-LN(2)/2)*BR68+(1-EXP(-LN(2)/2))/(LN(2)/2)*BL69*BO69*VLOOKUP('Données projet'!$B$11,Paramètres!$A$1:$I$89,3,0)*0.475*44/12</f>
        <v>33.864797223350337</v>
      </c>
      <c r="BS69" s="22">
        <f t="shared" si="63"/>
        <v>82.014674435872593</v>
      </c>
      <c r="BT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0</v>
      </c>
      <c r="BY69" s="12">
        <f>IF('Données projet'!$A$114&gt;35,BY68+BX69-CG68,IF(A69&lt;'Données projet'!$A$114,$BV$205^A69,IF(A69='Données projet'!$A$114,'Données projet'!$B$114,BY68+BX69-CG68)))</f>
        <v>0</v>
      </c>
      <c r="BZ69" s="13" t="e">
        <f>BY69*VLOOKUP('Données projet'!$B$12,Paramètres!$A$1:$I$89,3,0)*VLOOKUP('Données projet'!$B$12,Paramètres!$A$1:$I$89,5,0)</f>
        <v>#N/A</v>
      </c>
      <c r="CA69" s="13" t="e">
        <f t="shared" ref="CA69:CA132" si="93">EXP(-1.0587+0.8836*LN(BZ69)+0.284)</f>
        <v>#N/A</v>
      </c>
      <c r="CB69" s="20" t="e">
        <f t="shared" si="64"/>
        <v>#N/A</v>
      </c>
      <c r="CC69" s="59" t="e">
        <f t="shared" si="65"/>
        <v>#N/A</v>
      </c>
      <c r="CD69" s="59" t="e">
        <f ca="1">AVERAGE(OFFSET($CC$3,0,0,'Données projet'!$E$12+1,1))-AVERAGE(OFFSET($H$3,0,0,'Données projet'!$E$12+1,1))</f>
        <v>#N/A</v>
      </c>
      <c r="CE69" s="59" t="e">
        <f t="shared" ref="CE69:CE132" si="94">$CE$3</f>
        <v>#N/A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 t="e">
        <f>EXP(-LN(2)/35)*CK68+(1-EXP(-LN(2)/35))/(LN(2)/35)*CG69*CH69*VLOOKUP('Données projet'!$B$12,Paramètres!$A$1:$I$89,3,0)*0.475*44/12</f>
        <v>#N/A</v>
      </c>
      <c r="CL69" s="21" t="e">
        <f>EXP(-LN(2)/25)*CL68+(1-EXP(-LN(2)/25))/(LN(2)/25)*Calculateur!CG69*Calculateur!CI69*VLOOKUP('Données projet'!$B$12,Paramètres!$A$1:$I$89,3,0)*0.475*44/12</f>
        <v>#N/A</v>
      </c>
      <c r="CM69" s="21" t="e">
        <f>EXP(-LN(2)/2)*CM68+(1-EXP(-LN(2)/2))/(LN(2)/2)*CG69*CJ69*VLOOKUP('Données projet'!$B$12,Paramètres!$A$1:$I$89,3,0)*0.475*44/12</f>
        <v>#N/A</v>
      </c>
      <c r="CN69" s="22" t="e">
        <f t="shared" si="66"/>
        <v>#N/A</v>
      </c>
      <c r="CO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0</v>
      </c>
      <c r="CT69" s="12">
        <f>IF('Données projet'!$A$140&gt;35,CT68+CS69-DB68,IF(A69&lt;'Données projet'!$A$140,$CQ$205^A69,IF(A69='Données projet'!$A$140,'Données projet'!$B$140,CT68+CS69-DB68)))</f>
        <v>0</v>
      </c>
      <c r="CU69" s="17" t="e">
        <f>CT69*VLOOKUP('Données projet'!$B$13,Paramètres!$A$1:$I$89,3,0)*VLOOKUP('Données projet'!$B$13,Paramètres!$A$1:$I$89,5,0)</f>
        <v>#N/A</v>
      </c>
      <c r="CV69" s="13" t="e">
        <f t="shared" ref="CV69:CV132" si="95">EXP(-1.0587+0.8836*LN(CU69)+0.284)</f>
        <v>#N/A</v>
      </c>
      <c r="CW69" s="20" t="e">
        <f t="shared" si="67"/>
        <v>#N/A</v>
      </c>
      <c r="CX69" s="59" t="e">
        <f t="shared" si="68"/>
        <v>#N/A</v>
      </c>
      <c r="CY69" s="59" t="e">
        <f ca="1">AVERAGE(OFFSET($CX$3,0,0,'Données projet'!$E$13+1,1))-AVERAGE(OFFSET($H$3,0,0,'Données projet'!$E$13+1,1))</f>
        <v>#N/A</v>
      </c>
      <c r="CZ69" s="59" t="e">
        <f t="shared" ref="CZ69:CZ132" si="96">$CZ$3</f>
        <v>#N/A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 t="e">
        <f>EXP(-LN(2)/35)*DF68+(1-EXP(-LN(2)/35))/(LN(2)/35)*DB69*DC69*VLOOKUP('Données projet'!$B$13,Paramètres!$A$1:$I$89,3,0)*0.475*44/12</f>
        <v>#N/A</v>
      </c>
      <c r="DG69" s="21" t="e">
        <f>EXP(-LN(2)/25)*DG68+(1-EXP(-LN(2)/25))/(LN(2)/25)*Calculateur!DB69*Calculateur!DD69*VLOOKUP('Données projet'!$B$13,Paramètres!$A$1:$I$89,3,0)*0.475*44/12</f>
        <v>#N/A</v>
      </c>
      <c r="DH69" s="21" t="e">
        <f>EXP(-LN(2)/2)*DH68+(1-EXP(-LN(2)/2))/(LN(2)/2)*DB69*DE69*VLOOKUP('Données projet'!$B$13,Paramètres!$A$1:$I$89,3,0)*0.475*44/12</f>
        <v>#N/A</v>
      </c>
      <c r="DI69" s="22" t="e">
        <f t="shared" si="69"/>
        <v>#N/A</v>
      </c>
      <c r="DJ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0</v>
      </c>
      <c r="DO69" s="12">
        <f>IF('Données projet'!$A$166&gt;35,DO68+DN69-DW68,IF(A69&lt;'Données projet'!$A$166,$DL$205^A69,IF(A69='Données projet'!$A$166,'Données projet'!$B$166,DO68+DN69-DW68)))</f>
        <v>0</v>
      </c>
      <c r="DP69" s="17" t="e">
        <f>DO69*VLOOKUP('Données projet'!$B$14,Paramètres!$A$1:$I$89,3,0)*VLOOKUP('Données projet'!$B$14,Paramètres!$A$1:$I$89,5,0)</f>
        <v>#N/A</v>
      </c>
      <c r="DQ69" s="13" t="e">
        <f t="shared" ref="DQ69:DQ132" si="97">EXP(-1.0587+0.8836*LN(DP69)+0.284)</f>
        <v>#N/A</v>
      </c>
      <c r="DR69" s="20" t="e">
        <f t="shared" si="70"/>
        <v>#N/A</v>
      </c>
      <c r="DS69" s="59" t="e">
        <f t="shared" si="71"/>
        <v>#N/A</v>
      </c>
      <c r="DT69" s="59" t="e">
        <f ca="1">AVERAGE(OFFSET($DS$3,0,0,'Données projet'!$E$14+1,1))-AVERAGE(OFFSET($H$3,0,0,'Données projet'!$E$14+1,1))</f>
        <v>#N/A</v>
      </c>
      <c r="DU69" s="59" t="e">
        <f t="shared" ref="DU69:DU132" si="98">$DU$3</f>
        <v>#N/A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 t="e">
        <f>EXP(-LN(2)/35)*EA68+(1-EXP(-LN(2)/35))/(LN(2)/35)*DW69*DX69*VLOOKUP('Données projet'!$B$14,Paramètres!$A$1:$I$89,3,0)*0.475*44/12</f>
        <v>#N/A</v>
      </c>
      <c r="EB69" s="21" t="e">
        <f>EXP(-LN(2)/25)*EB68+(1-EXP(-LN(2)/25))/(LN(2)/25)*Calculateur!DW69*Calculateur!DY69*VLOOKUP('Données projet'!$B$14,Paramètres!$A$1:$I$89,3,0)*0.475*44/12</f>
        <v>#N/A</v>
      </c>
      <c r="EC69" s="21" t="e">
        <f>EXP(-LN(2)/2)*EC68+(1-EXP(-LN(2)/2))/(LN(2)/2)*DW69*DZ69*VLOOKUP('Données projet'!$B$14,Paramètres!$A$1:$I$89,3,0)*0.475*44/12</f>
        <v>#N/A</v>
      </c>
      <c r="ED69" s="22" t="e">
        <f t="shared" si="72"/>
        <v>#N/A</v>
      </c>
      <c r="EE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0</v>
      </c>
      <c r="EJ69" s="12">
        <f>IF('Données projet'!$A$192&gt;35,EJ68+EI69-ER68,IF(A69&lt;'Données projet'!$A$192,$EG$205^A69,IF(A69='Données projet'!$A$192,'Données projet'!$B$192,EJ68+EI69-ER68)))</f>
        <v>0</v>
      </c>
      <c r="EK69" s="17" t="e">
        <f>EJ69*VLOOKUP('Données projet'!$B$15,Paramètres!$A$1:$I$89,3,0)*VLOOKUP('Données projet'!$B$15,Paramètres!$A$1:$I$89,5,0)</f>
        <v>#N/A</v>
      </c>
      <c r="EL69" s="13" t="e">
        <f t="shared" ref="EL69:EL132" si="99">EXP(-1.0587+0.8836*LN(EK69)+0.284)</f>
        <v>#N/A</v>
      </c>
      <c r="EM69" s="20" t="e">
        <f t="shared" si="73"/>
        <v>#N/A</v>
      </c>
      <c r="EN69" s="59" t="e">
        <f t="shared" si="74"/>
        <v>#N/A</v>
      </c>
      <c r="EO69" s="59" t="e">
        <f ca="1">AVERAGE(OFFSET($EN$3,0,0,'Données projet'!$E$15+1,1))-AVERAGE(OFFSET($H$3,0,0,'Données projet'!$E$15+1,1))</f>
        <v>#N/A</v>
      </c>
      <c r="EP69" s="59" t="e">
        <f t="shared" ref="EP69:EP132" si="100">$EP$3</f>
        <v>#N/A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 t="e">
        <f>EXP(-LN(2)/35)*EV68+(1-EXP(-LN(2)/35))/(LN(2)/35)*ER69*ES69*VLOOKUP('Données projet'!$B$15,Paramètres!$A$1:$I$89,3,0)*0.475*44/12</f>
        <v>#N/A</v>
      </c>
      <c r="EW69" s="21" t="e">
        <f>EXP(-LN(2)/25)*EW68+(1-EXP(-LN(2)/25))/(LN(2)/25)*Calculateur!ER69*Calculateur!ET69*VLOOKUP('Données projet'!$B$15,Paramètres!$A$1:$I$89,3,0)*0.475*44/12</f>
        <v>#N/A</v>
      </c>
      <c r="EX69" s="21" t="e">
        <f>EXP(-LN(2)/2)*EX68+(1-EXP(-LN(2)/2))/(LN(2)/2)*ER69*EU69*VLOOKUP('Données projet'!$B$15,Paramètres!$A$1:$I$89,3,0)*0.475*44/12</f>
        <v>#N/A</v>
      </c>
      <c r="EY69" s="22" t="e">
        <f t="shared" si="75"/>
        <v>#N/A</v>
      </c>
      <c r="EZ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9" t="e">
        <f t="shared" si="77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45">
      <c r="A70" s="10">
        <f t="shared" si="85"/>
        <v>67</v>
      </c>
      <c r="B70" s="73">
        <f>'Scénario référence'!$B$16*5+'Scénario référence'!$B$17*0+'Scénario référence'!$B$18*5</f>
        <v>0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59.576400000000064</v>
      </c>
      <c r="D70" s="11">
        <f t="shared" si="86"/>
        <v>17.061125519726964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">
        <f>IF(OR('Scénario référence'!$F$8&gt;0,'Scénario référence'!$F$9&gt;0),('Scénario référence'!$F$8+'Scénario référence'!$F$9)*10,0)</f>
        <v>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591.58791629262976</v>
      </c>
      <c r="H70" s="67">
        <f t="shared" si="56"/>
        <v>390.14369028019127</v>
      </c>
      <c r="I70" s="7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10.513</v>
      </c>
      <c r="N70" s="13">
        <f>IF('Données projet'!$A$36&gt;35,N69+M70-V69,IF(A70&lt;'Données projet'!$A$36,$K$205^A70,IF(A70='Données projet'!$A$36,'Données projet'!$B$36,N69+M70-V69)))</f>
        <v>399.78499999999997</v>
      </c>
      <c r="O70" s="13">
        <f>N70*VLOOKUP('Données projet'!$B$9,Paramètres!$A$1:$I$89,3,0)*VLOOKUP('Données projet'!$B$9,Paramètres!$A$1:$I$89,5,0)</f>
        <v>223.479815</v>
      </c>
      <c r="P70" s="13">
        <f t="shared" si="87"/>
        <v>54.870514136526637</v>
      </c>
      <c r="Q70" s="20">
        <f t="shared" si="54"/>
        <v>484.79348991278385</v>
      </c>
      <c r="R70" s="59">
        <f t="shared" si="55"/>
        <v>778.12682324611717</v>
      </c>
      <c r="S70" s="59">
        <f ca="1">AVERAGE(OFFSET($R$3,0,0,'Données projet'!$E$9+1,1))-AVERAGE(OFFSET($H$3,0,0,'Données projet'!$E$9+1,1))</f>
        <v>280.69347314340195</v>
      </c>
      <c r="T70" s="59">
        <f t="shared" si="88"/>
        <v>152.40533828556482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35.375304278348182</v>
      </c>
      <c r="AA70" s="21">
        <f>EXP(-LN(2)/25)*AA69+(1-EXP(-LN(2)/25))/(LN(2)/25)*Calculateur!V70*Calculateur!X70*VLOOKUP('Données projet'!$B$9,Paramètres!$A$1:$I$89,3,0)*0.475*44/12</f>
        <v>19.240032867696311</v>
      </c>
      <c r="AB70" s="21">
        <f>EXP(-LN(2)/2)*AB69+(1-EXP(-LN(2)/2))/(LN(2)/2)*V70*Y70*VLOOKUP('Données projet'!$B$9,Paramètres!$A$1:$I$89,3,0)*0.475*44/12</f>
        <v>1.5246674254607595</v>
      </c>
      <c r="AC70" s="22">
        <f t="shared" si="57"/>
        <v>56.140004571505258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0</v>
      </c>
      <c r="AI70" s="13">
        <f>IF('Données projet'!$A$62&gt;35,AI69+AH70-AQ69,IF(A70&lt;'Données projet'!$A$62,$AF$205^A70,IF(A70='Données projet'!$A$62,'Données projet'!$B$62,AI69+AH70-AQ69)))</f>
        <v>0</v>
      </c>
      <c r="AJ70" s="13">
        <f>AI70*VLOOKUP('Données projet'!$B$10,Paramètres!$A$1:$I$89,3,0)*VLOOKUP('Données projet'!$B$10,Paramètres!$A$1:$I$89,5,0)</f>
        <v>0</v>
      </c>
      <c r="AK70" s="13" t="e">
        <f t="shared" si="89"/>
        <v>#NUM!</v>
      </c>
      <c r="AL70" s="20" t="e">
        <f t="shared" si="58"/>
        <v>#NUM!</v>
      </c>
      <c r="AM70" s="59" t="e">
        <f t="shared" si="59"/>
        <v>#NUM!</v>
      </c>
      <c r="AN70" s="59">
        <f ca="1">AVERAGE(OFFSET($AM$3,0,0,'Données projet'!$E$10+1,1))-AVERAGE(OFFSET($H$3,0,0,'Données projet'!$E$10+1,1))</f>
        <v>179.4725256147085</v>
      </c>
      <c r="AO70" s="59">
        <f t="shared" si="90"/>
        <v>282.16750121151176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125.69557427262254</v>
      </c>
      <c r="AV70" s="21">
        <f>EXP(-LN(2)/25)*AV69+(1-EXP(-LN(2)/25))/(LN(2)/25)*Calculateur!AQ70*Calculateur!AS70*VLOOKUP('Données projet'!$B$10,Paramètres!$A$1:$I$89,3,0)*0.475*44/12</f>
        <v>40.243065707695536</v>
      </c>
      <c r="AW70" s="21">
        <f>EXP(-LN(2)/2)*AW69+(1-EXP(-LN(2)/2))/(LN(2)/2)*AQ70*AT70*VLOOKUP('Données projet'!$B$10,Paramètres!$A$1:$I$89,3,0)*0.475*44/12</f>
        <v>3.811340718084923</v>
      </c>
      <c r="AX70" s="21">
        <f t="shared" si="60"/>
        <v>169.74998069840299</v>
      </c>
      <c r="AY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10.812222222222223</v>
      </c>
      <c r="BD70" s="12">
        <f>IF('Données projet'!$A$88&gt;35,BD69+BC70-BL69,IF(A70&lt;'Données projet'!$A$88,$BA$205^A70,IF(A70='Données projet'!$A$88,'Données projet'!$B$88,BD69+BC70-BL69)))</f>
        <v>188.3122222222226</v>
      </c>
      <c r="BE70" s="13">
        <f>BD70*VLOOKUP('Données projet'!$B$11,Paramètres!$A$1:$I$89,3,0)*VLOOKUP('Données projet'!$B$11,Paramètres!$A$1:$I$89,5,0)</f>
        <v>161.57188666666701</v>
      </c>
      <c r="BF70" s="13">
        <f t="shared" si="91"/>
        <v>41.196856850689223</v>
      </c>
      <c r="BG70" s="20">
        <f t="shared" si="61"/>
        <v>353.15556162606208</v>
      </c>
      <c r="BH70" s="59">
        <f t="shared" si="62"/>
        <v>646.48889495939534</v>
      </c>
      <c r="BI70" s="59">
        <f ca="1">AVERAGE(OFFSET($BH$3,0,0,'Données projet'!$E$11+1,1))-AVERAGE(OFFSET($H$3,0,0,'Données projet'!$E$11+1,1))</f>
        <v>312.89478437044261</v>
      </c>
      <c r="BJ70" s="59">
        <f t="shared" si="92"/>
        <v>276.16555507854571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>
        <f>EXP(-LN(2)/35)*BP69+(1-EXP(-LN(2)/35))/(LN(2)/35)*BL70*BM70*VLOOKUP('Données projet'!$B$11,Paramètres!$A$1:$I$89,3,0)*0.475*44/12</f>
        <v>0</v>
      </c>
      <c r="BQ70" s="21">
        <f>EXP(-LN(2)/25)*BQ69+(1-EXP(-LN(2)/25))/(LN(2)/25)*Calculateur!BL70*Calculateur!BN70*VLOOKUP('Données projet'!$B$11,Paramètres!$A$1:$I$89,3,0)*0.475*44/12</f>
        <v>46.833216288053848</v>
      </c>
      <c r="BR70" s="21">
        <f>EXP(-LN(2)/2)*BR69+(1-EXP(-LN(2)/2))/(LN(2)/2)*BL70*BO70*VLOOKUP('Données projet'!$B$11,Paramètres!$A$1:$I$89,3,0)*0.475*44/12</f>
        <v>23.946027760138389</v>
      </c>
      <c r="BS70" s="22">
        <f t="shared" si="63"/>
        <v>70.77924404819224</v>
      </c>
      <c r="BT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0</v>
      </c>
      <c r="BY70" s="12">
        <f>IF('Données projet'!$A$114&gt;35,BY69+BX70-CG69,IF(A70&lt;'Données projet'!$A$114,$BV$205^A70,IF(A70='Données projet'!$A$114,'Données projet'!$B$114,BY69+BX70-CG69)))</f>
        <v>0</v>
      </c>
      <c r="BZ70" s="13" t="e">
        <f>BY70*VLOOKUP('Données projet'!$B$12,Paramètres!$A$1:$I$89,3,0)*VLOOKUP('Données projet'!$B$12,Paramètres!$A$1:$I$89,5,0)</f>
        <v>#N/A</v>
      </c>
      <c r="CA70" s="13" t="e">
        <f t="shared" si="93"/>
        <v>#N/A</v>
      </c>
      <c r="CB70" s="20" t="e">
        <f t="shared" si="64"/>
        <v>#N/A</v>
      </c>
      <c r="CC70" s="59" t="e">
        <f t="shared" si="65"/>
        <v>#N/A</v>
      </c>
      <c r="CD70" s="59" t="e">
        <f ca="1">AVERAGE(OFFSET($CC$3,0,0,'Données projet'!$E$12+1,1))-AVERAGE(OFFSET($H$3,0,0,'Données projet'!$E$12+1,1))</f>
        <v>#N/A</v>
      </c>
      <c r="CE70" s="59" t="e">
        <f t="shared" si="94"/>
        <v>#N/A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 t="e">
        <f>EXP(-LN(2)/35)*CK69+(1-EXP(-LN(2)/35))/(LN(2)/35)*CG70*CH70*VLOOKUP('Données projet'!$B$12,Paramètres!$A$1:$I$89,3,0)*0.475*44/12</f>
        <v>#N/A</v>
      </c>
      <c r="CL70" s="21" t="e">
        <f>EXP(-LN(2)/25)*CL69+(1-EXP(-LN(2)/25))/(LN(2)/25)*Calculateur!CG70*Calculateur!CI70*VLOOKUP('Données projet'!$B$12,Paramètres!$A$1:$I$89,3,0)*0.475*44/12</f>
        <v>#N/A</v>
      </c>
      <c r="CM70" s="21" t="e">
        <f>EXP(-LN(2)/2)*CM69+(1-EXP(-LN(2)/2))/(LN(2)/2)*CG70*CJ70*VLOOKUP('Données projet'!$B$12,Paramètres!$A$1:$I$89,3,0)*0.475*44/12</f>
        <v>#N/A</v>
      </c>
      <c r="CN70" s="22" t="e">
        <f t="shared" si="66"/>
        <v>#N/A</v>
      </c>
      <c r="CO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0</v>
      </c>
      <c r="CT70" s="12">
        <f>IF('Données projet'!$A$140&gt;35,CT69+CS70-DB69,IF(A70&lt;'Données projet'!$A$140,$CQ$205^A70,IF(A70='Données projet'!$A$140,'Données projet'!$B$140,CT69+CS70-DB69)))</f>
        <v>0</v>
      </c>
      <c r="CU70" s="17" t="e">
        <f>CT70*VLOOKUP('Données projet'!$B$13,Paramètres!$A$1:$I$89,3,0)*VLOOKUP('Données projet'!$B$13,Paramètres!$A$1:$I$89,5,0)</f>
        <v>#N/A</v>
      </c>
      <c r="CV70" s="13" t="e">
        <f t="shared" si="95"/>
        <v>#N/A</v>
      </c>
      <c r="CW70" s="20" t="e">
        <f t="shared" si="67"/>
        <v>#N/A</v>
      </c>
      <c r="CX70" s="59" t="e">
        <f t="shared" si="68"/>
        <v>#N/A</v>
      </c>
      <c r="CY70" s="59" t="e">
        <f ca="1">AVERAGE(OFFSET($CX$3,0,0,'Données projet'!$E$13+1,1))-AVERAGE(OFFSET($H$3,0,0,'Données projet'!$E$13+1,1))</f>
        <v>#N/A</v>
      </c>
      <c r="CZ70" s="59" t="e">
        <f t="shared" si="96"/>
        <v>#N/A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 t="e">
        <f>EXP(-LN(2)/35)*DF69+(1-EXP(-LN(2)/35))/(LN(2)/35)*DB70*DC70*VLOOKUP('Données projet'!$B$13,Paramètres!$A$1:$I$89,3,0)*0.475*44/12</f>
        <v>#N/A</v>
      </c>
      <c r="DG70" s="21" t="e">
        <f>EXP(-LN(2)/25)*DG69+(1-EXP(-LN(2)/25))/(LN(2)/25)*Calculateur!DB70*Calculateur!DD70*VLOOKUP('Données projet'!$B$13,Paramètres!$A$1:$I$89,3,0)*0.475*44/12</f>
        <v>#N/A</v>
      </c>
      <c r="DH70" s="21" t="e">
        <f>EXP(-LN(2)/2)*DH69+(1-EXP(-LN(2)/2))/(LN(2)/2)*DB70*DE70*VLOOKUP('Données projet'!$B$13,Paramètres!$A$1:$I$89,3,0)*0.475*44/12</f>
        <v>#N/A</v>
      </c>
      <c r="DI70" s="22" t="e">
        <f t="shared" si="69"/>
        <v>#N/A</v>
      </c>
      <c r="DJ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0</v>
      </c>
      <c r="DO70" s="12">
        <f>IF('Données projet'!$A$166&gt;35,DO69+DN70-DW69,IF(A70&lt;'Données projet'!$A$166,$DL$205^A70,IF(A70='Données projet'!$A$166,'Données projet'!$B$166,DO69+DN70-DW69)))</f>
        <v>0</v>
      </c>
      <c r="DP70" s="17" t="e">
        <f>DO70*VLOOKUP('Données projet'!$B$14,Paramètres!$A$1:$I$89,3,0)*VLOOKUP('Données projet'!$B$14,Paramètres!$A$1:$I$89,5,0)</f>
        <v>#N/A</v>
      </c>
      <c r="DQ70" s="13" t="e">
        <f t="shared" si="97"/>
        <v>#N/A</v>
      </c>
      <c r="DR70" s="20" t="e">
        <f t="shared" si="70"/>
        <v>#N/A</v>
      </c>
      <c r="DS70" s="59" t="e">
        <f t="shared" si="71"/>
        <v>#N/A</v>
      </c>
      <c r="DT70" s="59" t="e">
        <f ca="1">AVERAGE(OFFSET($DS$3,0,0,'Données projet'!$E$14+1,1))-AVERAGE(OFFSET($H$3,0,0,'Données projet'!$E$14+1,1))</f>
        <v>#N/A</v>
      </c>
      <c r="DU70" s="59" t="e">
        <f t="shared" si="98"/>
        <v>#N/A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 t="e">
        <f>EXP(-LN(2)/35)*EA69+(1-EXP(-LN(2)/35))/(LN(2)/35)*DW70*DX70*VLOOKUP('Données projet'!$B$14,Paramètres!$A$1:$I$89,3,0)*0.475*44/12</f>
        <v>#N/A</v>
      </c>
      <c r="EB70" s="21" t="e">
        <f>EXP(-LN(2)/25)*EB69+(1-EXP(-LN(2)/25))/(LN(2)/25)*Calculateur!DW70*Calculateur!DY70*VLOOKUP('Données projet'!$B$14,Paramètres!$A$1:$I$89,3,0)*0.475*44/12</f>
        <v>#N/A</v>
      </c>
      <c r="EC70" s="21" t="e">
        <f>EXP(-LN(2)/2)*EC69+(1-EXP(-LN(2)/2))/(LN(2)/2)*DW70*DZ70*VLOOKUP('Données projet'!$B$14,Paramètres!$A$1:$I$89,3,0)*0.475*44/12</f>
        <v>#N/A</v>
      </c>
      <c r="ED70" s="22" t="e">
        <f t="shared" si="72"/>
        <v>#N/A</v>
      </c>
      <c r="EE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0</v>
      </c>
      <c r="EJ70" s="12">
        <f>IF('Données projet'!$A$192&gt;35,EJ69+EI70-ER69,IF(A70&lt;'Données projet'!$A$192,$EG$205^A70,IF(A70='Données projet'!$A$192,'Données projet'!$B$192,EJ69+EI70-ER69)))</f>
        <v>0</v>
      </c>
      <c r="EK70" s="17" t="e">
        <f>EJ70*VLOOKUP('Données projet'!$B$15,Paramètres!$A$1:$I$89,3,0)*VLOOKUP('Données projet'!$B$15,Paramètres!$A$1:$I$89,5,0)</f>
        <v>#N/A</v>
      </c>
      <c r="EL70" s="13" t="e">
        <f t="shared" si="99"/>
        <v>#N/A</v>
      </c>
      <c r="EM70" s="20" t="e">
        <f t="shared" si="73"/>
        <v>#N/A</v>
      </c>
      <c r="EN70" s="59" t="e">
        <f t="shared" si="74"/>
        <v>#N/A</v>
      </c>
      <c r="EO70" s="59" t="e">
        <f ca="1">AVERAGE(OFFSET($EN$3,0,0,'Données projet'!$E$15+1,1))-AVERAGE(OFFSET($H$3,0,0,'Données projet'!$E$15+1,1))</f>
        <v>#N/A</v>
      </c>
      <c r="EP70" s="59" t="e">
        <f t="shared" si="100"/>
        <v>#N/A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 t="e">
        <f>EXP(-LN(2)/35)*EV69+(1-EXP(-LN(2)/35))/(LN(2)/35)*ER70*ES70*VLOOKUP('Données projet'!$B$15,Paramètres!$A$1:$I$89,3,0)*0.475*44/12</f>
        <v>#N/A</v>
      </c>
      <c r="EW70" s="21" t="e">
        <f>EXP(-LN(2)/25)*EW69+(1-EXP(-LN(2)/25))/(LN(2)/25)*Calculateur!ER70*Calculateur!ET70*VLOOKUP('Données projet'!$B$15,Paramètres!$A$1:$I$89,3,0)*0.475*44/12</f>
        <v>#N/A</v>
      </c>
      <c r="EX70" s="21" t="e">
        <f>EXP(-LN(2)/2)*EX69+(1-EXP(-LN(2)/2))/(LN(2)/2)*ER70*EU70*VLOOKUP('Données projet'!$B$15,Paramètres!$A$1:$I$89,3,0)*0.475*44/12</f>
        <v>#N/A</v>
      </c>
      <c r="EY70" s="22" t="e">
        <f t="shared" si="75"/>
        <v>#N/A</v>
      </c>
      <c r="EZ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9" t="e">
        <f t="shared" si="77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45">
      <c r="A71" s="10">
        <f t="shared" si="85"/>
        <v>68</v>
      </c>
      <c r="B71" s="73">
        <f>'Scénario référence'!$B$16*5+'Scénario référence'!$B$17*0+'Scénario référence'!$B$18*5</f>
        <v>0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60.465600000000066</v>
      </c>
      <c r="D71" s="11">
        <f t="shared" si="86"/>
        <v>17.285934288248221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">
        <f>IF(OR('Scénario référence'!$F$8&gt;0,'Scénario référence'!$F$9&gt;0),('Scénario référence'!$F$8+'Scénario référence'!$F$9)*10,0)</f>
        <v>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600.18728222507445</v>
      </c>
      <c r="H71" s="67">
        <f t="shared" si="56"/>
        <v>392.08392221869906</v>
      </c>
      <c r="I71" s="7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10.513</v>
      </c>
      <c r="N71" s="13">
        <f>IF('Données projet'!$A$36&gt;35,N70+M71-V70,IF(A71&lt;'Données projet'!$A$36,$K$205^A71,IF(A71='Données projet'!$A$36,'Données projet'!$B$36,N70+M71-V70)))</f>
        <v>410.29799999999994</v>
      </c>
      <c r="O71" s="13">
        <f>N71*VLOOKUP('Données projet'!$B$9,Paramètres!$A$1:$I$89,3,0)*VLOOKUP('Données projet'!$B$9,Paramètres!$A$1:$I$89,5,0)</f>
        <v>229.35658199999997</v>
      </c>
      <c r="P71" s="13">
        <f t="shared" si="87"/>
        <v>56.143536841975539</v>
      </c>
      <c r="Q71" s="20">
        <f t="shared" si="54"/>
        <v>497.24604031644066</v>
      </c>
      <c r="R71" s="59">
        <f t="shared" si="55"/>
        <v>790.57937364977397</v>
      </c>
      <c r="S71" s="59">
        <f ca="1">AVERAGE(OFFSET($R$3,0,0,'Données projet'!$E$9+1,1))-AVERAGE(OFFSET($H$3,0,0,'Données projet'!$E$9+1,1))</f>
        <v>280.69347314340195</v>
      </c>
      <c r="T71" s="59">
        <f t="shared" si="88"/>
        <v>152.40533828556482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34.681616138254853</v>
      </c>
      <c r="AA71" s="21">
        <f>EXP(-LN(2)/25)*AA70+(1-EXP(-LN(2)/25))/(LN(2)/25)*Calculateur!V71*Calculateur!X71*VLOOKUP('Données projet'!$B$9,Paramètres!$A$1:$I$89,3,0)*0.475*44/12</f>
        <v>18.7139131571398</v>
      </c>
      <c r="AB71" s="21">
        <f>EXP(-LN(2)/2)*AB70+(1-EXP(-LN(2)/2))/(LN(2)/2)*V71*Y71*VLOOKUP('Données projet'!$B$9,Paramètres!$A$1:$I$89,3,0)*0.475*44/12</f>
        <v>1.078102675597538</v>
      </c>
      <c r="AC71" s="22">
        <f t="shared" si="57"/>
        <v>54.473631970992187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0</v>
      </c>
      <c r="AI71" s="13">
        <f>IF('Données projet'!$A$62&gt;35,AI70+AH71-AQ70,IF(A71&lt;'Données projet'!$A$62,$AF$205^A71,IF(A71='Données projet'!$A$62,'Données projet'!$B$62,AI70+AH71-AQ70)))</f>
        <v>0</v>
      </c>
      <c r="AJ71" s="13">
        <f>AI71*VLOOKUP('Données projet'!$B$10,Paramètres!$A$1:$I$89,3,0)*VLOOKUP('Données projet'!$B$10,Paramètres!$A$1:$I$89,5,0)</f>
        <v>0</v>
      </c>
      <c r="AK71" s="13" t="e">
        <f t="shared" si="89"/>
        <v>#NUM!</v>
      </c>
      <c r="AL71" s="20" t="e">
        <f t="shared" si="58"/>
        <v>#NUM!</v>
      </c>
      <c r="AM71" s="59" t="e">
        <f t="shared" si="59"/>
        <v>#NUM!</v>
      </c>
      <c r="AN71" s="59">
        <f ca="1">AVERAGE(OFFSET($AM$3,0,0,'Données projet'!$E$10+1,1))-AVERAGE(OFFSET($H$3,0,0,'Données projet'!$E$10+1,1))</f>
        <v>179.4725256147085</v>
      </c>
      <c r="AO71" s="59">
        <f t="shared" si="90"/>
        <v>282.16750121151176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123.23076072786651</v>
      </c>
      <c r="AV71" s="21">
        <f>EXP(-LN(2)/25)*AV70+(1-EXP(-LN(2)/25))/(LN(2)/25)*Calculateur!AQ71*Calculateur!AS71*VLOOKUP('Données projet'!$B$10,Paramètres!$A$1:$I$89,3,0)*0.475*44/12</f>
        <v>39.142616959627752</v>
      </c>
      <c r="AW71" s="21">
        <f>EXP(-LN(2)/2)*AW70+(1-EXP(-LN(2)/2))/(LN(2)/2)*AQ71*AT71*VLOOKUP('Données projet'!$B$10,Paramètres!$A$1:$I$89,3,0)*0.475*44/12</f>
        <v>2.6950248671702548</v>
      </c>
      <c r="AX71" s="21">
        <f t="shared" si="60"/>
        <v>165.06840255466452</v>
      </c>
      <c r="AY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10.812222222222223</v>
      </c>
      <c r="BD71" s="12">
        <f>IF('Données projet'!$A$88&gt;35,BD70+BC71-BL70,IF(A71&lt;'Données projet'!$A$88,$BA$205^A71,IF(A71='Données projet'!$A$88,'Données projet'!$B$88,BD70+BC71-BL70)))</f>
        <v>199.12444444444483</v>
      </c>
      <c r="BE71" s="13">
        <f>BD71*VLOOKUP('Données projet'!$B$11,Paramètres!$A$1:$I$89,3,0)*VLOOKUP('Données projet'!$B$11,Paramètres!$A$1:$I$89,5,0)</f>
        <v>170.8487733333337</v>
      </c>
      <c r="BF71" s="13">
        <f t="shared" si="91"/>
        <v>43.280065440953479</v>
      </c>
      <c r="BG71" s="20">
        <f t="shared" si="61"/>
        <v>372.9410608652168</v>
      </c>
      <c r="BH71" s="59">
        <f t="shared" si="62"/>
        <v>666.27439419855011</v>
      </c>
      <c r="BI71" s="59">
        <f ca="1">AVERAGE(OFFSET($BH$3,0,0,'Données projet'!$E$11+1,1))-AVERAGE(OFFSET($H$3,0,0,'Données projet'!$E$11+1,1))</f>
        <v>312.89478437044261</v>
      </c>
      <c r="BJ71" s="59">
        <f t="shared" si="92"/>
        <v>276.16555507854571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>
        <f>EXP(-LN(2)/35)*BP70+(1-EXP(-LN(2)/35))/(LN(2)/35)*BL71*BM71*VLOOKUP('Données projet'!$B$11,Paramètres!$A$1:$I$89,3,0)*0.475*44/12</f>
        <v>0</v>
      </c>
      <c r="BQ71" s="21">
        <f>EXP(-LN(2)/25)*BQ70+(1-EXP(-LN(2)/25))/(LN(2)/25)*Calculateur!BL71*Calculateur!BN71*VLOOKUP('Données projet'!$B$11,Paramètres!$A$1:$I$89,3,0)*0.475*44/12</f>
        <v>45.552559525805208</v>
      </c>
      <c r="BR71" s="21">
        <f>EXP(-LN(2)/2)*BR70+(1-EXP(-LN(2)/2))/(LN(2)/2)*BL71*BO71*VLOOKUP('Données projet'!$B$11,Paramètres!$A$1:$I$89,3,0)*0.475*44/12</f>
        <v>16.932398611675168</v>
      </c>
      <c r="BS71" s="22">
        <f t="shared" si="63"/>
        <v>62.484958137480376</v>
      </c>
      <c r="BT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0</v>
      </c>
      <c r="BY71" s="12">
        <f>IF('Données projet'!$A$114&gt;35,BY70+BX71-CG70,IF(A71&lt;'Données projet'!$A$114,$BV$205^A71,IF(A71='Données projet'!$A$114,'Données projet'!$B$114,BY70+BX71-CG70)))</f>
        <v>0</v>
      </c>
      <c r="BZ71" s="13" t="e">
        <f>BY71*VLOOKUP('Données projet'!$B$12,Paramètres!$A$1:$I$89,3,0)*VLOOKUP('Données projet'!$B$12,Paramètres!$A$1:$I$89,5,0)</f>
        <v>#N/A</v>
      </c>
      <c r="CA71" s="13" t="e">
        <f t="shared" si="93"/>
        <v>#N/A</v>
      </c>
      <c r="CB71" s="20" t="e">
        <f t="shared" si="64"/>
        <v>#N/A</v>
      </c>
      <c r="CC71" s="59" t="e">
        <f t="shared" si="65"/>
        <v>#N/A</v>
      </c>
      <c r="CD71" s="59" t="e">
        <f ca="1">AVERAGE(OFFSET($CC$3,0,0,'Données projet'!$E$12+1,1))-AVERAGE(OFFSET($H$3,0,0,'Données projet'!$E$12+1,1))</f>
        <v>#N/A</v>
      </c>
      <c r="CE71" s="59" t="e">
        <f t="shared" si="94"/>
        <v>#N/A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 t="e">
        <f>EXP(-LN(2)/35)*CK70+(1-EXP(-LN(2)/35))/(LN(2)/35)*CG71*CH71*VLOOKUP('Données projet'!$B$12,Paramètres!$A$1:$I$89,3,0)*0.475*44/12</f>
        <v>#N/A</v>
      </c>
      <c r="CL71" s="21" t="e">
        <f>EXP(-LN(2)/25)*CL70+(1-EXP(-LN(2)/25))/(LN(2)/25)*Calculateur!CG71*Calculateur!CI71*VLOOKUP('Données projet'!$B$12,Paramètres!$A$1:$I$89,3,0)*0.475*44/12</f>
        <v>#N/A</v>
      </c>
      <c r="CM71" s="21" t="e">
        <f>EXP(-LN(2)/2)*CM70+(1-EXP(-LN(2)/2))/(LN(2)/2)*CG71*CJ71*VLOOKUP('Données projet'!$B$12,Paramètres!$A$1:$I$89,3,0)*0.475*44/12</f>
        <v>#N/A</v>
      </c>
      <c r="CN71" s="22" t="e">
        <f t="shared" si="66"/>
        <v>#N/A</v>
      </c>
      <c r="CO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0</v>
      </c>
      <c r="CT71" s="12">
        <f>IF('Données projet'!$A$140&gt;35,CT70+CS71-DB70,IF(A71&lt;'Données projet'!$A$140,$CQ$205^A71,IF(A71='Données projet'!$A$140,'Données projet'!$B$140,CT70+CS71-DB70)))</f>
        <v>0</v>
      </c>
      <c r="CU71" s="17" t="e">
        <f>CT71*VLOOKUP('Données projet'!$B$13,Paramètres!$A$1:$I$89,3,0)*VLOOKUP('Données projet'!$B$13,Paramètres!$A$1:$I$89,5,0)</f>
        <v>#N/A</v>
      </c>
      <c r="CV71" s="13" t="e">
        <f t="shared" si="95"/>
        <v>#N/A</v>
      </c>
      <c r="CW71" s="20" t="e">
        <f t="shared" si="67"/>
        <v>#N/A</v>
      </c>
      <c r="CX71" s="59" t="e">
        <f t="shared" si="68"/>
        <v>#N/A</v>
      </c>
      <c r="CY71" s="59" t="e">
        <f ca="1">AVERAGE(OFFSET($CX$3,0,0,'Données projet'!$E$13+1,1))-AVERAGE(OFFSET($H$3,0,0,'Données projet'!$E$13+1,1))</f>
        <v>#N/A</v>
      </c>
      <c r="CZ71" s="59" t="e">
        <f t="shared" si="96"/>
        <v>#N/A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 t="e">
        <f>EXP(-LN(2)/35)*DF70+(1-EXP(-LN(2)/35))/(LN(2)/35)*DB71*DC71*VLOOKUP('Données projet'!$B$13,Paramètres!$A$1:$I$89,3,0)*0.475*44/12</f>
        <v>#N/A</v>
      </c>
      <c r="DG71" s="21" t="e">
        <f>EXP(-LN(2)/25)*DG70+(1-EXP(-LN(2)/25))/(LN(2)/25)*Calculateur!DB71*Calculateur!DD71*VLOOKUP('Données projet'!$B$13,Paramètres!$A$1:$I$89,3,0)*0.475*44/12</f>
        <v>#N/A</v>
      </c>
      <c r="DH71" s="21" t="e">
        <f>EXP(-LN(2)/2)*DH70+(1-EXP(-LN(2)/2))/(LN(2)/2)*DB71*DE71*VLOOKUP('Données projet'!$B$13,Paramètres!$A$1:$I$89,3,0)*0.475*44/12</f>
        <v>#N/A</v>
      </c>
      <c r="DI71" s="22" t="e">
        <f t="shared" si="69"/>
        <v>#N/A</v>
      </c>
      <c r="DJ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0</v>
      </c>
      <c r="DO71" s="12">
        <f>IF('Données projet'!$A$166&gt;35,DO70+DN71-DW70,IF(A71&lt;'Données projet'!$A$166,$DL$205^A71,IF(A71='Données projet'!$A$166,'Données projet'!$B$166,DO70+DN71-DW70)))</f>
        <v>0</v>
      </c>
      <c r="DP71" s="17" t="e">
        <f>DO71*VLOOKUP('Données projet'!$B$14,Paramètres!$A$1:$I$89,3,0)*VLOOKUP('Données projet'!$B$14,Paramètres!$A$1:$I$89,5,0)</f>
        <v>#N/A</v>
      </c>
      <c r="DQ71" s="13" t="e">
        <f t="shared" si="97"/>
        <v>#N/A</v>
      </c>
      <c r="DR71" s="20" t="e">
        <f t="shared" si="70"/>
        <v>#N/A</v>
      </c>
      <c r="DS71" s="59" t="e">
        <f t="shared" si="71"/>
        <v>#N/A</v>
      </c>
      <c r="DT71" s="59" t="e">
        <f ca="1">AVERAGE(OFFSET($DS$3,0,0,'Données projet'!$E$14+1,1))-AVERAGE(OFFSET($H$3,0,0,'Données projet'!$E$14+1,1))</f>
        <v>#N/A</v>
      </c>
      <c r="DU71" s="59" t="e">
        <f t="shared" si="98"/>
        <v>#N/A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 t="e">
        <f>EXP(-LN(2)/35)*EA70+(1-EXP(-LN(2)/35))/(LN(2)/35)*DW71*DX71*VLOOKUP('Données projet'!$B$14,Paramètres!$A$1:$I$89,3,0)*0.475*44/12</f>
        <v>#N/A</v>
      </c>
      <c r="EB71" s="21" t="e">
        <f>EXP(-LN(2)/25)*EB70+(1-EXP(-LN(2)/25))/(LN(2)/25)*Calculateur!DW71*Calculateur!DY71*VLOOKUP('Données projet'!$B$14,Paramètres!$A$1:$I$89,3,0)*0.475*44/12</f>
        <v>#N/A</v>
      </c>
      <c r="EC71" s="21" t="e">
        <f>EXP(-LN(2)/2)*EC70+(1-EXP(-LN(2)/2))/(LN(2)/2)*DW71*DZ71*VLOOKUP('Données projet'!$B$14,Paramètres!$A$1:$I$89,3,0)*0.475*44/12</f>
        <v>#N/A</v>
      </c>
      <c r="ED71" s="22" t="e">
        <f t="shared" si="72"/>
        <v>#N/A</v>
      </c>
      <c r="EE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0</v>
      </c>
      <c r="EJ71" s="12">
        <f>IF('Données projet'!$A$192&gt;35,EJ70+EI71-ER70,IF(A71&lt;'Données projet'!$A$192,$EG$205^A71,IF(A71='Données projet'!$A$192,'Données projet'!$B$192,EJ70+EI71-ER70)))</f>
        <v>0</v>
      </c>
      <c r="EK71" s="17" t="e">
        <f>EJ71*VLOOKUP('Données projet'!$B$15,Paramètres!$A$1:$I$89,3,0)*VLOOKUP('Données projet'!$B$15,Paramètres!$A$1:$I$89,5,0)</f>
        <v>#N/A</v>
      </c>
      <c r="EL71" s="13" t="e">
        <f t="shared" si="99"/>
        <v>#N/A</v>
      </c>
      <c r="EM71" s="20" t="e">
        <f t="shared" si="73"/>
        <v>#N/A</v>
      </c>
      <c r="EN71" s="59" t="e">
        <f t="shared" si="74"/>
        <v>#N/A</v>
      </c>
      <c r="EO71" s="59" t="e">
        <f ca="1">AVERAGE(OFFSET($EN$3,0,0,'Données projet'!$E$15+1,1))-AVERAGE(OFFSET($H$3,0,0,'Données projet'!$E$15+1,1))</f>
        <v>#N/A</v>
      </c>
      <c r="EP71" s="59" t="e">
        <f t="shared" si="100"/>
        <v>#N/A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 t="e">
        <f>EXP(-LN(2)/35)*EV70+(1-EXP(-LN(2)/35))/(LN(2)/35)*ER71*ES71*VLOOKUP('Données projet'!$B$15,Paramètres!$A$1:$I$89,3,0)*0.475*44/12</f>
        <v>#N/A</v>
      </c>
      <c r="EW71" s="21" t="e">
        <f>EXP(-LN(2)/25)*EW70+(1-EXP(-LN(2)/25))/(LN(2)/25)*Calculateur!ER71*Calculateur!ET71*VLOOKUP('Données projet'!$B$15,Paramètres!$A$1:$I$89,3,0)*0.475*44/12</f>
        <v>#N/A</v>
      </c>
      <c r="EX71" s="21" t="e">
        <f>EXP(-LN(2)/2)*EX70+(1-EXP(-LN(2)/2))/(LN(2)/2)*ER71*EU71*VLOOKUP('Données projet'!$B$15,Paramètres!$A$1:$I$89,3,0)*0.475*44/12</f>
        <v>#N/A</v>
      </c>
      <c r="EY71" s="22" t="e">
        <f t="shared" si="75"/>
        <v>#N/A</v>
      </c>
      <c r="EZ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9" t="e">
        <f t="shared" si="77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45">
      <c r="A72" s="10">
        <f t="shared" si="85"/>
        <v>69</v>
      </c>
      <c r="B72" s="73">
        <f>'Scénario référence'!$B$16*5+'Scénario référence'!$B$17*0+'Scénario référence'!$B$18*5</f>
        <v>0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61.354800000000068</v>
      </c>
      <c r="D72" s="11">
        <f t="shared" si="86"/>
        <v>17.510358551572637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">
        <f>IF(OR('Scénario référence'!$F$8&gt;0,'Scénario référence'!$F$9&gt;0),('Scénario référence'!$F$8+'Scénario référence'!$F$9)*10,0)</f>
        <v>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608.7836800472279</v>
      </c>
      <c r="H72" s="67">
        <f t="shared" si="56"/>
        <v>394.02348447732243</v>
      </c>
      <c r="I72" s="7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10.513</v>
      </c>
      <c r="N72" s="13">
        <f>IF('Données projet'!$A$36&gt;35,N71+M72-V71,IF(A72&lt;'Données projet'!$A$36,$K$205^A72,IF(A72='Données projet'!$A$36,'Données projet'!$B$36,N71+M72-V71)))</f>
        <v>420.81099999999992</v>
      </c>
      <c r="O72" s="13">
        <f>N72*VLOOKUP('Données projet'!$B$9,Paramètres!$A$1:$I$89,3,0)*VLOOKUP('Données projet'!$B$9,Paramètres!$A$1:$I$89,5,0)</f>
        <v>235.23334899999995</v>
      </c>
      <c r="P72" s="13">
        <f t="shared" si="87"/>
        <v>57.41276797691247</v>
      </c>
      <c r="Q72" s="20">
        <f t="shared" si="54"/>
        <v>509.69198706812244</v>
      </c>
      <c r="R72" s="59">
        <f t="shared" si="55"/>
        <v>803.0253204014557</v>
      </c>
      <c r="S72" s="59">
        <f ca="1">AVERAGE(OFFSET($R$3,0,0,'Données projet'!$E$9+1,1))-AVERAGE(OFFSET($H$3,0,0,'Données projet'!$E$9+1,1))</f>
        <v>280.69347314340195</v>
      </c>
      <c r="T72" s="59">
        <f t="shared" si="88"/>
        <v>152.40533828556482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34.001530799480769</v>
      </c>
      <c r="AA72" s="21">
        <f>EXP(-LN(2)/25)*AA71+(1-EXP(-LN(2)/25))/(LN(2)/25)*Calculateur!V72*Calculateur!X72*VLOOKUP('Données projet'!$B$9,Paramètres!$A$1:$I$89,3,0)*0.475*44/12</f>
        <v>18.20218021773589</v>
      </c>
      <c r="AB72" s="21">
        <f>EXP(-LN(2)/2)*AB71+(1-EXP(-LN(2)/2))/(LN(2)/2)*V72*Y72*VLOOKUP('Données projet'!$B$9,Paramètres!$A$1:$I$89,3,0)*0.475*44/12</f>
        <v>0.76233371273037975</v>
      </c>
      <c r="AC72" s="22">
        <f t="shared" si="57"/>
        <v>52.966044729947043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0</v>
      </c>
      <c r="AI72" s="13">
        <f>IF('Données projet'!$A$62&gt;35,AI71+AH72-AQ71,IF(A72&lt;'Données projet'!$A$62,$AF$205^A72,IF(A72='Données projet'!$A$62,'Données projet'!$B$62,AI71+AH72-AQ71)))</f>
        <v>0</v>
      </c>
      <c r="AJ72" s="13">
        <f>AI72*VLOOKUP('Données projet'!$B$10,Paramètres!$A$1:$I$89,3,0)*VLOOKUP('Données projet'!$B$10,Paramètres!$A$1:$I$89,5,0)</f>
        <v>0</v>
      </c>
      <c r="AK72" s="13" t="e">
        <f t="shared" si="89"/>
        <v>#NUM!</v>
      </c>
      <c r="AL72" s="20" t="e">
        <f t="shared" si="58"/>
        <v>#NUM!</v>
      </c>
      <c r="AM72" s="59" t="e">
        <f t="shared" si="59"/>
        <v>#NUM!</v>
      </c>
      <c r="AN72" s="59">
        <f ca="1">AVERAGE(OFFSET($AM$3,0,0,'Données projet'!$E$10+1,1))-AVERAGE(OFFSET($H$3,0,0,'Données projet'!$E$10+1,1))</f>
        <v>179.4725256147085</v>
      </c>
      <c r="AO72" s="59">
        <f t="shared" si="90"/>
        <v>282.16750121151176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120.81428067333533</v>
      </c>
      <c r="AV72" s="21">
        <f>EXP(-LN(2)/25)*AV71+(1-EXP(-LN(2)/25))/(LN(2)/25)*Calculateur!AQ72*Calculateur!AS72*VLOOKUP('Données projet'!$B$10,Paramètres!$A$1:$I$89,3,0)*0.475*44/12</f>
        <v>38.072260040445968</v>
      </c>
      <c r="AW72" s="21">
        <f>EXP(-LN(2)/2)*AW71+(1-EXP(-LN(2)/2))/(LN(2)/2)*AQ72*AT72*VLOOKUP('Données projet'!$B$10,Paramètres!$A$1:$I$89,3,0)*0.475*44/12</f>
        <v>1.9056703590424617</v>
      </c>
      <c r="AX72" s="21">
        <f t="shared" si="60"/>
        <v>160.79221107282376</v>
      </c>
      <c r="AY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10.812222222222223</v>
      </c>
      <c r="BD72" s="12">
        <f>IF('Données projet'!$A$88&gt;35,BD71+BC72-BL71,IF(A72&lt;'Données projet'!$A$88,$BA$205^A72,IF(A72='Données projet'!$A$88,'Données projet'!$B$88,BD71+BC72-BL71)))</f>
        <v>209.93666666666707</v>
      </c>
      <c r="BE72" s="13">
        <f>BD72*VLOOKUP('Données projet'!$B$11,Paramètres!$A$1:$I$89,3,0)*VLOOKUP('Données projet'!$B$11,Paramètres!$A$1:$I$89,5,0)</f>
        <v>180.12566000000035</v>
      </c>
      <c r="BF72" s="13">
        <f t="shared" si="91"/>
        <v>45.350142065814751</v>
      </c>
      <c r="BG72" s="20">
        <f t="shared" si="61"/>
        <v>392.70368859796127</v>
      </c>
      <c r="BH72" s="59">
        <f t="shared" si="62"/>
        <v>686.03702193129459</v>
      </c>
      <c r="BI72" s="59">
        <f ca="1">AVERAGE(OFFSET($BH$3,0,0,'Données projet'!$E$11+1,1))-AVERAGE(OFFSET($H$3,0,0,'Données projet'!$E$11+1,1))</f>
        <v>312.89478437044261</v>
      </c>
      <c r="BJ72" s="59">
        <f t="shared" si="92"/>
        <v>276.16555507854571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>
        <f>EXP(-LN(2)/35)*BP71+(1-EXP(-LN(2)/35))/(LN(2)/35)*BL72*BM72*VLOOKUP('Données projet'!$B$11,Paramètres!$A$1:$I$89,3,0)*0.475*44/12</f>
        <v>0</v>
      </c>
      <c r="BQ72" s="21">
        <f>EXP(-LN(2)/25)*BQ71+(1-EXP(-LN(2)/25))/(LN(2)/25)*Calculateur!BL72*Calculateur!BN72*VLOOKUP('Données projet'!$B$11,Paramètres!$A$1:$I$89,3,0)*0.475*44/12</f>
        <v>44.306922390067072</v>
      </c>
      <c r="BR72" s="21">
        <f>EXP(-LN(2)/2)*BR71+(1-EXP(-LN(2)/2))/(LN(2)/2)*BL72*BO72*VLOOKUP('Données projet'!$B$11,Paramètres!$A$1:$I$89,3,0)*0.475*44/12</f>
        <v>11.973013880069194</v>
      </c>
      <c r="BS72" s="22">
        <f t="shared" si="63"/>
        <v>56.279936270136268</v>
      </c>
      <c r="BT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0</v>
      </c>
      <c r="BY72" s="12">
        <f>IF('Données projet'!$A$114&gt;35,BY71+BX72-CG71,IF(A72&lt;'Données projet'!$A$114,$BV$205^A72,IF(A72='Données projet'!$A$114,'Données projet'!$B$114,BY71+BX72-CG71)))</f>
        <v>0</v>
      </c>
      <c r="BZ72" s="13" t="e">
        <f>BY72*VLOOKUP('Données projet'!$B$12,Paramètres!$A$1:$I$89,3,0)*VLOOKUP('Données projet'!$B$12,Paramètres!$A$1:$I$89,5,0)</f>
        <v>#N/A</v>
      </c>
      <c r="CA72" s="13" t="e">
        <f t="shared" si="93"/>
        <v>#N/A</v>
      </c>
      <c r="CB72" s="20" t="e">
        <f t="shared" si="64"/>
        <v>#N/A</v>
      </c>
      <c r="CC72" s="59" t="e">
        <f t="shared" si="65"/>
        <v>#N/A</v>
      </c>
      <c r="CD72" s="59" t="e">
        <f ca="1">AVERAGE(OFFSET($CC$3,0,0,'Données projet'!$E$12+1,1))-AVERAGE(OFFSET($H$3,0,0,'Données projet'!$E$12+1,1))</f>
        <v>#N/A</v>
      </c>
      <c r="CE72" s="59" t="e">
        <f t="shared" si="94"/>
        <v>#N/A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 t="e">
        <f>EXP(-LN(2)/35)*CK71+(1-EXP(-LN(2)/35))/(LN(2)/35)*CG72*CH72*VLOOKUP('Données projet'!$B$12,Paramètres!$A$1:$I$89,3,0)*0.475*44/12</f>
        <v>#N/A</v>
      </c>
      <c r="CL72" s="21" t="e">
        <f>EXP(-LN(2)/25)*CL71+(1-EXP(-LN(2)/25))/(LN(2)/25)*Calculateur!CG72*Calculateur!CI72*VLOOKUP('Données projet'!$B$12,Paramètres!$A$1:$I$89,3,0)*0.475*44/12</f>
        <v>#N/A</v>
      </c>
      <c r="CM72" s="21" t="e">
        <f>EXP(-LN(2)/2)*CM71+(1-EXP(-LN(2)/2))/(LN(2)/2)*CG72*CJ72*VLOOKUP('Données projet'!$B$12,Paramètres!$A$1:$I$89,3,0)*0.475*44/12</f>
        <v>#N/A</v>
      </c>
      <c r="CN72" s="22" t="e">
        <f t="shared" si="66"/>
        <v>#N/A</v>
      </c>
      <c r="CO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0</v>
      </c>
      <c r="CT72" s="12">
        <f>IF('Données projet'!$A$140&gt;35,CT71+CS72-DB71,IF(A72&lt;'Données projet'!$A$140,$CQ$205^A72,IF(A72='Données projet'!$A$140,'Données projet'!$B$140,CT71+CS72-DB71)))</f>
        <v>0</v>
      </c>
      <c r="CU72" s="17" t="e">
        <f>CT72*VLOOKUP('Données projet'!$B$13,Paramètres!$A$1:$I$89,3,0)*VLOOKUP('Données projet'!$B$13,Paramètres!$A$1:$I$89,5,0)</f>
        <v>#N/A</v>
      </c>
      <c r="CV72" s="13" t="e">
        <f t="shared" si="95"/>
        <v>#N/A</v>
      </c>
      <c r="CW72" s="20" t="e">
        <f t="shared" si="67"/>
        <v>#N/A</v>
      </c>
      <c r="CX72" s="59" t="e">
        <f t="shared" si="68"/>
        <v>#N/A</v>
      </c>
      <c r="CY72" s="59" t="e">
        <f ca="1">AVERAGE(OFFSET($CX$3,0,0,'Données projet'!$E$13+1,1))-AVERAGE(OFFSET($H$3,0,0,'Données projet'!$E$13+1,1))</f>
        <v>#N/A</v>
      </c>
      <c r="CZ72" s="59" t="e">
        <f t="shared" si="96"/>
        <v>#N/A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 t="e">
        <f>EXP(-LN(2)/35)*DF71+(1-EXP(-LN(2)/35))/(LN(2)/35)*DB72*DC72*VLOOKUP('Données projet'!$B$13,Paramètres!$A$1:$I$89,3,0)*0.475*44/12</f>
        <v>#N/A</v>
      </c>
      <c r="DG72" s="21" t="e">
        <f>EXP(-LN(2)/25)*DG71+(1-EXP(-LN(2)/25))/(LN(2)/25)*Calculateur!DB72*Calculateur!DD72*VLOOKUP('Données projet'!$B$13,Paramètres!$A$1:$I$89,3,0)*0.475*44/12</f>
        <v>#N/A</v>
      </c>
      <c r="DH72" s="21" t="e">
        <f>EXP(-LN(2)/2)*DH71+(1-EXP(-LN(2)/2))/(LN(2)/2)*DB72*DE72*VLOOKUP('Données projet'!$B$13,Paramètres!$A$1:$I$89,3,0)*0.475*44/12</f>
        <v>#N/A</v>
      </c>
      <c r="DI72" s="22" t="e">
        <f t="shared" si="69"/>
        <v>#N/A</v>
      </c>
      <c r="DJ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0</v>
      </c>
      <c r="DO72" s="12">
        <f>IF('Données projet'!$A$166&gt;35,DO71+DN72-DW71,IF(A72&lt;'Données projet'!$A$166,$DL$205^A72,IF(A72='Données projet'!$A$166,'Données projet'!$B$166,DO71+DN72-DW71)))</f>
        <v>0</v>
      </c>
      <c r="DP72" s="17" t="e">
        <f>DO72*VLOOKUP('Données projet'!$B$14,Paramètres!$A$1:$I$89,3,0)*VLOOKUP('Données projet'!$B$14,Paramètres!$A$1:$I$89,5,0)</f>
        <v>#N/A</v>
      </c>
      <c r="DQ72" s="13" t="e">
        <f t="shared" si="97"/>
        <v>#N/A</v>
      </c>
      <c r="DR72" s="20" t="e">
        <f t="shared" si="70"/>
        <v>#N/A</v>
      </c>
      <c r="DS72" s="59" t="e">
        <f t="shared" si="71"/>
        <v>#N/A</v>
      </c>
      <c r="DT72" s="59" t="e">
        <f ca="1">AVERAGE(OFFSET($DS$3,0,0,'Données projet'!$E$14+1,1))-AVERAGE(OFFSET($H$3,0,0,'Données projet'!$E$14+1,1))</f>
        <v>#N/A</v>
      </c>
      <c r="DU72" s="59" t="e">
        <f t="shared" si="98"/>
        <v>#N/A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 t="e">
        <f>EXP(-LN(2)/35)*EA71+(1-EXP(-LN(2)/35))/(LN(2)/35)*DW72*DX72*VLOOKUP('Données projet'!$B$14,Paramètres!$A$1:$I$89,3,0)*0.475*44/12</f>
        <v>#N/A</v>
      </c>
      <c r="EB72" s="21" t="e">
        <f>EXP(-LN(2)/25)*EB71+(1-EXP(-LN(2)/25))/(LN(2)/25)*Calculateur!DW72*Calculateur!DY72*VLOOKUP('Données projet'!$B$14,Paramètres!$A$1:$I$89,3,0)*0.475*44/12</f>
        <v>#N/A</v>
      </c>
      <c r="EC72" s="21" t="e">
        <f>EXP(-LN(2)/2)*EC71+(1-EXP(-LN(2)/2))/(LN(2)/2)*DW72*DZ72*VLOOKUP('Données projet'!$B$14,Paramètres!$A$1:$I$89,3,0)*0.475*44/12</f>
        <v>#N/A</v>
      </c>
      <c r="ED72" s="22" t="e">
        <f t="shared" si="72"/>
        <v>#N/A</v>
      </c>
      <c r="EE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0</v>
      </c>
      <c r="EJ72" s="12">
        <f>IF('Données projet'!$A$192&gt;35,EJ71+EI72-ER71,IF(A72&lt;'Données projet'!$A$192,$EG$205^A72,IF(A72='Données projet'!$A$192,'Données projet'!$B$192,EJ71+EI72-ER71)))</f>
        <v>0</v>
      </c>
      <c r="EK72" s="17" t="e">
        <f>EJ72*VLOOKUP('Données projet'!$B$15,Paramètres!$A$1:$I$89,3,0)*VLOOKUP('Données projet'!$B$15,Paramètres!$A$1:$I$89,5,0)</f>
        <v>#N/A</v>
      </c>
      <c r="EL72" s="13" t="e">
        <f t="shared" si="99"/>
        <v>#N/A</v>
      </c>
      <c r="EM72" s="20" t="e">
        <f t="shared" si="73"/>
        <v>#N/A</v>
      </c>
      <c r="EN72" s="59" t="e">
        <f t="shared" si="74"/>
        <v>#N/A</v>
      </c>
      <c r="EO72" s="59" t="e">
        <f ca="1">AVERAGE(OFFSET($EN$3,0,0,'Données projet'!$E$15+1,1))-AVERAGE(OFFSET($H$3,0,0,'Données projet'!$E$15+1,1))</f>
        <v>#N/A</v>
      </c>
      <c r="EP72" s="59" t="e">
        <f t="shared" si="100"/>
        <v>#N/A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 t="e">
        <f>EXP(-LN(2)/35)*EV71+(1-EXP(-LN(2)/35))/(LN(2)/35)*ER72*ES72*VLOOKUP('Données projet'!$B$15,Paramètres!$A$1:$I$89,3,0)*0.475*44/12</f>
        <v>#N/A</v>
      </c>
      <c r="EW72" s="21" t="e">
        <f>EXP(-LN(2)/25)*EW71+(1-EXP(-LN(2)/25))/(LN(2)/25)*Calculateur!ER72*Calculateur!ET72*VLOOKUP('Données projet'!$B$15,Paramètres!$A$1:$I$89,3,0)*0.475*44/12</f>
        <v>#N/A</v>
      </c>
      <c r="EX72" s="21" t="e">
        <f>EXP(-LN(2)/2)*EX71+(1-EXP(-LN(2)/2))/(LN(2)/2)*ER72*EU72*VLOOKUP('Données projet'!$B$15,Paramètres!$A$1:$I$89,3,0)*0.475*44/12</f>
        <v>#N/A</v>
      </c>
      <c r="EY72" s="22" t="e">
        <f t="shared" si="75"/>
        <v>#N/A</v>
      </c>
      <c r="EZ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9" t="e">
        <f t="shared" si="77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45">
      <c r="A73" s="10">
        <f t="shared" si="85"/>
        <v>70</v>
      </c>
      <c r="B73" s="73">
        <f>'Scénario référence'!$B$16*5+'Scénario référence'!$B$17*0+'Scénario référence'!$B$18*5</f>
        <v>0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62.244000000000071</v>
      </c>
      <c r="D73" s="11">
        <f t="shared" si="86"/>
        <v>17.734404526076464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">
        <f>IF(OR('Scénario référence'!$F$8&gt;0,'Scénario référence'!$F$9&gt;0),('Scénario référence'!$F$8+'Scénario référence'!$F$9)*10,0)</f>
        <v>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617.3771577451522</v>
      </c>
      <c r="H73" s="67">
        <f t="shared" si="56"/>
        <v>395.96238788291669</v>
      </c>
      <c r="I73" s="7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 t="e">
        <f>VLOOKUP(A73,'Données projet'!$A$35:$I$55,2,0)</f>
        <v>#N/A</v>
      </c>
      <c r="L73" s="12" t="e">
        <f>VLOOKUP(A73,'Données projet'!$A$35:$I$55,9,0)</f>
        <v>#N/A</v>
      </c>
      <c r="M73" s="12">
        <f t="array" ref="M73">INDEX(L:L,MIN(IF(ISNUMBER(L73:L269),ROW(L73:L269),"")))</f>
        <v>10.513</v>
      </c>
      <c r="N73" s="13">
        <f>IF('Données projet'!$A$36&gt;35,N72+M73-V72,IF(A73&lt;'Données projet'!$A$36,$K$205^A73,IF(A73='Données projet'!$A$36,'Données projet'!$B$36,N72+M73-V72)))</f>
        <v>431.3239999999999</v>
      </c>
      <c r="O73" s="13">
        <f>N73*VLOOKUP('Données projet'!$B$9,Paramètres!$A$1:$I$89,3,0)*VLOOKUP('Données projet'!$B$9,Paramètres!$A$1:$I$89,5,0)</f>
        <v>241.11011599999995</v>
      </c>
      <c r="P73" s="13">
        <f t="shared" si="87"/>
        <v>58.678313159507468</v>
      </c>
      <c r="Q73" s="20">
        <f t="shared" si="54"/>
        <v>522.13151411947536</v>
      </c>
      <c r="R73" s="59">
        <f t="shared" si="55"/>
        <v>815.46484745280873</v>
      </c>
      <c r="S73" s="59">
        <f ca="1">AVERAGE(OFFSET($R$3,0,0,'Données projet'!$E$9+1,1))-AVERAGE(OFFSET($H$3,0,0,'Données projet'!$E$9+1,1))</f>
        <v>280.69347314340195</v>
      </c>
      <c r="T73" s="59">
        <f t="shared" si="88"/>
        <v>152.40533828556482</v>
      </c>
      <c r="U73" s="15">
        <f>IF(ISNA(VLOOKUP(A73,'Données projet'!$A$35:$I$55,3,0)),0,VLOOKUP(A73,'Données projet'!$A$35:$I$55,3,0))</f>
        <v>0</v>
      </c>
      <c r="V73" s="15">
        <f>IF(ISNA(VLOOKUP(A73,'Données projet'!$A$35:$I$55,4,0)),0,VLOOKUP(A73,'Données projet'!$A$35:$I$55,4,0))</f>
        <v>0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33.33478151938894</v>
      </c>
      <c r="AA73" s="21">
        <f>EXP(-LN(2)/25)*AA72+(1-EXP(-LN(2)/25))/(LN(2)/25)*Calculateur!V73*Calculateur!X73*VLOOKUP('Données projet'!$B$9,Paramètres!$A$1:$I$89,3,0)*0.475*44/12</f>
        <v>17.704440642470846</v>
      </c>
      <c r="AB73" s="21">
        <f>EXP(-LN(2)/2)*AB72+(1-EXP(-LN(2)/2))/(LN(2)/2)*V73*Y73*VLOOKUP('Données projet'!$B$9,Paramètres!$A$1:$I$89,3,0)*0.475*44/12</f>
        <v>0.53905133779876901</v>
      </c>
      <c r="AC73" s="22">
        <f t="shared" si="57"/>
        <v>51.57827349965855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 t="e">
        <f>VLOOKUP(A73,'Données projet'!$A$61:$I$81,2,0)</f>
        <v>#N/A</v>
      </c>
      <c r="AG73" s="12" t="e">
        <f>VLOOKUP(A73,'Données projet'!$A$61:$I$81,9,0)</f>
        <v>#N/A</v>
      </c>
      <c r="AH73" s="12">
        <f t="array" ref="AH73">INDEX(AG:AG,MIN(IF(ISNUMBER(AG73:AG269),ROW(AG73:AG269),"")))</f>
        <v>0</v>
      </c>
      <c r="AI73" s="13">
        <f>IF('Données projet'!$A$62&gt;35,AI72+AH73-AQ72,IF(A73&lt;'Données projet'!$A$62,$AF$205^A73,IF(A73='Données projet'!$A$62,'Données projet'!$B$62,AI72+AH73-AQ72)))</f>
        <v>0</v>
      </c>
      <c r="AJ73" s="13">
        <f>AI73*VLOOKUP('Données projet'!$B$10,Paramètres!$A$1:$I$89,3,0)*VLOOKUP('Données projet'!$B$10,Paramètres!$A$1:$I$89,5,0)</f>
        <v>0</v>
      </c>
      <c r="AK73" s="13" t="e">
        <f t="shared" si="89"/>
        <v>#NUM!</v>
      </c>
      <c r="AL73" s="20" t="e">
        <f t="shared" si="58"/>
        <v>#NUM!</v>
      </c>
      <c r="AM73" s="59" t="e">
        <f t="shared" si="59"/>
        <v>#NUM!</v>
      </c>
      <c r="AN73" s="59">
        <f ca="1">AVERAGE(OFFSET($AM$3,0,0,'Données projet'!$E$10+1,1))-AVERAGE(OFFSET($H$3,0,0,'Données projet'!$E$10+1,1))</f>
        <v>179.4725256147085</v>
      </c>
      <c r="AO73" s="59">
        <f t="shared" si="90"/>
        <v>282.16750121151176</v>
      </c>
      <c r="AP73" s="15">
        <f>IF(ISNA(VLOOKUP(A73,'Données projet'!$A$61:$I$81,3,0)),0,VLOOKUP(A73,'Données projet'!$A$61:$I$81,3,0))</f>
        <v>0</v>
      </c>
      <c r="AQ73" s="15">
        <f>IF(ISNA(VLOOKUP(A73,'Données projet'!$A$61:$I$81,4,0)),0,VLOOKUP(A73,'Données projet'!$A$61:$I$81,4,0))</f>
        <v>0</v>
      </c>
      <c r="AR73" s="16">
        <f>IF(ISNA(VLOOKUP(A73,'Données projet'!$A$61:$I$81,5,0)),0%,VLOOKUP(A73,'Données projet'!$A$61:$I$81,5,0)*VLOOKUP('Données projet'!$B$10,Paramètres!$A$1:$I$89,7,0))</f>
        <v>0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>
        <f>EXP(-LN(2)/35)*AU72+(1-EXP(-LN(2)/35))/(LN(2)/35)*AQ73*AR73*VLOOKUP('Données projet'!$B$10,Paramètres!$A$1:$I$89,3,0)*0.475*44/12</f>
        <v>118.4451863187662</v>
      </c>
      <c r="AV73" s="21">
        <f>EXP(-LN(2)/25)*AV72+(1-EXP(-LN(2)/25))/(LN(2)/25)*Calculateur!AQ73*Calculateur!AS73*VLOOKUP('Données projet'!$B$10,Paramètres!$A$1:$I$89,3,0)*0.475*44/12</f>
        <v>37.031172087506832</v>
      </c>
      <c r="AW73" s="21">
        <f>EXP(-LN(2)/2)*AW72+(1-EXP(-LN(2)/2))/(LN(2)/2)*AQ73*AT73*VLOOKUP('Données projet'!$B$10,Paramètres!$A$1:$I$89,3,0)*0.475*44/12</f>
        <v>1.3475124335851276</v>
      </c>
      <c r="AX73" s="21">
        <f t="shared" si="60"/>
        <v>156.82387083985819</v>
      </c>
      <c r="AY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 t="e">
        <f>VLOOKUP(A73,'Données projet'!$A$87:$I$107,2,0)</f>
        <v>#N/A</v>
      </c>
      <c r="BB73" s="12" t="e">
        <f>VLOOKUP(A73,'Données projet'!$A$87:$I$107,9,0)</f>
        <v>#N/A</v>
      </c>
      <c r="BC73" s="12">
        <f t="array" ref="BC73">INDEX(BB:BB,MIN(IF(ISNUMBER(BB73:BB269),ROW(BB73:BB269),"")))</f>
        <v>10.812222222222223</v>
      </c>
      <c r="BD73" s="12">
        <f>IF('Données projet'!$A$88&gt;35,BD72+BC73-BL72,IF(A73&lt;'Données projet'!$A$88,$BA$205^A73,IF(A73='Données projet'!$A$88,'Données projet'!$B$88,BD72+BC73-BL72)))</f>
        <v>220.7488888888893</v>
      </c>
      <c r="BE73" s="13">
        <f>BD73*VLOOKUP('Données projet'!$B$11,Paramètres!$A$1:$I$89,3,0)*VLOOKUP('Données projet'!$B$11,Paramètres!$A$1:$I$89,5,0)</f>
        <v>189.40254666666704</v>
      </c>
      <c r="BF73" s="13">
        <f t="shared" si="91"/>
        <v>47.407840200237786</v>
      </c>
      <c r="BG73" s="20">
        <f t="shared" si="61"/>
        <v>412.44475712652587</v>
      </c>
      <c r="BH73" s="59">
        <f t="shared" si="62"/>
        <v>705.77809045985919</v>
      </c>
      <c r="BI73" s="59">
        <f ca="1">AVERAGE(OFFSET($BH$3,0,0,'Données projet'!$E$11+1,1))-AVERAGE(OFFSET($H$3,0,0,'Données projet'!$E$11+1,1))</f>
        <v>312.89478437044261</v>
      </c>
      <c r="BJ73" s="59">
        <f t="shared" si="92"/>
        <v>276.16555507854571</v>
      </c>
      <c r="BK73" s="15">
        <f>IF(ISNA(VLOOKUP(A73,'Données projet'!$A$87:$I$107,3,0)),0,VLOOKUP(A73,'Données projet'!$A$87:$I$107,3,0))</f>
        <v>0</v>
      </c>
      <c r="BL73" s="15">
        <f>IF(ISNA(VLOOKUP(A73,'Données projet'!$A$87:$I$107,4,0)),0,VLOOKUP(A73,'Données projet'!$A$87:$I$107,4,0))</f>
        <v>0</v>
      </c>
      <c r="BM73" s="16">
        <f>IF(ISNA(VLOOKUP(A73,'Données projet'!$A$87:$I$107,5,0)),0%,VLOOKUP(A73,'Données projet'!$A$87:$I$107,5,0)*VLOOKUP('Données projet'!$B$11,Paramètres!$A$1:$I$89,7,0))</f>
        <v>0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>
        <f>EXP(-LN(2)/35)*BP72+(1-EXP(-LN(2)/35))/(LN(2)/35)*BL73*BM73*VLOOKUP('Données projet'!$B$11,Paramètres!$A$1:$I$89,3,0)*0.475*44/12</f>
        <v>0</v>
      </c>
      <c r="BQ73" s="21">
        <f>EXP(-LN(2)/25)*BQ72+(1-EXP(-LN(2)/25))/(LN(2)/25)*Calculateur!BL73*Calculateur!BN73*VLOOKUP('Données projet'!$B$11,Paramètres!$A$1:$I$89,3,0)*0.475*44/12</f>
        <v>43.095347267310906</v>
      </c>
      <c r="BR73" s="21">
        <f>EXP(-LN(2)/2)*BR72+(1-EXP(-LN(2)/2))/(LN(2)/2)*BL73*BO73*VLOOKUP('Données projet'!$B$11,Paramètres!$A$1:$I$89,3,0)*0.475*44/12</f>
        <v>8.4661993058375842</v>
      </c>
      <c r="BS73" s="22">
        <f t="shared" si="63"/>
        <v>51.56154657314849</v>
      </c>
      <c r="BT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 t="e">
        <f>VLOOKUP(A73,'Données projet'!$A$113:$I$133,2,0)</f>
        <v>#N/A</v>
      </c>
      <c r="BW73" s="12" t="e">
        <f>VLOOKUP(A73,'Données projet'!$A$113:$I$133,9,0)</f>
        <v>#N/A</v>
      </c>
      <c r="BX73" s="12">
        <f t="array" ref="BX73">INDEX(BW:BW,MIN(IF(ISNUMBER(BW73:BW269),ROW(BW73:BW269),"")))</f>
        <v>0</v>
      </c>
      <c r="BY73" s="12">
        <f>IF('Données projet'!$A$114&gt;35,BY72+BX73-CG72,IF(A73&lt;'Données projet'!$A$114,$BV$205^A73,IF(A73='Données projet'!$A$114,'Données projet'!$B$114,BY72+BX73-CG72)))</f>
        <v>0</v>
      </c>
      <c r="BZ73" s="13" t="e">
        <f>BY73*VLOOKUP('Données projet'!$B$12,Paramètres!$A$1:$I$89,3,0)*VLOOKUP('Données projet'!$B$12,Paramètres!$A$1:$I$89,5,0)</f>
        <v>#N/A</v>
      </c>
      <c r="CA73" s="13" t="e">
        <f t="shared" si="93"/>
        <v>#N/A</v>
      </c>
      <c r="CB73" s="20" t="e">
        <f t="shared" si="64"/>
        <v>#N/A</v>
      </c>
      <c r="CC73" s="59" t="e">
        <f t="shared" si="65"/>
        <v>#N/A</v>
      </c>
      <c r="CD73" s="59" t="e">
        <f ca="1">AVERAGE(OFFSET($CC$3,0,0,'Données projet'!$E$12+1,1))-AVERAGE(OFFSET($H$3,0,0,'Données projet'!$E$12+1,1))</f>
        <v>#N/A</v>
      </c>
      <c r="CE73" s="59" t="e">
        <f t="shared" si="94"/>
        <v>#N/A</v>
      </c>
      <c r="CF73" s="15">
        <f>IF(ISNA(VLOOKUP(A73,'Données projet'!$A$113:$I$133,3,0)),0,VLOOKUP(A73,'Données projet'!$A$113:$I$133,3,0))</f>
        <v>0</v>
      </c>
      <c r="CG73" s="15">
        <f>IF(ISNA(VLOOKUP(A73,'Données projet'!$A$113:$I$133,4,0)),0,VLOOKUP(A73,'Données projet'!$A$113:$I$133,4,0))</f>
        <v>0</v>
      </c>
      <c r="CH73" s="16">
        <f>IF(ISNA(VLOOKUP(A73,'Données projet'!$A$113:$I$133,5,0)),0%,VLOOKUP(A73,'Données projet'!$A$113:$I$133,5,0)*VLOOKUP('Données projet'!$B$12,Paramètres!$A$1:$I$89,7,0))</f>
        <v>0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 t="e">
        <f>EXP(-LN(2)/35)*CK72+(1-EXP(-LN(2)/35))/(LN(2)/35)*CG73*CH73*VLOOKUP('Données projet'!$B$12,Paramètres!$A$1:$I$89,3,0)*0.475*44/12</f>
        <v>#N/A</v>
      </c>
      <c r="CL73" s="21" t="e">
        <f>EXP(-LN(2)/25)*CL72+(1-EXP(-LN(2)/25))/(LN(2)/25)*Calculateur!CG73*Calculateur!CI73*VLOOKUP('Données projet'!$B$12,Paramètres!$A$1:$I$89,3,0)*0.475*44/12</f>
        <v>#N/A</v>
      </c>
      <c r="CM73" s="21" t="e">
        <f>EXP(-LN(2)/2)*CM72+(1-EXP(-LN(2)/2))/(LN(2)/2)*CG73*CJ73*VLOOKUP('Données projet'!$B$12,Paramètres!$A$1:$I$89,3,0)*0.475*44/12</f>
        <v>#N/A</v>
      </c>
      <c r="CN73" s="22" t="e">
        <f t="shared" si="66"/>
        <v>#N/A</v>
      </c>
      <c r="CO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 t="e">
        <f>VLOOKUP(A73,'Données projet'!$A$139:$I$159,2,0)</f>
        <v>#N/A</v>
      </c>
      <c r="CR73" s="12" t="e">
        <f>VLOOKUP(A73,'Données projet'!$A$139:$I$159,9,0)</f>
        <v>#N/A</v>
      </c>
      <c r="CS73" s="12">
        <f t="array" ref="CS73">INDEX(CR:CR,MIN(IF(ISNUMBER(CR73:CR269),ROW(CR73:CR269),"")))</f>
        <v>0</v>
      </c>
      <c r="CT73" s="12">
        <f>IF('Données projet'!$A$140&gt;35,CT72+CS73-DB72,IF(A73&lt;'Données projet'!$A$140,$CQ$205^A73,IF(A73='Données projet'!$A$140,'Données projet'!$B$140,CT72+CS73-DB72)))</f>
        <v>0</v>
      </c>
      <c r="CU73" s="17" t="e">
        <f>CT73*VLOOKUP('Données projet'!$B$13,Paramètres!$A$1:$I$89,3,0)*VLOOKUP('Données projet'!$B$13,Paramètres!$A$1:$I$89,5,0)</f>
        <v>#N/A</v>
      </c>
      <c r="CV73" s="13" t="e">
        <f t="shared" si="95"/>
        <v>#N/A</v>
      </c>
      <c r="CW73" s="20" t="e">
        <f t="shared" si="67"/>
        <v>#N/A</v>
      </c>
      <c r="CX73" s="59" t="e">
        <f t="shared" si="68"/>
        <v>#N/A</v>
      </c>
      <c r="CY73" s="59" t="e">
        <f ca="1">AVERAGE(OFFSET($CX$3,0,0,'Données projet'!$E$13+1,1))-AVERAGE(OFFSET($H$3,0,0,'Données projet'!$E$13+1,1))</f>
        <v>#N/A</v>
      </c>
      <c r="CZ73" s="59" t="e">
        <f t="shared" si="96"/>
        <v>#N/A</v>
      </c>
      <c r="DA73" s="15">
        <f>IF(ISNA(VLOOKUP(A73,'Données projet'!$A$139:$I$159,3,0)),0,VLOOKUP(A73,'Données projet'!$A$139:$I$159,3,0))</f>
        <v>0</v>
      </c>
      <c r="DB73" s="15">
        <f>IF(ISNA(VLOOKUP(A73,'Données projet'!$A$139:$I$159,4,0)),0,VLOOKUP(A73,'Données projet'!$A$139:$I$159,4,0))</f>
        <v>0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 t="e">
        <f>EXP(-LN(2)/35)*DF72+(1-EXP(-LN(2)/35))/(LN(2)/35)*DB73*DC73*VLOOKUP('Données projet'!$B$13,Paramètres!$A$1:$I$89,3,0)*0.475*44/12</f>
        <v>#N/A</v>
      </c>
      <c r="DG73" s="21" t="e">
        <f>EXP(-LN(2)/25)*DG72+(1-EXP(-LN(2)/25))/(LN(2)/25)*Calculateur!DB73*Calculateur!DD73*VLOOKUP('Données projet'!$B$13,Paramètres!$A$1:$I$89,3,0)*0.475*44/12</f>
        <v>#N/A</v>
      </c>
      <c r="DH73" s="21" t="e">
        <f>EXP(-LN(2)/2)*DH72+(1-EXP(-LN(2)/2))/(LN(2)/2)*DB73*DE73*VLOOKUP('Données projet'!$B$13,Paramètres!$A$1:$I$89,3,0)*0.475*44/12</f>
        <v>#N/A</v>
      </c>
      <c r="DI73" s="22" t="e">
        <f t="shared" si="69"/>
        <v>#N/A</v>
      </c>
      <c r="DJ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0</v>
      </c>
      <c r="DO73" s="12">
        <f>IF('Données projet'!$A$166&gt;35,DO72+DN73-DW72,IF(A73&lt;'Données projet'!$A$166,$DL$205^A73,IF(A73='Données projet'!$A$166,'Données projet'!$B$166,DO72+DN73-DW72)))</f>
        <v>0</v>
      </c>
      <c r="DP73" s="17" t="e">
        <f>DO73*VLOOKUP('Données projet'!$B$14,Paramètres!$A$1:$I$89,3,0)*VLOOKUP('Données projet'!$B$14,Paramètres!$A$1:$I$89,5,0)</f>
        <v>#N/A</v>
      </c>
      <c r="DQ73" s="13" t="e">
        <f t="shared" si="97"/>
        <v>#N/A</v>
      </c>
      <c r="DR73" s="20" t="e">
        <f t="shared" si="70"/>
        <v>#N/A</v>
      </c>
      <c r="DS73" s="59" t="e">
        <f t="shared" si="71"/>
        <v>#N/A</v>
      </c>
      <c r="DT73" s="59" t="e">
        <f ca="1">AVERAGE(OFFSET($DS$3,0,0,'Données projet'!$E$14+1,1))-AVERAGE(OFFSET($H$3,0,0,'Données projet'!$E$14+1,1))</f>
        <v>#N/A</v>
      </c>
      <c r="DU73" s="59" t="e">
        <f t="shared" si="98"/>
        <v>#N/A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 t="e">
        <f>EXP(-LN(2)/35)*EA72+(1-EXP(-LN(2)/35))/(LN(2)/35)*DW73*DX73*VLOOKUP('Données projet'!$B$14,Paramètres!$A$1:$I$89,3,0)*0.475*44/12</f>
        <v>#N/A</v>
      </c>
      <c r="EB73" s="21" t="e">
        <f>EXP(-LN(2)/25)*EB72+(1-EXP(-LN(2)/25))/(LN(2)/25)*Calculateur!DW73*Calculateur!DY73*VLOOKUP('Données projet'!$B$14,Paramètres!$A$1:$I$89,3,0)*0.475*44/12</f>
        <v>#N/A</v>
      </c>
      <c r="EC73" s="21" t="e">
        <f>EXP(-LN(2)/2)*EC72+(1-EXP(-LN(2)/2))/(LN(2)/2)*DW73*DZ73*VLOOKUP('Données projet'!$B$14,Paramètres!$A$1:$I$89,3,0)*0.475*44/12</f>
        <v>#N/A</v>
      </c>
      <c r="ED73" s="22" t="e">
        <f t="shared" si="72"/>
        <v>#N/A</v>
      </c>
      <c r="EE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0</v>
      </c>
      <c r="EK73" s="17" t="e">
        <f>EJ73*VLOOKUP('Données projet'!$B$15,Paramètres!$A$1:$I$89,3,0)*VLOOKUP('Données projet'!$B$15,Paramètres!$A$1:$I$89,5,0)</f>
        <v>#N/A</v>
      </c>
      <c r="EL73" s="13" t="e">
        <f t="shared" si="99"/>
        <v>#N/A</v>
      </c>
      <c r="EM73" s="20" t="e">
        <f t="shared" si="73"/>
        <v>#N/A</v>
      </c>
      <c r="EN73" s="59" t="e">
        <f t="shared" si="74"/>
        <v>#N/A</v>
      </c>
      <c r="EO73" s="59" t="e">
        <f ca="1">AVERAGE(OFFSET($EN$3,0,0,'Données projet'!$E$15+1,1))-AVERAGE(OFFSET($H$3,0,0,'Données projet'!$E$15+1,1))</f>
        <v>#N/A</v>
      </c>
      <c r="EP73" s="59" t="e">
        <f t="shared" si="100"/>
        <v>#N/A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 t="e">
        <f>EXP(-LN(2)/35)*EV72+(1-EXP(-LN(2)/35))/(LN(2)/35)*ER73*ES73*VLOOKUP('Données projet'!$B$15,Paramètres!$A$1:$I$89,3,0)*0.475*44/12</f>
        <v>#N/A</v>
      </c>
      <c r="EW73" s="21" t="e">
        <f>EXP(-LN(2)/25)*EW72+(1-EXP(-LN(2)/25))/(LN(2)/25)*Calculateur!ER73*Calculateur!ET73*VLOOKUP('Données projet'!$B$15,Paramètres!$A$1:$I$89,3,0)*0.475*44/12</f>
        <v>#N/A</v>
      </c>
      <c r="EX73" s="21" t="e">
        <f>EXP(-LN(2)/2)*EX72+(1-EXP(-LN(2)/2))/(LN(2)/2)*ER73*EU73*VLOOKUP('Données projet'!$B$15,Paramètres!$A$1:$I$89,3,0)*0.475*44/12</f>
        <v>#N/A</v>
      </c>
      <c r="EY73" s="22" t="e">
        <f t="shared" si="75"/>
        <v>#N/A</v>
      </c>
      <c r="EZ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9" t="e">
        <f t="shared" si="77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45">
      <c r="A74" s="10">
        <f t="shared" si="85"/>
        <v>71</v>
      </c>
      <c r="B74" s="73">
        <f>'Scénario référence'!$B$16*5+'Scénario référence'!$B$17*0+'Scénario référence'!$B$18*5</f>
        <v>0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63.133200000000073</v>
      </c>
      <c r="D74" s="11">
        <f t="shared" si="86"/>
        <v>17.958078240325332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">
        <f>IF(OR('Scénario référence'!$F$8&gt;0,'Scénario référence'!$F$9&gt;0),('Scénario référence'!$F$8+'Scénario référence'!$F$9)*10,0)</f>
        <v>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625.96776185514352</v>
      </c>
      <c r="H74" s="67">
        <f t="shared" si="56"/>
        <v>397.90064293523346</v>
      </c>
      <c r="I74" s="7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10.513</v>
      </c>
      <c r="N74" s="13">
        <f>IF('Données projet'!$A$36&gt;35,N73+M74-V73,IF(A74&lt;'Données projet'!$A$36,$K$205^A74,IF(A74='Données projet'!$A$36,'Données projet'!$B$36,N73+M74-V73)))</f>
        <v>441.83699999999988</v>
      </c>
      <c r="O74" s="13">
        <f>N74*VLOOKUP('Données projet'!$B$9,Paramètres!$A$1:$I$89,3,0)*VLOOKUP('Données projet'!$B$9,Paramètres!$A$1:$I$89,5,0)</f>
        <v>246.98688299999995</v>
      </c>
      <c r="P74" s="13">
        <f t="shared" si="87"/>
        <v>59.940272565748288</v>
      </c>
      <c r="Q74" s="20">
        <f t="shared" si="54"/>
        <v>534.56479594367818</v>
      </c>
      <c r="R74" s="59">
        <f t="shared" si="55"/>
        <v>827.89812927701155</v>
      </c>
      <c r="S74" s="59">
        <f ca="1">AVERAGE(OFFSET($R$3,0,0,'Données projet'!$E$9+1,1))-AVERAGE(OFFSET($H$3,0,0,'Données projet'!$E$9+1,1))</f>
        <v>280.69347314340195</v>
      </c>
      <c r="T74" s="59">
        <f t="shared" si="88"/>
        <v>152.40533828556482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32.681106786002815</v>
      </c>
      <c r="AA74" s="21">
        <f>EXP(-LN(2)/25)*AA73+(1-EXP(-LN(2)/25))/(LN(2)/25)*Calculateur!V74*Calculateur!X74*VLOOKUP('Données projet'!$B$9,Paramètres!$A$1:$I$89,3,0)*0.475*44/12</f>
        <v>17.22031178206641</v>
      </c>
      <c r="AB74" s="21">
        <f>EXP(-LN(2)/2)*AB73+(1-EXP(-LN(2)/2))/(LN(2)/2)*V74*Y74*VLOOKUP('Données projet'!$B$9,Paramètres!$A$1:$I$89,3,0)*0.475*44/12</f>
        <v>0.38116685636518988</v>
      </c>
      <c r="AC74" s="22">
        <f t="shared" si="57"/>
        <v>50.282585424434416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0</v>
      </c>
      <c r="AI74" s="13">
        <f>IF('Données projet'!$A$62&gt;35,AI73+AH74-AQ73,IF(A74&lt;'Données projet'!$A$62,$AF$205^A74,IF(A74='Données projet'!$A$62,'Données projet'!$B$62,AI73+AH74-AQ73)))</f>
        <v>0</v>
      </c>
      <c r="AJ74" s="13">
        <f>AI74*VLOOKUP('Données projet'!$B$10,Paramètres!$A$1:$I$89,3,0)*VLOOKUP('Données projet'!$B$10,Paramètres!$A$1:$I$89,5,0)</f>
        <v>0</v>
      </c>
      <c r="AK74" s="13" t="e">
        <f t="shared" si="89"/>
        <v>#NUM!</v>
      </c>
      <c r="AL74" s="20" t="e">
        <f t="shared" si="58"/>
        <v>#NUM!</v>
      </c>
      <c r="AM74" s="59" t="e">
        <f t="shared" si="59"/>
        <v>#NUM!</v>
      </c>
      <c r="AN74" s="59">
        <f ca="1">AVERAGE(OFFSET($AM$3,0,0,'Données projet'!$E$10+1,1))-AVERAGE(OFFSET($H$3,0,0,'Données projet'!$E$10+1,1))</f>
        <v>179.4725256147085</v>
      </c>
      <c r="AO74" s="59">
        <f t="shared" si="90"/>
        <v>282.16750121151176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116.1225484594853</v>
      </c>
      <c r="AV74" s="21">
        <f>EXP(-LN(2)/25)*AV73+(1-EXP(-LN(2)/25))/(LN(2)/25)*Calculateur!AQ74*Calculateur!AS74*VLOOKUP('Données projet'!$B$10,Paramètres!$A$1:$I$89,3,0)*0.475*44/12</f>
        <v>36.01855273938925</v>
      </c>
      <c r="AW74" s="21">
        <f>EXP(-LN(2)/2)*AW73+(1-EXP(-LN(2)/2))/(LN(2)/2)*AQ74*AT74*VLOOKUP('Données projet'!$B$10,Paramètres!$A$1:$I$89,3,0)*0.475*44/12</f>
        <v>0.95283517952123109</v>
      </c>
      <c r="AX74" s="21">
        <f t="shared" si="60"/>
        <v>153.09393637839577</v>
      </c>
      <c r="AY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10.812222222222223</v>
      </c>
      <c r="BD74" s="12">
        <f>IF('Données projet'!$A$88&gt;35,BD73+BC74-BL73,IF(A74&lt;'Données projet'!$A$88,$BA$205^A74,IF(A74='Données projet'!$A$88,'Données projet'!$B$88,BD73+BC74-BL73)))</f>
        <v>231.56111111111153</v>
      </c>
      <c r="BE74" s="13">
        <f>BD74*VLOOKUP('Données projet'!$B$11,Paramètres!$A$1:$I$89,3,0)*VLOOKUP('Données projet'!$B$11,Paramètres!$A$1:$I$89,5,0)</f>
        <v>198.67943333333372</v>
      </c>
      <c r="BF74" s="13">
        <f t="shared" si="91"/>
        <v>49.453835339239951</v>
      </c>
      <c r="BG74" s="20">
        <f t="shared" si="61"/>
        <v>432.16544293806578</v>
      </c>
      <c r="BH74" s="59">
        <f t="shared" si="62"/>
        <v>725.49877627139904</v>
      </c>
      <c r="BI74" s="59">
        <f ca="1">AVERAGE(OFFSET($BH$3,0,0,'Données projet'!$E$11+1,1))-AVERAGE(OFFSET($H$3,0,0,'Données projet'!$E$11+1,1))</f>
        <v>312.89478437044261</v>
      </c>
      <c r="BJ74" s="59">
        <f t="shared" si="92"/>
        <v>276.16555507854571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>
        <f>EXP(-LN(2)/35)*BP73+(1-EXP(-LN(2)/35))/(LN(2)/35)*BL74*BM74*VLOOKUP('Données projet'!$B$11,Paramètres!$A$1:$I$89,3,0)*0.475*44/12</f>
        <v>0</v>
      </c>
      <c r="BQ74" s="21">
        <f>EXP(-LN(2)/25)*BQ73+(1-EXP(-LN(2)/25))/(LN(2)/25)*Calculateur!BL74*Calculateur!BN74*VLOOKUP('Données projet'!$B$11,Paramètres!$A$1:$I$89,3,0)*0.475*44/12</f>
        <v>41.916902730000473</v>
      </c>
      <c r="BR74" s="21">
        <f>EXP(-LN(2)/2)*BR73+(1-EXP(-LN(2)/2))/(LN(2)/2)*BL74*BO74*VLOOKUP('Données projet'!$B$11,Paramètres!$A$1:$I$89,3,0)*0.475*44/12</f>
        <v>5.9865069400345972</v>
      </c>
      <c r="BS74" s="22">
        <f t="shared" si="63"/>
        <v>47.903409670035067</v>
      </c>
      <c r="BT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0</v>
      </c>
      <c r="BY74" s="12">
        <f>IF('Données projet'!$A$114&gt;35,BY73+BX74-CG73,IF(A74&lt;'Données projet'!$A$114,$BV$205^A74,IF(A74='Données projet'!$A$114,'Données projet'!$B$114,BY73+BX74-CG73)))</f>
        <v>0</v>
      </c>
      <c r="BZ74" s="13" t="e">
        <f>BY74*VLOOKUP('Données projet'!$B$12,Paramètres!$A$1:$I$89,3,0)*VLOOKUP('Données projet'!$B$12,Paramètres!$A$1:$I$89,5,0)</f>
        <v>#N/A</v>
      </c>
      <c r="CA74" s="13" t="e">
        <f t="shared" si="93"/>
        <v>#N/A</v>
      </c>
      <c r="CB74" s="20" t="e">
        <f t="shared" si="64"/>
        <v>#N/A</v>
      </c>
      <c r="CC74" s="59" t="e">
        <f t="shared" si="65"/>
        <v>#N/A</v>
      </c>
      <c r="CD74" s="59" t="e">
        <f ca="1">AVERAGE(OFFSET($CC$3,0,0,'Données projet'!$E$12+1,1))-AVERAGE(OFFSET($H$3,0,0,'Données projet'!$E$12+1,1))</f>
        <v>#N/A</v>
      </c>
      <c r="CE74" s="59" t="e">
        <f t="shared" si="94"/>
        <v>#N/A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 t="e">
        <f>EXP(-LN(2)/35)*CK73+(1-EXP(-LN(2)/35))/(LN(2)/35)*CG74*CH74*VLOOKUP('Données projet'!$B$12,Paramètres!$A$1:$I$89,3,0)*0.475*44/12</f>
        <v>#N/A</v>
      </c>
      <c r="CL74" s="21" t="e">
        <f>EXP(-LN(2)/25)*CL73+(1-EXP(-LN(2)/25))/(LN(2)/25)*Calculateur!CG74*Calculateur!CI74*VLOOKUP('Données projet'!$B$12,Paramètres!$A$1:$I$89,3,0)*0.475*44/12</f>
        <v>#N/A</v>
      </c>
      <c r="CM74" s="21" t="e">
        <f>EXP(-LN(2)/2)*CM73+(1-EXP(-LN(2)/2))/(LN(2)/2)*CG74*CJ74*VLOOKUP('Données projet'!$B$12,Paramètres!$A$1:$I$89,3,0)*0.475*44/12</f>
        <v>#N/A</v>
      </c>
      <c r="CN74" s="22" t="e">
        <f t="shared" si="66"/>
        <v>#N/A</v>
      </c>
      <c r="CO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0</v>
      </c>
      <c r="CT74" s="12">
        <f>IF('Données projet'!$A$140&gt;35,CT73+CS74-DB73,IF(A74&lt;'Données projet'!$A$140,$CQ$205^A74,IF(A74='Données projet'!$A$140,'Données projet'!$B$140,CT73+CS74-DB73)))</f>
        <v>0</v>
      </c>
      <c r="CU74" s="17" t="e">
        <f>CT74*VLOOKUP('Données projet'!$B$13,Paramètres!$A$1:$I$89,3,0)*VLOOKUP('Données projet'!$B$13,Paramètres!$A$1:$I$89,5,0)</f>
        <v>#N/A</v>
      </c>
      <c r="CV74" s="13" t="e">
        <f t="shared" si="95"/>
        <v>#N/A</v>
      </c>
      <c r="CW74" s="20" t="e">
        <f t="shared" si="67"/>
        <v>#N/A</v>
      </c>
      <c r="CX74" s="59" t="e">
        <f t="shared" si="68"/>
        <v>#N/A</v>
      </c>
      <c r="CY74" s="59" t="e">
        <f ca="1">AVERAGE(OFFSET($CX$3,0,0,'Données projet'!$E$13+1,1))-AVERAGE(OFFSET($H$3,0,0,'Données projet'!$E$13+1,1))</f>
        <v>#N/A</v>
      </c>
      <c r="CZ74" s="59" t="e">
        <f t="shared" si="96"/>
        <v>#N/A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 t="e">
        <f>EXP(-LN(2)/35)*DF73+(1-EXP(-LN(2)/35))/(LN(2)/35)*DB74*DC74*VLOOKUP('Données projet'!$B$13,Paramètres!$A$1:$I$89,3,0)*0.475*44/12</f>
        <v>#N/A</v>
      </c>
      <c r="DG74" s="21" t="e">
        <f>EXP(-LN(2)/25)*DG73+(1-EXP(-LN(2)/25))/(LN(2)/25)*Calculateur!DB74*Calculateur!DD74*VLOOKUP('Données projet'!$B$13,Paramètres!$A$1:$I$89,3,0)*0.475*44/12</f>
        <v>#N/A</v>
      </c>
      <c r="DH74" s="21" t="e">
        <f>EXP(-LN(2)/2)*DH73+(1-EXP(-LN(2)/2))/(LN(2)/2)*DB74*DE74*VLOOKUP('Données projet'!$B$13,Paramètres!$A$1:$I$89,3,0)*0.475*44/12</f>
        <v>#N/A</v>
      </c>
      <c r="DI74" s="22" t="e">
        <f t="shared" si="69"/>
        <v>#N/A</v>
      </c>
      <c r="DJ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0</v>
      </c>
      <c r="DO74" s="12">
        <f>IF('Données projet'!$A$166&gt;35,DO73+DN74-DW73,IF(A74&lt;'Données projet'!$A$166,$DL$205^A74,IF(A74='Données projet'!$A$166,'Données projet'!$B$166,DO73+DN74-DW73)))</f>
        <v>0</v>
      </c>
      <c r="DP74" s="17" t="e">
        <f>DO74*VLOOKUP('Données projet'!$B$14,Paramètres!$A$1:$I$89,3,0)*VLOOKUP('Données projet'!$B$14,Paramètres!$A$1:$I$89,5,0)</f>
        <v>#N/A</v>
      </c>
      <c r="DQ74" s="13" t="e">
        <f t="shared" si="97"/>
        <v>#N/A</v>
      </c>
      <c r="DR74" s="20" t="e">
        <f t="shared" si="70"/>
        <v>#N/A</v>
      </c>
      <c r="DS74" s="59" t="e">
        <f t="shared" si="71"/>
        <v>#N/A</v>
      </c>
      <c r="DT74" s="59" t="e">
        <f ca="1">AVERAGE(OFFSET($DS$3,0,0,'Données projet'!$E$14+1,1))-AVERAGE(OFFSET($H$3,0,0,'Données projet'!$E$14+1,1))</f>
        <v>#N/A</v>
      </c>
      <c r="DU74" s="59" t="e">
        <f t="shared" si="98"/>
        <v>#N/A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 t="e">
        <f>EXP(-LN(2)/35)*EA73+(1-EXP(-LN(2)/35))/(LN(2)/35)*DW74*DX74*VLOOKUP('Données projet'!$B$14,Paramètres!$A$1:$I$89,3,0)*0.475*44/12</f>
        <v>#N/A</v>
      </c>
      <c r="EB74" s="21" t="e">
        <f>EXP(-LN(2)/25)*EB73+(1-EXP(-LN(2)/25))/(LN(2)/25)*Calculateur!DW74*Calculateur!DY74*VLOOKUP('Données projet'!$B$14,Paramètres!$A$1:$I$89,3,0)*0.475*44/12</f>
        <v>#N/A</v>
      </c>
      <c r="EC74" s="21" t="e">
        <f>EXP(-LN(2)/2)*EC73+(1-EXP(-LN(2)/2))/(LN(2)/2)*DW74*DZ74*VLOOKUP('Données projet'!$B$14,Paramètres!$A$1:$I$89,3,0)*0.475*44/12</f>
        <v>#N/A</v>
      </c>
      <c r="ED74" s="22" t="e">
        <f t="shared" si="72"/>
        <v>#N/A</v>
      </c>
      <c r="EE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0</v>
      </c>
      <c r="EK74" s="17" t="e">
        <f>EJ74*VLOOKUP('Données projet'!$B$15,Paramètres!$A$1:$I$89,3,0)*VLOOKUP('Données projet'!$B$15,Paramètres!$A$1:$I$89,5,0)</f>
        <v>#N/A</v>
      </c>
      <c r="EL74" s="13" t="e">
        <f t="shared" si="99"/>
        <v>#N/A</v>
      </c>
      <c r="EM74" s="20" t="e">
        <f t="shared" si="73"/>
        <v>#N/A</v>
      </c>
      <c r="EN74" s="59" t="e">
        <f t="shared" si="74"/>
        <v>#N/A</v>
      </c>
      <c r="EO74" s="59" t="e">
        <f ca="1">AVERAGE(OFFSET($EN$3,0,0,'Données projet'!$E$15+1,1))-AVERAGE(OFFSET($H$3,0,0,'Données projet'!$E$15+1,1))</f>
        <v>#N/A</v>
      </c>
      <c r="EP74" s="59" t="e">
        <f t="shared" si="100"/>
        <v>#N/A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 t="e">
        <f>EXP(-LN(2)/35)*EV73+(1-EXP(-LN(2)/35))/(LN(2)/35)*ER74*ES74*VLOOKUP('Données projet'!$B$15,Paramètres!$A$1:$I$89,3,0)*0.475*44/12</f>
        <v>#N/A</v>
      </c>
      <c r="EW74" s="21" t="e">
        <f>EXP(-LN(2)/25)*EW73+(1-EXP(-LN(2)/25))/(LN(2)/25)*Calculateur!ER74*Calculateur!ET74*VLOOKUP('Données projet'!$B$15,Paramètres!$A$1:$I$89,3,0)*0.475*44/12</f>
        <v>#N/A</v>
      </c>
      <c r="EX74" s="21" t="e">
        <f>EXP(-LN(2)/2)*EX73+(1-EXP(-LN(2)/2))/(LN(2)/2)*ER74*EU74*VLOOKUP('Données projet'!$B$15,Paramètres!$A$1:$I$89,3,0)*0.475*44/12</f>
        <v>#N/A</v>
      </c>
      <c r="EY74" s="22" t="e">
        <f t="shared" si="75"/>
        <v>#N/A</v>
      </c>
      <c r="EZ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9" t="e">
        <f t="shared" si="77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45">
      <c r="A75" s="10">
        <f t="shared" si="85"/>
        <v>72</v>
      </c>
      <c r="B75" s="73">
        <f>'Scénario référence'!$B$16*5+'Scénario référence'!$B$17*0+'Scénario référence'!$B$18*5</f>
        <v>0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64.022400000000076</v>
      </c>
      <c r="D75" s="11">
        <f t="shared" si="86"/>
        <v>18.181385543312256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">
        <f>IF(OR('Scénario référence'!$F$8&gt;0,'Scénario référence'!$F$9&gt;0),('Scénario référence'!$F$8+'Scénario référence'!$F$9)*10,0)</f>
        <v>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634.55553752732339</v>
      </c>
      <c r="H75" s="67">
        <f t="shared" si="56"/>
        <v>399.83825982126905</v>
      </c>
      <c r="I75" s="7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>
        <f>VLOOKUP(A75,'Données projet'!$A$35:$I$55,2,0)</f>
        <v>452.35</v>
      </c>
      <c r="L75" s="12">
        <f>VLOOKUP(A75,'Données projet'!$A$35:$I$55,9,0)</f>
        <v>10.513</v>
      </c>
      <c r="M75" s="12">
        <f t="array" ref="M75">INDEX(L:L,MIN(IF(ISNUMBER(L75:L271),ROW(L75:L271),"")))</f>
        <v>10.513</v>
      </c>
      <c r="N75" s="13">
        <f>IF('Données projet'!$A$36&gt;35,N74+M75-V74,IF(A75&lt;'Données projet'!$A$36,$K$205^A75,IF(A75='Données projet'!$A$36,'Données projet'!$B$36,N74+M75-V74)))</f>
        <v>452.34999999999985</v>
      </c>
      <c r="O75" s="13">
        <f>N75*VLOOKUP('Données projet'!$B$9,Paramètres!$A$1:$I$89,3,0)*VLOOKUP('Données projet'!$B$9,Paramètres!$A$1:$I$89,5,0)</f>
        <v>252.86364999999992</v>
      </c>
      <c r="P75" s="13">
        <f t="shared" si="87"/>
        <v>61.198741332579473</v>
      </c>
      <c r="Q75" s="20">
        <f t="shared" si="54"/>
        <v>546.99199823757579</v>
      </c>
      <c r="R75" s="59">
        <f t="shared" si="55"/>
        <v>840.32533157090916</v>
      </c>
      <c r="S75" s="59">
        <f ca="1">AVERAGE(OFFSET($R$3,0,0,'Données projet'!$E$9+1,1))-AVERAGE(OFFSET($H$3,0,0,'Données projet'!$E$9+1,1))</f>
        <v>280.69347314340195</v>
      </c>
      <c r="T75" s="59">
        <f t="shared" si="88"/>
        <v>152.40533828556482</v>
      </c>
      <c r="U75" s="15">
        <f>IF(ISNA(VLOOKUP(A75,'Données projet'!$A$35:$I$55,3,0)),0,VLOOKUP(A75,'Données projet'!$A$35:$I$55,3,0))</f>
        <v>5</v>
      </c>
      <c r="V75" s="15">
        <f>IF(ISNA(VLOOKUP(A75,'Données projet'!$A$35:$I$55,4,0)),0,VLOOKUP(A75,'Données projet'!$A$35:$I$55,4,0))</f>
        <v>64.210000000000036</v>
      </c>
      <c r="W75" s="16">
        <f>IF(ISNA(VLOOKUP(A75,'Données projet'!$A$35:$I$55,5,0)),0%,VLOOKUP(A75,'Données projet'!$A$35:$I$55,5,0)*VLOOKUP('Données projet'!$B$9,Paramètres!$A$1:$I$89,7,0))</f>
        <v>0.33</v>
      </c>
      <c r="X75" s="16">
        <f>IF(ISNA(VLOOKUP(A75,'Données projet'!$A$35:$I$55,6,0)),0%,VLOOKUP(A75,'Données projet'!$A$35:$I$55,6,0)*VLOOKUP('Données projet'!$B$9,Paramètres!$A$1:$I$89,7,0))</f>
        <v>0.11000000000000001</v>
      </c>
      <c r="Y75" s="16">
        <f>IF(ISNA(VLOOKUP(A75,'Données projet'!$A$35:$I$55,7,0)),0%,VLOOKUP(A75,'Données projet'!$A$35:$I$55,7,0))</f>
        <v>0.2</v>
      </c>
      <c r="Z75" s="21">
        <f>EXP(-LN(2)/35)*Z74+(1-EXP(-LN(2)/35))/(LN(2)/35)*V75*W75*VLOOKUP('Données projet'!$B$9,Paramètres!$A$1:$I$89,3,0)*0.475*44/12</f>
        <v>47.753165683981763</v>
      </c>
      <c r="AA75" s="21">
        <f>EXP(-LN(2)/25)*AA74+(1-EXP(-LN(2)/25))/(LN(2)/25)*Calculateur!V75*Calculateur!X75*VLOOKUP('Données projet'!$B$9,Paramètres!$A$1:$I$89,3,0)*0.475*44/12</f>
        <v>21.966437361894219</v>
      </c>
      <c r="AB75" s="21">
        <f>EXP(-LN(2)/2)*AB74+(1-EXP(-LN(2)/2))/(LN(2)/2)*V75*Y75*VLOOKUP('Données projet'!$B$9,Paramètres!$A$1:$I$89,3,0)*0.475*44/12</f>
        <v>8.3974567540420839</v>
      </c>
      <c r="AC75" s="22">
        <f t="shared" si="57"/>
        <v>78.117059799918067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0</v>
      </c>
      <c r="AI75" s="13">
        <f>IF('Données projet'!$A$62&gt;35,AI74+AH75-AQ74,IF(A75&lt;'Données projet'!$A$62,$AF$205^A75,IF(A75='Données projet'!$A$62,'Données projet'!$B$62,AI74+AH75-AQ74)))</f>
        <v>0</v>
      </c>
      <c r="AJ75" s="13">
        <f>AI75*VLOOKUP('Données projet'!$B$10,Paramètres!$A$1:$I$89,3,0)*VLOOKUP('Données projet'!$B$10,Paramètres!$A$1:$I$89,5,0)</f>
        <v>0</v>
      </c>
      <c r="AK75" s="13" t="e">
        <f t="shared" si="89"/>
        <v>#NUM!</v>
      </c>
      <c r="AL75" s="20" t="e">
        <f t="shared" si="58"/>
        <v>#NUM!</v>
      </c>
      <c r="AM75" s="59" t="e">
        <f t="shared" si="59"/>
        <v>#NUM!</v>
      </c>
      <c r="AN75" s="59">
        <f ca="1">AVERAGE(OFFSET($AM$3,0,0,'Données projet'!$E$10+1,1))-AVERAGE(OFFSET($H$3,0,0,'Données projet'!$E$10+1,1))</f>
        <v>179.4725256147085</v>
      </c>
      <c r="AO75" s="59">
        <f t="shared" si="90"/>
        <v>282.16750121151176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113.8454561119557</v>
      </c>
      <c r="AV75" s="21">
        <f>EXP(-LN(2)/25)*AV74+(1-EXP(-LN(2)/25))/(LN(2)/25)*Calculateur!AQ75*Calculateur!AS75*VLOOKUP('Données projet'!$B$10,Paramètres!$A$1:$I$89,3,0)*0.475*44/12</f>
        <v>35.033623520597281</v>
      </c>
      <c r="AW75" s="21">
        <f>EXP(-LN(2)/2)*AW74+(1-EXP(-LN(2)/2))/(LN(2)/2)*AQ75*AT75*VLOOKUP('Données projet'!$B$10,Paramètres!$A$1:$I$89,3,0)*0.475*44/12</f>
        <v>0.67375621679256392</v>
      </c>
      <c r="AX75" s="21">
        <f t="shared" si="60"/>
        <v>149.55283584934554</v>
      </c>
      <c r="AY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10.812222222222223</v>
      </c>
      <c r="BD75" s="12">
        <f>IF('Données projet'!$A$88&gt;35,BD74+BC75-BL74,IF(A75&lt;'Données projet'!$A$88,$BA$205^A75,IF(A75='Données projet'!$A$88,'Données projet'!$B$88,BD74+BC75-BL74)))</f>
        <v>242.37333333333376</v>
      </c>
      <c r="BE75" s="13">
        <f>BD75*VLOOKUP('Données projet'!$B$11,Paramètres!$A$1:$I$89,3,0)*VLOOKUP('Données projet'!$B$11,Paramètres!$A$1:$I$89,5,0)</f>
        <v>207.9563200000004</v>
      </c>
      <c r="BF75" s="13">
        <f t="shared" si="91"/>
        <v>51.488736331446248</v>
      </c>
      <c r="BG75" s="20">
        <f t="shared" si="61"/>
        <v>451.86680644393624</v>
      </c>
      <c r="BH75" s="59">
        <f t="shared" si="62"/>
        <v>745.20013977726956</v>
      </c>
      <c r="BI75" s="59">
        <f ca="1">AVERAGE(OFFSET($BH$3,0,0,'Données projet'!$E$11+1,1))-AVERAGE(OFFSET($H$3,0,0,'Données projet'!$E$11+1,1))</f>
        <v>312.89478437044261</v>
      </c>
      <c r="BJ75" s="59">
        <f t="shared" si="92"/>
        <v>276.16555507854571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>
        <f>EXP(-LN(2)/35)*BP74+(1-EXP(-LN(2)/35))/(LN(2)/35)*BL75*BM75*VLOOKUP('Données projet'!$B$11,Paramètres!$A$1:$I$89,3,0)*0.475*44/12</f>
        <v>0</v>
      </c>
      <c r="BQ75" s="21">
        <f>EXP(-LN(2)/25)*BQ74+(1-EXP(-LN(2)/25))/(LN(2)/25)*Calculateur!BL75*Calculateur!BN75*VLOOKUP('Données projet'!$B$11,Paramètres!$A$1:$I$89,3,0)*0.475*44/12</f>
        <v>40.770682820534496</v>
      </c>
      <c r="BR75" s="21">
        <f>EXP(-LN(2)/2)*BR74+(1-EXP(-LN(2)/2))/(LN(2)/2)*BL75*BO75*VLOOKUP('Données projet'!$B$11,Paramètres!$A$1:$I$89,3,0)*0.475*44/12</f>
        <v>4.2330996529187921</v>
      </c>
      <c r="BS75" s="22">
        <f t="shared" si="63"/>
        <v>45.003782473453285</v>
      </c>
      <c r="BT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0</v>
      </c>
      <c r="BY75" s="12">
        <f>IF('Données projet'!$A$114&gt;35,BY74+BX75-CG74,IF(A75&lt;'Données projet'!$A$114,$BV$205^A75,IF(A75='Données projet'!$A$114,'Données projet'!$B$114,BY74+BX75-CG74)))</f>
        <v>0</v>
      </c>
      <c r="BZ75" s="13" t="e">
        <f>BY75*VLOOKUP('Données projet'!$B$12,Paramètres!$A$1:$I$89,3,0)*VLOOKUP('Données projet'!$B$12,Paramètres!$A$1:$I$89,5,0)</f>
        <v>#N/A</v>
      </c>
      <c r="CA75" s="13" t="e">
        <f t="shared" si="93"/>
        <v>#N/A</v>
      </c>
      <c r="CB75" s="20" t="e">
        <f t="shared" si="64"/>
        <v>#N/A</v>
      </c>
      <c r="CC75" s="59" t="e">
        <f t="shared" si="65"/>
        <v>#N/A</v>
      </c>
      <c r="CD75" s="59" t="e">
        <f ca="1">AVERAGE(OFFSET($CC$3,0,0,'Données projet'!$E$12+1,1))-AVERAGE(OFFSET($H$3,0,0,'Données projet'!$E$12+1,1))</f>
        <v>#N/A</v>
      </c>
      <c r="CE75" s="59" t="e">
        <f t="shared" si="94"/>
        <v>#N/A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 t="e">
        <f>EXP(-LN(2)/35)*CK74+(1-EXP(-LN(2)/35))/(LN(2)/35)*CG75*CH75*VLOOKUP('Données projet'!$B$12,Paramètres!$A$1:$I$89,3,0)*0.475*44/12</f>
        <v>#N/A</v>
      </c>
      <c r="CL75" s="21" t="e">
        <f>EXP(-LN(2)/25)*CL74+(1-EXP(-LN(2)/25))/(LN(2)/25)*Calculateur!CG75*Calculateur!CI75*VLOOKUP('Données projet'!$B$12,Paramètres!$A$1:$I$89,3,0)*0.475*44/12</f>
        <v>#N/A</v>
      </c>
      <c r="CM75" s="21" t="e">
        <f>EXP(-LN(2)/2)*CM74+(1-EXP(-LN(2)/2))/(LN(2)/2)*CG75*CJ75*VLOOKUP('Données projet'!$B$12,Paramètres!$A$1:$I$89,3,0)*0.475*44/12</f>
        <v>#N/A</v>
      </c>
      <c r="CN75" s="22" t="e">
        <f t="shared" si="66"/>
        <v>#N/A</v>
      </c>
      <c r="CO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0</v>
      </c>
      <c r="CT75" s="12">
        <f>IF('Données projet'!$A$140&gt;35,CT74+CS75-DB74,IF(A75&lt;'Données projet'!$A$140,$CQ$205^A75,IF(A75='Données projet'!$A$140,'Données projet'!$B$140,CT74+CS75-DB74)))</f>
        <v>0</v>
      </c>
      <c r="CU75" s="17" t="e">
        <f>CT75*VLOOKUP('Données projet'!$B$13,Paramètres!$A$1:$I$89,3,0)*VLOOKUP('Données projet'!$B$13,Paramètres!$A$1:$I$89,5,0)</f>
        <v>#N/A</v>
      </c>
      <c r="CV75" s="13" t="e">
        <f t="shared" si="95"/>
        <v>#N/A</v>
      </c>
      <c r="CW75" s="20" t="e">
        <f t="shared" si="67"/>
        <v>#N/A</v>
      </c>
      <c r="CX75" s="59" t="e">
        <f t="shared" si="68"/>
        <v>#N/A</v>
      </c>
      <c r="CY75" s="59" t="e">
        <f ca="1">AVERAGE(OFFSET($CX$3,0,0,'Données projet'!$E$13+1,1))-AVERAGE(OFFSET($H$3,0,0,'Données projet'!$E$13+1,1))</f>
        <v>#N/A</v>
      </c>
      <c r="CZ75" s="59" t="e">
        <f t="shared" si="96"/>
        <v>#N/A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 t="e">
        <f>EXP(-LN(2)/35)*DF74+(1-EXP(-LN(2)/35))/(LN(2)/35)*DB75*DC75*VLOOKUP('Données projet'!$B$13,Paramètres!$A$1:$I$89,3,0)*0.475*44/12</f>
        <v>#N/A</v>
      </c>
      <c r="DG75" s="21" t="e">
        <f>EXP(-LN(2)/25)*DG74+(1-EXP(-LN(2)/25))/(LN(2)/25)*Calculateur!DB75*Calculateur!DD75*VLOOKUP('Données projet'!$B$13,Paramètres!$A$1:$I$89,3,0)*0.475*44/12</f>
        <v>#N/A</v>
      </c>
      <c r="DH75" s="21" t="e">
        <f>EXP(-LN(2)/2)*DH74+(1-EXP(-LN(2)/2))/(LN(2)/2)*DB75*DE75*VLOOKUP('Données projet'!$B$13,Paramètres!$A$1:$I$89,3,0)*0.475*44/12</f>
        <v>#N/A</v>
      </c>
      <c r="DI75" s="22" t="e">
        <f t="shared" si="69"/>
        <v>#N/A</v>
      </c>
      <c r="DJ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0</v>
      </c>
      <c r="DO75" s="12">
        <f>IF('Données projet'!$A$166&gt;35,DO74+DN75-DW74,IF(A75&lt;'Données projet'!$A$166,$DL$205^A75,IF(A75='Données projet'!$A$166,'Données projet'!$B$166,DO74+DN75-DW74)))</f>
        <v>0</v>
      </c>
      <c r="DP75" s="17" t="e">
        <f>DO75*VLOOKUP('Données projet'!$B$14,Paramètres!$A$1:$I$89,3,0)*VLOOKUP('Données projet'!$B$14,Paramètres!$A$1:$I$89,5,0)</f>
        <v>#N/A</v>
      </c>
      <c r="DQ75" s="13" t="e">
        <f t="shared" si="97"/>
        <v>#N/A</v>
      </c>
      <c r="DR75" s="20" t="e">
        <f t="shared" si="70"/>
        <v>#N/A</v>
      </c>
      <c r="DS75" s="59" t="e">
        <f t="shared" si="71"/>
        <v>#N/A</v>
      </c>
      <c r="DT75" s="59" t="e">
        <f ca="1">AVERAGE(OFFSET($DS$3,0,0,'Données projet'!$E$14+1,1))-AVERAGE(OFFSET($H$3,0,0,'Données projet'!$E$14+1,1))</f>
        <v>#N/A</v>
      </c>
      <c r="DU75" s="59" t="e">
        <f t="shared" si="98"/>
        <v>#N/A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 t="e">
        <f>EXP(-LN(2)/35)*EA74+(1-EXP(-LN(2)/35))/(LN(2)/35)*DW75*DX75*VLOOKUP('Données projet'!$B$14,Paramètres!$A$1:$I$89,3,0)*0.475*44/12</f>
        <v>#N/A</v>
      </c>
      <c r="EB75" s="21" t="e">
        <f>EXP(-LN(2)/25)*EB74+(1-EXP(-LN(2)/25))/(LN(2)/25)*Calculateur!DW75*Calculateur!DY75*VLOOKUP('Données projet'!$B$14,Paramètres!$A$1:$I$89,3,0)*0.475*44/12</f>
        <v>#N/A</v>
      </c>
      <c r="EC75" s="21" t="e">
        <f>EXP(-LN(2)/2)*EC74+(1-EXP(-LN(2)/2))/(LN(2)/2)*DW75*DZ75*VLOOKUP('Données projet'!$B$14,Paramètres!$A$1:$I$89,3,0)*0.475*44/12</f>
        <v>#N/A</v>
      </c>
      <c r="ED75" s="22" t="e">
        <f t="shared" si="72"/>
        <v>#N/A</v>
      </c>
      <c r="EE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0</v>
      </c>
      <c r="EK75" s="17" t="e">
        <f>EJ75*VLOOKUP('Données projet'!$B$15,Paramètres!$A$1:$I$89,3,0)*VLOOKUP('Données projet'!$B$15,Paramètres!$A$1:$I$89,5,0)</f>
        <v>#N/A</v>
      </c>
      <c r="EL75" s="13" t="e">
        <f t="shared" si="99"/>
        <v>#N/A</v>
      </c>
      <c r="EM75" s="20" t="e">
        <f t="shared" si="73"/>
        <v>#N/A</v>
      </c>
      <c r="EN75" s="59" t="e">
        <f t="shared" si="74"/>
        <v>#N/A</v>
      </c>
      <c r="EO75" s="59" t="e">
        <f ca="1">AVERAGE(OFFSET($EN$3,0,0,'Données projet'!$E$15+1,1))-AVERAGE(OFFSET($H$3,0,0,'Données projet'!$E$15+1,1))</f>
        <v>#N/A</v>
      </c>
      <c r="EP75" s="59" t="e">
        <f t="shared" si="100"/>
        <v>#N/A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 t="e">
        <f>EXP(-LN(2)/35)*EV74+(1-EXP(-LN(2)/35))/(LN(2)/35)*ER75*ES75*VLOOKUP('Données projet'!$B$15,Paramètres!$A$1:$I$89,3,0)*0.475*44/12</f>
        <v>#N/A</v>
      </c>
      <c r="EW75" s="21" t="e">
        <f>EXP(-LN(2)/25)*EW74+(1-EXP(-LN(2)/25))/(LN(2)/25)*Calculateur!ER75*Calculateur!ET75*VLOOKUP('Données projet'!$B$15,Paramètres!$A$1:$I$89,3,0)*0.475*44/12</f>
        <v>#N/A</v>
      </c>
      <c r="EX75" s="21" t="e">
        <f>EXP(-LN(2)/2)*EX74+(1-EXP(-LN(2)/2))/(LN(2)/2)*ER75*EU75*VLOOKUP('Données projet'!$B$15,Paramètres!$A$1:$I$89,3,0)*0.475*44/12</f>
        <v>#N/A</v>
      </c>
      <c r="EY75" s="22" t="e">
        <f t="shared" si="75"/>
        <v>#N/A</v>
      </c>
      <c r="EZ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9" t="e">
        <f t="shared" si="77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45">
      <c r="A76" s="10">
        <f t="shared" si="85"/>
        <v>73</v>
      </c>
      <c r="B76" s="73">
        <f>'Scénario référence'!$B$16*5+'Scénario référence'!$B$17*0+'Scénario référence'!$B$18*5</f>
        <v>0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64.911600000000078</v>
      </c>
      <c r="D76" s="11">
        <f t="shared" si="86"/>
        <v>18.404332112224722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">
        <f>IF(OR('Scénario référence'!$F$8&gt;0,'Scénario référence'!$F$9&gt;0),('Scénario référence'!$F$8+'Scénario référence'!$F$9)*10,0)</f>
        <v>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643.14052858559501</v>
      </c>
      <c r="H76" s="67">
        <f t="shared" si="56"/>
        <v>401.77524842879154</v>
      </c>
      <c r="I76" s="7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8.8608333333333373</v>
      </c>
      <c r="N76" s="13">
        <f>IF('Données projet'!$A$36&gt;35,N75+M76-V75,IF(A76&lt;'Données projet'!$A$36,$K$205^A76,IF(A76='Données projet'!$A$36,'Données projet'!$B$36,N75+M76-V75)))</f>
        <v>397.00083333333316</v>
      </c>
      <c r="O76" s="13">
        <f>N76*VLOOKUP('Données projet'!$B$9,Paramètres!$A$1:$I$89,3,0)*VLOOKUP('Données projet'!$B$9,Paramètres!$A$1:$I$89,5,0)</f>
        <v>221.92346583333324</v>
      </c>
      <c r="P76" s="13">
        <f t="shared" si="87"/>
        <v>54.532729479689259</v>
      </c>
      <c r="Q76" s="20">
        <f t="shared" si="54"/>
        <v>481.49454017018076</v>
      </c>
      <c r="R76" s="59">
        <f t="shared" si="55"/>
        <v>774.82787350351407</v>
      </c>
      <c r="S76" s="59">
        <f ca="1">AVERAGE(OFFSET($R$3,0,0,'Données projet'!$E$9+1,1))-AVERAGE(OFFSET($H$3,0,0,'Données projet'!$E$9+1,1))</f>
        <v>280.69347314340195</v>
      </c>
      <c r="T76" s="59">
        <f t="shared" si="88"/>
        <v>152.40533828556482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46.816755231473941</v>
      </c>
      <c r="AA76" s="21">
        <f>EXP(-LN(2)/25)*AA75+(1-EXP(-LN(2)/25))/(LN(2)/25)*Calculateur!V76*Calculateur!X76*VLOOKUP('Données projet'!$B$9,Paramètres!$A$1:$I$89,3,0)*0.475*44/12</f>
        <v>21.365763977068486</v>
      </c>
      <c r="AB76" s="21">
        <f>EXP(-LN(2)/2)*AB75+(1-EXP(-LN(2)/2))/(LN(2)/2)*V76*Y76*VLOOKUP('Données projet'!$B$9,Paramètres!$A$1:$I$89,3,0)*0.475*44/12</f>
        <v>5.9378986155039319</v>
      </c>
      <c r="AC76" s="22">
        <f t="shared" si="57"/>
        <v>74.120417824046356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0</v>
      </c>
      <c r="AI76" s="13">
        <f>IF('Données projet'!$A$62&gt;35,AI75+AH76-AQ75,IF(A76&lt;'Données projet'!$A$62,$AF$205^A76,IF(A76='Données projet'!$A$62,'Données projet'!$B$62,AI75+AH76-AQ75)))</f>
        <v>0</v>
      </c>
      <c r="AJ76" s="13">
        <f>AI76*VLOOKUP('Données projet'!$B$10,Paramètres!$A$1:$I$89,3,0)*VLOOKUP('Données projet'!$B$10,Paramètres!$A$1:$I$89,5,0)</f>
        <v>0</v>
      </c>
      <c r="AK76" s="13" t="e">
        <f t="shared" si="89"/>
        <v>#NUM!</v>
      </c>
      <c r="AL76" s="20" t="e">
        <f t="shared" si="58"/>
        <v>#NUM!</v>
      </c>
      <c r="AM76" s="59" t="e">
        <f t="shared" si="59"/>
        <v>#NUM!</v>
      </c>
      <c r="AN76" s="59">
        <f ca="1">AVERAGE(OFFSET($AM$3,0,0,'Données projet'!$E$10+1,1))-AVERAGE(OFFSET($H$3,0,0,'Données projet'!$E$10+1,1))</f>
        <v>179.4725256147085</v>
      </c>
      <c r="AO76" s="59">
        <f t="shared" si="90"/>
        <v>282.16750121151176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111.61301615647196</v>
      </c>
      <c r="AV76" s="21">
        <f>EXP(-LN(2)/25)*AV75+(1-EXP(-LN(2)/25))/(LN(2)/25)*Calculateur!AQ76*Calculateur!AS76*VLOOKUP('Données projet'!$B$10,Paramètres!$A$1:$I$89,3,0)*0.475*44/12</f>
        <v>34.075627243088356</v>
      </c>
      <c r="AW76" s="21">
        <f>EXP(-LN(2)/2)*AW75+(1-EXP(-LN(2)/2))/(LN(2)/2)*AQ76*AT76*VLOOKUP('Données projet'!$B$10,Paramètres!$A$1:$I$89,3,0)*0.475*44/12</f>
        <v>0.4764175897606156</v>
      </c>
      <c r="AX76" s="21">
        <f t="shared" si="60"/>
        <v>146.16506098932092</v>
      </c>
      <c r="AY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10.812222222222223</v>
      </c>
      <c r="BD76" s="12">
        <f>IF('Données projet'!$A$88&gt;35,BD75+BC76-BL75,IF(A76&lt;'Données projet'!$A$88,$BA$205^A76,IF(A76='Données projet'!$A$88,'Données projet'!$B$88,BD75+BC76-BL75)))</f>
        <v>253.18555555555599</v>
      </c>
      <c r="BE76" s="13">
        <f>BD76*VLOOKUP('Données projet'!$B$11,Paramètres!$A$1:$I$89,3,0)*VLOOKUP('Données projet'!$B$11,Paramètres!$A$1:$I$89,5,0)</f>
        <v>217.23320666666709</v>
      </c>
      <c r="BF76" s="13">
        <f t="shared" si="91"/>
        <v>53.513094633173068</v>
      </c>
      <c r="BG76" s="20">
        <f t="shared" si="61"/>
        <v>471.54980809722161</v>
      </c>
      <c r="BH76" s="59">
        <f t="shared" si="62"/>
        <v>764.88314143055493</v>
      </c>
      <c r="BI76" s="59">
        <f ca="1">AVERAGE(OFFSET($BH$3,0,0,'Données projet'!$E$11+1,1))-AVERAGE(OFFSET($H$3,0,0,'Données projet'!$E$11+1,1))</f>
        <v>312.89478437044261</v>
      </c>
      <c r="BJ76" s="59">
        <f t="shared" si="92"/>
        <v>276.16555507854571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>
        <f>EXP(-LN(2)/35)*BP75+(1-EXP(-LN(2)/35))/(LN(2)/35)*BL76*BM76*VLOOKUP('Données projet'!$B$11,Paramètres!$A$1:$I$89,3,0)*0.475*44/12</f>
        <v>0</v>
      </c>
      <c r="BQ76" s="21">
        <f>EXP(-LN(2)/25)*BQ75+(1-EXP(-LN(2)/25))/(LN(2)/25)*Calculateur!BL76*Calculateur!BN76*VLOOKUP('Données projet'!$B$11,Paramètres!$A$1:$I$89,3,0)*0.475*44/12</f>
        <v>39.65580635476995</v>
      </c>
      <c r="BR76" s="21">
        <f>EXP(-LN(2)/2)*BR75+(1-EXP(-LN(2)/2))/(LN(2)/2)*BL76*BO76*VLOOKUP('Données projet'!$B$11,Paramètres!$A$1:$I$89,3,0)*0.475*44/12</f>
        <v>2.9932534700172986</v>
      </c>
      <c r="BS76" s="22">
        <f t="shared" si="63"/>
        <v>42.649059824787251</v>
      </c>
      <c r="BT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0</v>
      </c>
      <c r="BY76" s="12">
        <f>IF('Données projet'!$A$114&gt;35,BY75+BX76-CG75,IF(A76&lt;'Données projet'!$A$114,$BV$205^A76,IF(A76='Données projet'!$A$114,'Données projet'!$B$114,BY75+BX76-CG75)))</f>
        <v>0</v>
      </c>
      <c r="BZ76" s="13" t="e">
        <f>BY76*VLOOKUP('Données projet'!$B$12,Paramètres!$A$1:$I$89,3,0)*VLOOKUP('Données projet'!$B$12,Paramètres!$A$1:$I$89,5,0)</f>
        <v>#N/A</v>
      </c>
      <c r="CA76" s="13" t="e">
        <f t="shared" si="93"/>
        <v>#N/A</v>
      </c>
      <c r="CB76" s="20" t="e">
        <f t="shared" si="64"/>
        <v>#N/A</v>
      </c>
      <c r="CC76" s="59" t="e">
        <f t="shared" si="65"/>
        <v>#N/A</v>
      </c>
      <c r="CD76" s="59" t="e">
        <f ca="1">AVERAGE(OFFSET($CC$3,0,0,'Données projet'!$E$12+1,1))-AVERAGE(OFFSET($H$3,0,0,'Données projet'!$E$12+1,1))</f>
        <v>#N/A</v>
      </c>
      <c r="CE76" s="59" t="e">
        <f t="shared" si="94"/>
        <v>#N/A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 t="e">
        <f>EXP(-LN(2)/35)*CK75+(1-EXP(-LN(2)/35))/(LN(2)/35)*CG76*CH76*VLOOKUP('Données projet'!$B$12,Paramètres!$A$1:$I$89,3,0)*0.475*44/12</f>
        <v>#N/A</v>
      </c>
      <c r="CL76" s="21" t="e">
        <f>EXP(-LN(2)/25)*CL75+(1-EXP(-LN(2)/25))/(LN(2)/25)*Calculateur!CG76*Calculateur!CI76*VLOOKUP('Données projet'!$B$12,Paramètres!$A$1:$I$89,3,0)*0.475*44/12</f>
        <v>#N/A</v>
      </c>
      <c r="CM76" s="21" t="e">
        <f>EXP(-LN(2)/2)*CM75+(1-EXP(-LN(2)/2))/(LN(2)/2)*CG76*CJ76*VLOOKUP('Données projet'!$B$12,Paramètres!$A$1:$I$89,3,0)*0.475*44/12</f>
        <v>#N/A</v>
      </c>
      <c r="CN76" s="22" t="e">
        <f t="shared" si="66"/>
        <v>#N/A</v>
      </c>
      <c r="CO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0</v>
      </c>
      <c r="CT76" s="12">
        <f>IF('Données projet'!$A$140&gt;35,CT75+CS76-DB75,IF(A76&lt;'Données projet'!$A$140,$CQ$205^A76,IF(A76='Données projet'!$A$140,'Données projet'!$B$140,CT75+CS76-DB75)))</f>
        <v>0</v>
      </c>
      <c r="CU76" s="17" t="e">
        <f>CT76*VLOOKUP('Données projet'!$B$13,Paramètres!$A$1:$I$89,3,0)*VLOOKUP('Données projet'!$B$13,Paramètres!$A$1:$I$89,5,0)</f>
        <v>#N/A</v>
      </c>
      <c r="CV76" s="13" t="e">
        <f t="shared" si="95"/>
        <v>#N/A</v>
      </c>
      <c r="CW76" s="20" t="e">
        <f t="shared" si="67"/>
        <v>#N/A</v>
      </c>
      <c r="CX76" s="59" t="e">
        <f t="shared" si="68"/>
        <v>#N/A</v>
      </c>
      <c r="CY76" s="59" t="e">
        <f ca="1">AVERAGE(OFFSET($CX$3,0,0,'Données projet'!$E$13+1,1))-AVERAGE(OFFSET($H$3,0,0,'Données projet'!$E$13+1,1))</f>
        <v>#N/A</v>
      </c>
      <c r="CZ76" s="59" t="e">
        <f t="shared" si="96"/>
        <v>#N/A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 t="e">
        <f>EXP(-LN(2)/35)*DF75+(1-EXP(-LN(2)/35))/(LN(2)/35)*DB76*DC76*VLOOKUP('Données projet'!$B$13,Paramètres!$A$1:$I$89,3,0)*0.475*44/12</f>
        <v>#N/A</v>
      </c>
      <c r="DG76" s="21" t="e">
        <f>EXP(-LN(2)/25)*DG75+(1-EXP(-LN(2)/25))/(LN(2)/25)*Calculateur!DB76*Calculateur!DD76*VLOOKUP('Données projet'!$B$13,Paramètres!$A$1:$I$89,3,0)*0.475*44/12</f>
        <v>#N/A</v>
      </c>
      <c r="DH76" s="21" t="e">
        <f>EXP(-LN(2)/2)*DH75+(1-EXP(-LN(2)/2))/(LN(2)/2)*DB76*DE76*VLOOKUP('Données projet'!$B$13,Paramètres!$A$1:$I$89,3,0)*0.475*44/12</f>
        <v>#N/A</v>
      </c>
      <c r="DI76" s="22" t="e">
        <f t="shared" si="69"/>
        <v>#N/A</v>
      </c>
      <c r="DJ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0</v>
      </c>
      <c r="DO76" s="12">
        <f>IF('Données projet'!$A$166&gt;35,DO75+DN76-DW75,IF(A76&lt;'Données projet'!$A$166,$DL$205^A76,IF(A76='Données projet'!$A$166,'Données projet'!$B$166,DO75+DN76-DW75)))</f>
        <v>0</v>
      </c>
      <c r="DP76" s="17" t="e">
        <f>DO76*VLOOKUP('Données projet'!$B$14,Paramètres!$A$1:$I$89,3,0)*VLOOKUP('Données projet'!$B$14,Paramètres!$A$1:$I$89,5,0)</f>
        <v>#N/A</v>
      </c>
      <c r="DQ76" s="13" t="e">
        <f t="shared" si="97"/>
        <v>#N/A</v>
      </c>
      <c r="DR76" s="20" t="e">
        <f t="shared" si="70"/>
        <v>#N/A</v>
      </c>
      <c r="DS76" s="59" t="e">
        <f t="shared" si="71"/>
        <v>#N/A</v>
      </c>
      <c r="DT76" s="59" t="e">
        <f ca="1">AVERAGE(OFFSET($DS$3,0,0,'Données projet'!$E$14+1,1))-AVERAGE(OFFSET($H$3,0,0,'Données projet'!$E$14+1,1))</f>
        <v>#N/A</v>
      </c>
      <c r="DU76" s="59" t="e">
        <f t="shared" si="98"/>
        <v>#N/A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 t="e">
        <f>EXP(-LN(2)/35)*EA75+(1-EXP(-LN(2)/35))/(LN(2)/35)*DW76*DX76*VLOOKUP('Données projet'!$B$14,Paramètres!$A$1:$I$89,3,0)*0.475*44/12</f>
        <v>#N/A</v>
      </c>
      <c r="EB76" s="21" t="e">
        <f>EXP(-LN(2)/25)*EB75+(1-EXP(-LN(2)/25))/(LN(2)/25)*Calculateur!DW76*Calculateur!DY76*VLOOKUP('Données projet'!$B$14,Paramètres!$A$1:$I$89,3,0)*0.475*44/12</f>
        <v>#N/A</v>
      </c>
      <c r="EC76" s="21" t="e">
        <f>EXP(-LN(2)/2)*EC75+(1-EXP(-LN(2)/2))/(LN(2)/2)*DW76*DZ76*VLOOKUP('Données projet'!$B$14,Paramètres!$A$1:$I$89,3,0)*0.475*44/12</f>
        <v>#N/A</v>
      </c>
      <c r="ED76" s="22" t="e">
        <f t="shared" si="72"/>
        <v>#N/A</v>
      </c>
      <c r="EE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0</v>
      </c>
      <c r="EK76" s="17" t="e">
        <f>EJ76*VLOOKUP('Données projet'!$B$15,Paramètres!$A$1:$I$89,3,0)*VLOOKUP('Données projet'!$B$15,Paramètres!$A$1:$I$89,5,0)</f>
        <v>#N/A</v>
      </c>
      <c r="EL76" s="13" t="e">
        <f t="shared" si="99"/>
        <v>#N/A</v>
      </c>
      <c r="EM76" s="20" t="e">
        <f t="shared" si="73"/>
        <v>#N/A</v>
      </c>
      <c r="EN76" s="59" t="e">
        <f t="shared" si="74"/>
        <v>#N/A</v>
      </c>
      <c r="EO76" s="59" t="e">
        <f ca="1">AVERAGE(OFFSET($EN$3,0,0,'Données projet'!$E$15+1,1))-AVERAGE(OFFSET($H$3,0,0,'Données projet'!$E$15+1,1))</f>
        <v>#N/A</v>
      </c>
      <c r="EP76" s="59" t="e">
        <f t="shared" si="100"/>
        <v>#N/A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 t="e">
        <f>EXP(-LN(2)/35)*EV75+(1-EXP(-LN(2)/35))/(LN(2)/35)*ER76*ES76*VLOOKUP('Données projet'!$B$15,Paramètres!$A$1:$I$89,3,0)*0.475*44/12</f>
        <v>#N/A</v>
      </c>
      <c r="EW76" s="21" t="e">
        <f>EXP(-LN(2)/25)*EW75+(1-EXP(-LN(2)/25))/(LN(2)/25)*Calculateur!ER76*Calculateur!ET76*VLOOKUP('Données projet'!$B$15,Paramètres!$A$1:$I$89,3,0)*0.475*44/12</f>
        <v>#N/A</v>
      </c>
      <c r="EX76" s="21" t="e">
        <f>EXP(-LN(2)/2)*EX75+(1-EXP(-LN(2)/2))/(LN(2)/2)*ER76*EU76*VLOOKUP('Données projet'!$B$15,Paramètres!$A$1:$I$89,3,0)*0.475*44/12</f>
        <v>#N/A</v>
      </c>
      <c r="EY76" s="22" t="e">
        <f t="shared" si="75"/>
        <v>#N/A</v>
      </c>
      <c r="EZ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9" t="e">
        <f t="shared" si="77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45">
      <c r="A77" s="10">
        <f t="shared" si="85"/>
        <v>74</v>
      </c>
      <c r="B77" s="73">
        <f>'Scénario référence'!$B$16*5+'Scénario référence'!$B$17*0+'Scénario référence'!$B$18*5</f>
        <v>0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65.800800000000081</v>
      </c>
      <c r="D77" s="11">
        <f t="shared" si="86"/>
        <v>18.626923459774314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">
        <f>IF(OR('Scénario référence'!$F$8&gt;0,'Scénario référence'!$F$9&gt;0),('Scénario référence'!$F$8+'Scénario référence'!$F$9)*10,0)</f>
        <v>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651.72277758422342</v>
      </c>
      <c r="H77" s="67">
        <f t="shared" si="56"/>
        <v>403.71161835910709</v>
      </c>
      <c r="I77" s="7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8.8608333333333373</v>
      </c>
      <c r="N77" s="13">
        <f>IF('Données projet'!$A$36&gt;35,N76+M77-V76,IF(A77&lt;'Données projet'!$A$36,$K$205^A77,IF(A77='Données projet'!$A$36,'Données projet'!$B$36,N76+M77-V76)))</f>
        <v>405.86166666666651</v>
      </c>
      <c r="O77" s="13">
        <f>N77*VLOOKUP('Données projet'!$B$9,Paramètres!$A$1:$I$89,3,0)*VLOOKUP('Données projet'!$B$9,Paramètres!$A$1:$I$89,5,0)</f>
        <v>226.87667166666657</v>
      </c>
      <c r="P77" s="13">
        <f t="shared" si="87"/>
        <v>55.606808461154522</v>
      </c>
      <c r="Q77" s="20">
        <f t="shared" si="54"/>
        <v>491.99206122262177</v>
      </c>
      <c r="R77" s="59">
        <f t="shared" si="55"/>
        <v>785.32539455595509</v>
      </c>
      <c r="S77" s="59">
        <f ca="1">AVERAGE(OFFSET($R$3,0,0,'Données projet'!$E$9+1,1))-AVERAGE(OFFSET($H$3,0,0,'Données projet'!$E$9+1,1))</f>
        <v>280.69347314340195</v>
      </c>
      <c r="T77" s="59">
        <f t="shared" si="88"/>
        <v>152.40533828556482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45.898707216785816</v>
      </c>
      <c r="AA77" s="21">
        <f>EXP(-LN(2)/25)*AA76+(1-EXP(-LN(2)/25))/(LN(2)/25)*Calculateur!V77*Calculateur!X77*VLOOKUP('Données projet'!$B$9,Paramètres!$A$1:$I$89,3,0)*0.475*44/12</f>
        <v>20.781516037538854</v>
      </c>
      <c r="AB77" s="21">
        <f>EXP(-LN(2)/2)*AB76+(1-EXP(-LN(2)/2))/(LN(2)/2)*V77*Y77*VLOOKUP('Données projet'!$B$9,Paramètres!$A$1:$I$89,3,0)*0.475*44/12</f>
        <v>4.1987283770210428</v>
      </c>
      <c r="AC77" s="22">
        <f t="shared" si="57"/>
        <v>70.878951631345714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0</v>
      </c>
      <c r="AI77" s="13">
        <f>IF('Données projet'!$A$62&gt;35,AI76+AH77-AQ76,IF(A77&lt;'Données projet'!$A$62,$AF$205^A77,IF(A77='Données projet'!$A$62,'Données projet'!$B$62,AI76+AH77-AQ76)))</f>
        <v>0</v>
      </c>
      <c r="AJ77" s="13">
        <f>AI77*VLOOKUP('Données projet'!$B$10,Paramètres!$A$1:$I$89,3,0)*VLOOKUP('Données projet'!$B$10,Paramètres!$A$1:$I$89,5,0)</f>
        <v>0</v>
      </c>
      <c r="AK77" s="13" t="e">
        <f t="shared" si="89"/>
        <v>#NUM!</v>
      </c>
      <c r="AL77" s="20" t="e">
        <f t="shared" si="58"/>
        <v>#NUM!</v>
      </c>
      <c r="AM77" s="59" t="e">
        <f t="shared" si="59"/>
        <v>#NUM!</v>
      </c>
      <c r="AN77" s="59">
        <f ca="1">AVERAGE(OFFSET($AM$3,0,0,'Données projet'!$E$10+1,1))-AVERAGE(OFFSET($H$3,0,0,'Données projet'!$E$10+1,1))</f>
        <v>179.4725256147085</v>
      </c>
      <c r="AO77" s="59">
        <f t="shared" si="90"/>
        <v>282.16750121151176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109.42435298686134</v>
      </c>
      <c r="AV77" s="21">
        <f>EXP(-LN(2)/25)*AV76+(1-EXP(-LN(2)/25))/(LN(2)/25)*Calculateur!AQ77*Calculateur!AS77*VLOOKUP('Données projet'!$B$10,Paramètres!$A$1:$I$89,3,0)*0.475*44/12</f>
        <v>33.143827424166751</v>
      </c>
      <c r="AW77" s="21">
        <f>EXP(-LN(2)/2)*AW76+(1-EXP(-LN(2)/2))/(LN(2)/2)*AQ77*AT77*VLOOKUP('Données projet'!$B$10,Paramètres!$A$1:$I$89,3,0)*0.475*44/12</f>
        <v>0.33687810839628202</v>
      </c>
      <c r="AX77" s="21">
        <f t="shared" si="60"/>
        <v>142.90505851942439</v>
      </c>
      <c r="AY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10.812222222222223</v>
      </c>
      <c r="BD77" s="12">
        <f>IF('Données projet'!$A$88&gt;35,BD76+BC77-BL76,IF(A77&lt;'Données projet'!$A$88,$BA$205^A77,IF(A77='Données projet'!$A$88,'Données projet'!$B$88,BD76+BC77-BL76)))</f>
        <v>263.9977777777782</v>
      </c>
      <c r="BE77" s="13">
        <f>BD77*VLOOKUP('Données projet'!$B$11,Paramètres!$A$1:$I$89,3,0)*VLOOKUP('Données projet'!$B$11,Paramètres!$A$1:$I$89,5,0)</f>
        <v>226.51009333333371</v>
      </c>
      <c r="BF77" s="13">
        <f t="shared" si="91"/>
        <v>55.527411937162135</v>
      </c>
      <c r="BG77" s="20">
        <f t="shared" si="61"/>
        <v>491.21532167944696</v>
      </c>
      <c r="BH77" s="59">
        <f t="shared" si="62"/>
        <v>784.54865501278027</v>
      </c>
      <c r="BI77" s="59">
        <f ca="1">AVERAGE(OFFSET($BH$3,0,0,'Données projet'!$E$11+1,1))-AVERAGE(OFFSET($H$3,0,0,'Données projet'!$E$11+1,1))</f>
        <v>312.89478437044261</v>
      </c>
      <c r="BJ77" s="59">
        <f t="shared" si="92"/>
        <v>276.16555507854571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>
        <f>EXP(-LN(2)/35)*BP76+(1-EXP(-LN(2)/35))/(LN(2)/35)*BL77*BM77*VLOOKUP('Données projet'!$B$11,Paramètres!$A$1:$I$89,3,0)*0.475*44/12</f>
        <v>0</v>
      </c>
      <c r="BQ77" s="21">
        <f>EXP(-LN(2)/25)*BQ76+(1-EXP(-LN(2)/25))/(LN(2)/25)*Calculateur!BL77*Calculateur!BN77*VLOOKUP('Données projet'!$B$11,Paramètres!$A$1:$I$89,3,0)*0.475*44/12</f>
        <v>38.571416244590544</v>
      </c>
      <c r="BR77" s="21">
        <f>EXP(-LN(2)/2)*BR76+(1-EXP(-LN(2)/2))/(LN(2)/2)*BL77*BO77*VLOOKUP('Données projet'!$B$11,Paramètres!$A$1:$I$89,3,0)*0.475*44/12</f>
        <v>2.116549826459396</v>
      </c>
      <c r="BS77" s="22">
        <f t="shared" si="63"/>
        <v>40.687966071049942</v>
      </c>
      <c r="BT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0</v>
      </c>
      <c r="BY77" s="12">
        <f>IF('Données projet'!$A$114&gt;35,BY76+BX77-CG76,IF(A77&lt;'Données projet'!$A$114,$BV$205^A77,IF(A77='Données projet'!$A$114,'Données projet'!$B$114,BY76+BX77-CG76)))</f>
        <v>0</v>
      </c>
      <c r="BZ77" s="13" t="e">
        <f>BY77*VLOOKUP('Données projet'!$B$12,Paramètres!$A$1:$I$89,3,0)*VLOOKUP('Données projet'!$B$12,Paramètres!$A$1:$I$89,5,0)</f>
        <v>#N/A</v>
      </c>
      <c r="CA77" s="13" t="e">
        <f t="shared" si="93"/>
        <v>#N/A</v>
      </c>
      <c r="CB77" s="20" t="e">
        <f t="shared" si="64"/>
        <v>#N/A</v>
      </c>
      <c r="CC77" s="59" t="e">
        <f t="shared" si="65"/>
        <v>#N/A</v>
      </c>
      <c r="CD77" s="59" t="e">
        <f ca="1">AVERAGE(OFFSET($CC$3,0,0,'Données projet'!$E$12+1,1))-AVERAGE(OFFSET($H$3,0,0,'Données projet'!$E$12+1,1))</f>
        <v>#N/A</v>
      </c>
      <c r="CE77" s="59" t="e">
        <f t="shared" si="94"/>
        <v>#N/A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 t="e">
        <f>EXP(-LN(2)/35)*CK76+(1-EXP(-LN(2)/35))/(LN(2)/35)*CG77*CH77*VLOOKUP('Données projet'!$B$12,Paramètres!$A$1:$I$89,3,0)*0.475*44/12</f>
        <v>#N/A</v>
      </c>
      <c r="CL77" s="21" t="e">
        <f>EXP(-LN(2)/25)*CL76+(1-EXP(-LN(2)/25))/(LN(2)/25)*Calculateur!CG77*Calculateur!CI77*VLOOKUP('Données projet'!$B$12,Paramètres!$A$1:$I$89,3,0)*0.475*44/12</f>
        <v>#N/A</v>
      </c>
      <c r="CM77" s="21" t="e">
        <f>EXP(-LN(2)/2)*CM76+(1-EXP(-LN(2)/2))/(LN(2)/2)*CG77*CJ77*VLOOKUP('Données projet'!$B$12,Paramètres!$A$1:$I$89,3,0)*0.475*44/12</f>
        <v>#N/A</v>
      </c>
      <c r="CN77" s="22" t="e">
        <f t="shared" si="66"/>
        <v>#N/A</v>
      </c>
      <c r="CO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0</v>
      </c>
      <c r="CT77" s="12">
        <f>IF('Données projet'!$A$140&gt;35,CT76+CS77-DB76,IF(A77&lt;'Données projet'!$A$140,$CQ$205^A77,IF(A77='Données projet'!$A$140,'Données projet'!$B$140,CT76+CS77-DB76)))</f>
        <v>0</v>
      </c>
      <c r="CU77" s="17" t="e">
        <f>CT77*VLOOKUP('Données projet'!$B$13,Paramètres!$A$1:$I$89,3,0)*VLOOKUP('Données projet'!$B$13,Paramètres!$A$1:$I$89,5,0)</f>
        <v>#N/A</v>
      </c>
      <c r="CV77" s="13" t="e">
        <f t="shared" si="95"/>
        <v>#N/A</v>
      </c>
      <c r="CW77" s="20" t="e">
        <f t="shared" si="67"/>
        <v>#N/A</v>
      </c>
      <c r="CX77" s="59" t="e">
        <f t="shared" si="68"/>
        <v>#N/A</v>
      </c>
      <c r="CY77" s="59" t="e">
        <f ca="1">AVERAGE(OFFSET($CX$3,0,0,'Données projet'!$E$13+1,1))-AVERAGE(OFFSET($H$3,0,0,'Données projet'!$E$13+1,1))</f>
        <v>#N/A</v>
      </c>
      <c r="CZ77" s="59" t="e">
        <f t="shared" si="96"/>
        <v>#N/A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 t="e">
        <f>EXP(-LN(2)/35)*DF76+(1-EXP(-LN(2)/35))/(LN(2)/35)*DB77*DC77*VLOOKUP('Données projet'!$B$13,Paramètres!$A$1:$I$89,3,0)*0.475*44/12</f>
        <v>#N/A</v>
      </c>
      <c r="DG77" s="21" t="e">
        <f>EXP(-LN(2)/25)*DG76+(1-EXP(-LN(2)/25))/(LN(2)/25)*Calculateur!DB77*Calculateur!DD77*VLOOKUP('Données projet'!$B$13,Paramètres!$A$1:$I$89,3,0)*0.475*44/12</f>
        <v>#N/A</v>
      </c>
      <c r="DH77" s="21" t="e">
        <f>EXP(-LN(2)/2)*DH76+(1-EXP(-LN(2)/2))/(LN(2)/2)*DB77*DE77*VLOOKUP('Données projet'!$B$13,Paramètres!$A$1:$I$89,3,0)*0.475*44/12</f>
        <v>#N/A</v>
      </c>
      <c r="DI77" s="22" t="e">
        <f t="shared" si="69"/>
        <v>#N/A</v>
      </c>
      <c r="DJ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0</v>
      </c>
      <c r="DO77" s="12">
        <f>IF('Données projet'!$A$166&gt;35,DO76+DN77-DW76,IF(A77&lt;'Données projet'!$A$166,$DL$205^A77,IF(A77='Données projet'!$A$166,'Données projet'!$B$166,DO76+DN77-DW76)))</f>
        <v>0</v>
      </c>
      <c r="DP77" s="17" t="e">
        <f>DO77*VLOOKUP('Données projet'!$B$14,Paramètres!$A$1:$I$89,3,0)*VLOOKUP('Données projet'!$B$14,Paramètres!$A$1:$I$89,5,0)</f>
        <v>#N/A</v>
      </c>
      <c r="DQ77" s="13" t="e">
        <f t="shared" si="97"/>
        <v>#N/A</v>
      </c>
      <c r="DR77" s="20" t="e">
        <f t="shared" si="70"/>
        <v>#N/A</v>
      </c>
      <c r="DS77" s="59" t="e">
        <f t="shared" si="71"/>
        <v>#N/A</v>
      </c>
      <c r="DT77" s="59" t="e">
        <f ca="1">AVERAGE(OFFSET($DS$3,0,0,'Données projet'!$E$14+1,1))-AVERAGE(OFFSET($H$3,0,0,'Données projet'!$E$14+1,1))</f>
        <v>#N/A</v>
      </c>
      <c r="DU77" s="59" t="e">
        <f t="shared" si="98"/>
        <v>#N/A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 t="e">
        <f>EXP(-LN(2)/35)*EA76+(1-EXP(-LN(2)/35))/(LN(2)/35)*DW77*DX77*VLOOKUP('Données projet'!$B$14,Paramètres!$A$1:$I$89,3,0)*0.475*44/12</f>
        <v>#N/A</v>
      </c>
      <c r="EB77" s="21" t="e">
        <f>EXP(-LN(2)/25)*EB76+(1-EXP(-LN(2)/25))/(LN(2)/25)*Calculateur!DW77*Calculateur!DY77*VLOOKUP('Données projet'!$B$14,Paramètres!$A$1:$I$89,3,0)*0.475*44/12</f>
        <v>#N/A</v>
      </c>
      <c r="EC77" s="21" t="e">
        <f>EXP(-LN(2)/2)*EC76+(1-EXP(-LN(2)/2))/(LN(2)/2)*DW77*DZ77*VLOOKUP('Données projet'!$B$14,Paramètres!$A$1:$I$89,3,0)*0.475*44/12</f>
        <v>#N/A</v>
      </c>
      <c r="ED77" s="22" t="e">
        <f t="shared" si="72"/>
        <v>#N/A</v>
      </c>
      <c r="EE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0</v>
      </c>
      <c r="EK77" s="17" t="e">
        <f>EJ77*VLOOKUP('Données projet'!$B$15,Paramètres!$A$1:$I$89,3,0)*VLOOKUP('Données projet'!$B$15,Paramètres!$A$1:$I$89,5,0)</f>
        <v>#N/A</v>
      </c>
      <c r="EL77" s="13" t="e">
        <f t="shared" si="99"/>
        <v>#N/A</v>
      </c>
      <c r="EM77" s="20" t="e">
        <f t="shared" si="73"/>
        <v>#N/A</v>
      </c>
      <c r="EN77" s="59" t="e">
        <f t="shared" si="74"/>
        <v>#N/A</v>
      </c>
      <c r="EO77" s="59" t="e">
        <f ca="1">AVERAGE(OFFSET($EN$3,0,0,'Données projet'!$E$15+1,1))-AVERAGE(OFFSET($H$3,0,0,'Données projet'!$E$15+1,1))</f>
        <v>#N/A</v>
      </c>
      <c r="EP77" s="59" t="e">
        <f t="shared" si="100"/>
        <v>#N/A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 t="e">
        <f>EXP(-LN(2)/35)*EV76+(1-EXP(-LN(2)/35))/(LN(2)/35)*ER77*ES77*VLOOKUP('Données projet'!$B$15,Paramètres!$A$1:$I$89,3,0)*0.475*44/12</f>
        <v>#N/A</v>
      </c>
      <c r="EW77" s="21" t="e">
        <f>EXP(-LN(2)/25)*EW76+(1-EXP(-LN(2)/25))/(LN(2)/25)*Calculateur!ER77*Calculateur!ET77*VLOOKUP('Données projet'!$B$15,Paramètres!$A$1:$I$89,3,0)*0.475*44/12</f>
        <v>#N/A</v>
      </c>
      <c r="EX77" s="21" t="e">
        <f>EXP(-LN(2)/2)*EX76+(1-EXP(-LN(2)/2))/(LN(2)/2)*ER77*EU77*VLOOKUP('Données projet'!$B$15,Paramètres!$A$1:$I$89,3,0)*0.475*44/12</f>
        <v>#N/A</v>
      </c>
      <c r="EY77" s="22" t="e">
        <f t="shared" si="75"/>
        <v>#N/A</v>
      </c>
      <c r="EZ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9" t="e">
        <f t="shared" si="77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45">
      <c r="A78" s="10">
        <f t="shared" si="85"/>
        <v>75</v>
      </c>
      <c r="B78" s="73">
        <f>'Scénario référence'!$B$16*5+'Scénario référence'!$B$17*0+'Scénario référence'!$B$18*5</f>
        <v>0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66.690000000000083</v>
      </c>
      <c r="D78" s="11">
        <f t="shared" si="86"/>
        <v>18.849164941118655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">
        <f>IF(OR('Scénario référence'!$F$8&gt;0,'Scénario référence'!$F$9&gt;0),('Scénario référence'!$F$8+'Scénario référence'!$F$9)*10,0)</f>
        <v>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660.30232586126749</v>
      </c>
      <c r="H78" s="67">
        <f t="shared" si="56"/>
        <v>405.64737893911513</v>
      </c>
      <c r="I78" s="7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8.8608333333333373</v>
      </c>
      <c r="N78" s="13">
        <f>IF('Données projet'!$A$36&gt;35,N77+M78-V77,IF(A78&lt;'Données projet'!$A$36,$K$205^A78,IF(A78='Données projet'!$A$36,'Données projet'!$B$36,N77+M78-V77)))</f>
        <v>414.72249999999985</v>
      </c>
      <c r="O78" s="13">
        <f>N78*VLOOKUP('Données projet'!$B$9,Paramètres!$A$1:$I$89,3,0)*VLOOKUP('Données projet'!$B$9,Paramètres!$A$1:$I$89,5,0)</f>
        <v>231.82987749999992</v>
      </c>
      <c r="P78" s="13">
        <f t="shared" si="87"/>
        <v>56.678161162427152</v>
      </c>
      <c r="Q78" s="20">
        <f t="shared" si="54"/>
        <v>502.48483400372714</v>
      </c>
      <c r="R78" s="59">
        <f t="shared" si="55"/>
        <v>795.81816733706046</v>
      </c>
      <c r="S78" s="59">
        <f ca="1">AVERAGE(OFFSET($R$3,0,0,'Données projet'!$E$9+1,1))-AVERAGE(OFFSET($H$3,0,0,'Données projet'!$E$9+1,1))</f>
        <v>280.69347314340195</v>
      </c>
      <c r="T78" s="59">
        <f t="shared" si="88"/>
        <v>152.40533828556482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44.998661563711728</v>
      </c>
      <c r="AA78" s="21">
        <f>EXP(-LN(2)/25)*AA77+(1-EXP(-LN(2)/25))/(LN(2)/25)*Calculateur!V78*Calculateur!X78*VLOOKUP('Données projet'!$B$9,Paramètres!$A$1:$I$89,3,0)*0.475*44/12</f>
        <v>20.213244388639922</v>
      </c>
      <c r="AB78" s="21">
        <f>EXP(-LN(2)/2)*AB77+(1-EXP(-LN(2)/2))/(LN(2)/2)*V78*Y78*VLOOKUP('Données projet'!$B$9,Paramètres!$A$1:$I$89,3,0)*0.475*44/12</f>
        <v>2.9689493077519664</v>
      </c>
      <c r="AC78" s="22">
        <f t="shared" si="57"/>
        <v>68.180855260103627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 t="e">
        <f>VLOOKUP(A78,'Données projet'!$A$61:$I$81,2,0)</f>
        <v>#N/A</v>
      </c>
      <c r="AG78" s="12" t="e">
        <f>VLOOKUP(A78,'Données projet'!$A$61:$I$81,9,0)</f>
        <v>#N/A</v>
      </c>
      <c r="AH78" s="12">
        <f t="array" ref="AH78">INDEX(AG:AG,MIN(IF(ISNUMBER(AG78:AG274),ROW(AG78:AG274),"")))</f>
        <v>0</v>
      </c>
      <c r="AI78" s="13">
        <f>IF('Données projet'!$A$62&gt;35,AI77+AH78-AQ77,IF(A78&lt;'Données projet'!$A$62,$AF$205^A78,IF(A78='Données projet'!$A$62,'Données projet'!$B$62,AI77+AH78-AQ77)))</f>
        <v>0</v>
      </c>
      <c r="AJ78" s="13">
        <f>AI78*VLOOKUP('Données projet'!$B$10,Paramètres!$A$1:$I$89,3,0)*VLOOKUP('Données projet'!$B$10,Paramètres!$A$1:$I$89,5,0)</f>
        <v>0</v>
      </c>
      <c r="AK78" s="13" t="e">
        <f t="shared" si="89"/>
        <v>#NUM!</v>
      </c>
      <c r="AL78" s="20" t="e">
        <f t="shared" si="58"/>
        <v>#NUM!</v>
      </c>
      <c r="AM78" s="59" t="e">
        <f t="shared" si="59"/>
        <v>#NUM!</v>
      </c>
      <c r="AN78" s="59">
        <f ca="1">AVERAGE(OFFSET($AM$3,0,0,'Données projet'!$E$10+1,1))-AVERAGE(OFFSET($H$3,0,0,'Données projet'!$E$10+1,1))</f>
        <v>179.4725256147085</v>
      </c>
      <c r="AO78" s="59">
        <f t="shared" si="90"/>
        <v>282.16750121151176</v>
      </c>
      <c r="AP78" s="15">
        <f>IF(ISNA(VLOOKUP(A78,'Données projet'!$A$61:$I$81,3,0)),0,VLOOKUP(A78,'Données projet'!$A$61:$I$81,3,0))</f>
        <v>0</v>
      </c>
      <c r="AQ78" s="15">
        <f>IF(ISNA(VLOOKUP(A78,'Données projet'!$A$61:$I$81,4,0)),0,VLOOKUP(A78,'Données projet'!$A$61:$I$81,4,0))</f>
        <v>0</v>
      </c>
      <c r="AR78" s="16">
        <f>IF(ISNA(VLOOKUP(A78,'Données projet'!$A$61:$I$81,5,0)),0%,VLOOKUP(A78,'Données projet'!$A$61:$I$81,5,0)*VLOOKUP('Données projet'!$B$10,Paramètres!$A$1:$I$89,7,0))</f>
        <v>0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>
        <f>EXP(-LN(2)/35)*AU77+(1-EXP(-LN(2)/35))/(LN(2)/35)*AQ78*AR78*VLOOKUP('Données projet'!$B$10,Paramètres!$A$1:$I$89,3,0)*0.475*44/12</f>
        <v>107.27860816705406</v>
      </c>
      <c r="AV78" s="21">
        <f>EXP(-LN(2)/25)*AV77+(1-EXP(-LN(2)/25))/(LN(2)/25)*Calculateur!AQ78*Calculateur!AS78*VLOOKUP('Données projet'!$B$10,Paramètres!$A$1:$I$89,3,0)*0.475*44/12</f>
        <v>32.237507720294779</v>
      </c>
      <c r="AW78" s="21">
        <f>EXP(-LN(2)/2)*AW77+(1-EXP(-LN(2)/2))/(LN(2)/2)*AQ78*AT78*VLOOKUP('Données projet'!$B$10,Paramètres!$A$1:$I$89,3,0)*0.475*44/12</f>
        <v>0.23820879488030786</v>
      </c>
      <c r="AX78" s="21">
        <f t="shared" si="60"/>
        <v>139.75432468222914</v>
      </c>
      <c r="AY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>
        <f>VLOOKUP(A78,'Données projet'!$A$87:$I$107,2,0)</f>
        <v>274.81</v>
      </c>
      <c r="BB78" s="12">
        <f>VLOOKUP(A78,'Données projet'!$A$87:$I$107,9,0)</f>
        <v>10.812222222222223</v>
      </c>
      <c r="BC78" s="12">
        <f t="array" ref="BC78">INDEX(BB:BB,MIN(IF(ISNUMBER(BB78:BB274),ROW(BB78:BB274),"")))</f>
        <v>10.812222222222223</v>
      </c>
      <c r="BD78" s="12">
        <f>IF('Données projet'!$A$88&gt;35,BD77+BC78-BL77,IF(A78&lt;'Données projet'!$A$88,$BA$205^A78,IF(A78='Données projet'!$A$88,'Données projet'!$B$88,BD77+BC78-BL77)))</f>
        <v>274.8100000000004</v>
      </c>
      <c r="BE78" s="13">
        <f>BD78*VLOOKUP('Données projet'!$B$11,Paramètres!$A$1:$I$89,3,0)*VLOOKUP('Données projet'!$B$11,Paramètres!$A$1:$I$89,5,0)</f>
        <v>235.78698000000037</v>
      </c>
      <c r="BF78" s="13">
        <f t="shared" si="91"/>
        <v>57.532146516353762</v>
      </c>
      <c r="BG78" s="20">
        <f t="shared" si="61"/>
        <v>510.86414534931674</v>
      </c>
      <c r="BH78" s="59">
        <f t="shared" si="62"/>
        <v>804.19747868265006</v>
      </c>
      <c r="BI78" s="59">
        <f ca="1">AVERAGE(OFFSET($BH$3,0,0,'Données projet'!$E$11+1,1))-AVERAGE(OFFSET($H$3,0,0,'Données projet'!$E$11+1,1))</f>
        <v>312.89478437044261</v>
      </c>
      <c r="BJ78" s="59">
        <f t="shared" si="92"/>
        <v>276.16555507854571</v>
      </c>
      <c r="BK78" s="15">
        <f>IF(ISNA(VLOOKUP(A78,'Données projet'!$A$87:$I$107,3,0)),0,VLOOKUP(A78,'Données projet'!$A$87:$I$107,3,0))</f>
        <v>3</v>
      </c>
      <c r="BL78" s="15">
        <f>IF(ISNA(VLOOKUP(A78,'Données projet'!$A$87:$I$107,4,0)),0,VLOOKUP(A78,'Données projet'!$A$87:$I$107,4,0))</f>
        <v>72.47999999999999</v>
      </c>
      <c r="BM78" s="16">
        <f>IF(ISNA(VLOOKUP(A78,'Données projet'!$A$87:$I$107,5,0)),0%,VLOOKUP(A78,'Données projet'!$A$87:$I$107,5,0)*VLOOKUP('Données projet'!$B$11,Paramètres!$A$1:$I$89,7,0))</f>
        <v>0</v>
      </c>
      <c r="BN78" s="16">
        <f>IF(ISNA(VLOOKUP(A78,'Données projet'!$A$87:$I$107,6,0)),0%,VLOOKUP(A78,'Données projet'!$A$87:$I$107,6,0)*VLOOKUP('Données projet'!$B$11,Paramètres!$A$1:$I$89,7,0))</f>
        <v>0.26500000000000001</v>
      </c>
      <c r="BO78" s="16">
        <f>IF(ISNA(VLOOKUP(A78,'Données projet'!$A$87:$I$107,7,0)),0%,VLOOKUP(A78,'Données projet'!$A$87:$I$107,7,0))</f>
        <v>0.5</v>
      </c>
      <c r="BP78" s="21">
        <f>EXP(-LN(2)/35)*BP77+(1-EXP(-LN(2)/35))/(LN(2)/35)*BL78*BM78*VLOOKUP('Données projet'!$B$11,Paramètres!$A$1:$I$89,3,0)*0.475*44/12</f>
        <v>0</v>
      </c>
      <c r="BQ78" s="21">
        <f>EXP(-LN(2)/25)*BQ77+(1-EXP(-LN(2)/25))/(LN(2)/25)*Calculateur!BL78*Calculateur!BN78*VLOOKUP('Données projet'!$B$11,Paramètres!$A$1:$I$89,3,0)*0.475*44/12</f>
        <v>55.662853999609325</v>
      </c>
      <c r="BR78" s="21">
        <f>EXP(-LN(2)/2)*BR77+(1-EXP(-LN(2)/2))/(LN(2)/2)*BL78*BO78*VLOOKUP('Données projet'!$B$11,Paramètres!$A$1:$I$89,3,0)*0.475*44/12</f>
        <v>30.834577135595428</v>
      </c>
      <c r="BS78" s="22">
        <f t="shared" si="63"/>
        <v>86.497431135204749</v>
      </c>
      <c r="BT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 t="e">
        <f>VLOOKUP(A78,'Données projet'!$A$113:$I$133,2,0)</f>
        <v>#N/A</v>
      </c>
      <c r="BW78" s="12" t="e">
        <f>VLOOKUP(A78,'Données projet'!$A$113:$I$133,9,0)</f>
        <v>#N/A</v>
      </c>
      <c r="BX78" s="12">
        <f t="array" ref="BX78">INDEX(BW:BW,MIN(IF(ISNUMBER(BW78:BW274),ROW(BW78:BW274),"")))</f>
        <v>0</v>
      </c>
      <c r="BY78" s="12">
        <f>IF('Données projet'!$A$114&gt;35,BY77+BX78-CG77,IF(A78&lt;'Données projet'!$A$114,$BV$205^A78,IF(A78='Données projet'!$A$114,'Données projet'!$B$114,BY77+BX78-CG77)))</f>
        <v>0</v>
      </c>
      <c r="BZ78" s="13" t="e">
        <f>BY78*VLOOKUP('Données projet'!$B$12,Paramètres!$A$1:$I$89,3,0)*VLOOKUP('Données projet'!$B$12,Paramètres!$A$1:$I$89,5,0)</f>
        <v>#N/A</v>
      </c>
      <c r="CA78" s="13" t="e">
        <f t="shared" si="93"/>
        <v>#N/A</v>
      </c>
      <c r="CB78" s="20" t="e">
        <f t="shared" si="64"/>
        <v>#N/A</v>
      </c>
      <c r="CC78" s="59" t="e">
        <f t="shared" si="65"/>
        <v>#N/A</v>
      </c>
      <c r="CD78" s="59" t="e">
        <f ca="1">AVERAGE(OFFSET($CC$3,0,0,'Données projet'!$E$12+1,1))-AVERAGE(OFFSET($H$3,0,0,'Données projet'!$E$12+1,1))</f>
        <v>#N/A</v>
      </c>
      <c r="CE78" s="59" t="e">
        <f t="shared" si="94"/>
        <v>#N/A</v>
      </c>
      <c r="CF78" s="15">
        <f>IF(ISNA(VLOOKUP(A78,'Données projet'!$A$113:$I$133,3,0)),0,VLOOKUP(A78,'Données projet'!$A$113:$I$133,3,0))</f>
        <v>0</v>
      </c>
      <c r="CG78" s="15">
        <f>IF(ISNA(VLOOKUP(A78,'Données projet'!$A$113:$I$133,4,0)),0,VLOOKUP(A78,'Données projet'!$A$113:$I$133,4,0))</f>
        <v>0</v>
      </c>
      <c r="CH78" s="16">
        <f>IF(ISNA(VLOOKUP(A78,'Données projet'!$A$113:$I$133,5,0)),0%,VLOOKUP(A78,'Données projet'!$A$113:$I$133,5,0)*VLOOKUP('Données projet'!$B$12,Paramètres!$A$1:$I$89,7,0))</f>
        <v>0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 t="e">
        <f>EXP(-LN(2)/35)*CK77+(1-EXP(-LN(2)/35))/(LN(2)/35)*CG78*CH78*VLOOKUP('Données projet'!$B$12,Paramètres!$A$1:$I$89,3,0)*0.475*44/12</f>
        <v>#N/A</v>
      </c>
      <c r="CL78" s="21" t="e">
        <f>EXP(-LN(2)/25)*CL77+(1-EXP(-LN(2)/25))/(LN(2)/25)*Calculateur!CG78*Calculateur!CI78*VLOOKUP('Données projet'!$B$12,Paramètres!$A$1:$I$89,3,0)*0.475*44/12</f>
        <v>#N/A</v>
      </c>
      <c r="CM78" s="21" t="e">
        <f>EXP(-LN(2)/2)*CM77+(1-EXP(-LN(2)/2))/(LN(2)/2)*CG78*CJ78*VLOOKUP('Données projet'!$B$12,Paramètres!$A$1:$I$89,3,0)*0.475*44/12</f>
        <v>#N/A</v>
      </c>
      <c r="CN78" s="22" t="e">
        <f t="shared" si="66"/>
        <v>#N/A</v>
      </c>
      <c r="CO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0</v>
      </c>
      <c r="CT78" s="12">
        <f>IF('Données projet'!$A$140&gt;35,CT77+CS78-DB77,IF(A78&lt;'Données projet'!$A$140,$CQ$205^A78,IF(A78='Données projet'!$A$140,'Données projet'!$B$140,CT77+CS78-DB77)))</f>
        <v>0</v>
      </c>
      <c r="CU78" s="17" t="e">
        <f>CT78*VLOOKUP('Données projet'!$B$13,Paramètres!$A$1:$I$89,3,0)*VLOOKUP('Données projet'!$B$13,Paramètres!$A$1:$I$89,5,0)</f>
        <v>#N/A</v>
      </c>
      <c r="CV78" s="13" t="e">
        <f t="shared" si="95"/>
        <v>#N/A</v>
      </c>
      <c r="CW78" s="20" t="e">
        <f t="shared" si="67"/>
        <v>#N/A</v>
      </c>
      <c r="CX78" s="59" t="e">
        <f t="shared" si="68"/>
        <v>#N/A</v>
      </c>
      <c r="CY78" s="59" t="e">
        <f ca="1">AVERAGE(OFFSET($CX$3,0,0,'Données projet'!$E$13+1,1))-AVERAGE(OFFSET($H$3,0,0,'Données projet'!$E$13+1,1))</f>
        <v>#N/A</v>
      </c>
      <c r="CZ78" s="59" t="e">
        <f t="shared" si="96"/>
        <v>#N/A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 t="e">
        <f>EXP(-LN(2)/35)*DF77+(1-EXP(-LN(2)/35))/(LN(2)/35)*DB78*DC78*VLOOKUP('Données projet'!$B$13,Paramètres!$A$1:$I$89,3,0)*0.475*44/12</f>
        <v>#N/A</v>
      </c>
      <c r="DG78" s="21" t="e">
        <f>EXP(-LN(2)/25)*DG77+(1-EXP(-LN(2)/25))/(LN(2)/25)*Calculateur!DB78*Calculateur!DD78*VLOOKUP('Données projet'!$B$13,Paramètres!$A$1:$I$89,3,0)*0.475*44/12</f>
        <v>#N/A</v>
      </c>
      <c r="DH78" s="21" t="e">
        <f>EXP(-LN(2)/2)*DH77+(1-EXP(-LN(2)/2))/(LN(2)/2)*DB78*DE78*VLOOKUP('Données projet'!$B$13,Paramètres!$A$1:$I$89,3,0)*0.475*44/12</f>
        <v>#N/A</v>
      </c>
      <c r="DI78" s="22" t="e">
        <f t="shared" si="69"/>
        <v>#N/A</v>
      </c>
      <c r="DJ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0</v>
      </c>
      <c r="DO78" s="12">
        <f>IF('Données projet'!$A$166&gt;35,DO77+DN78-DW77,IF(A78&lt;'Données projet'!$A$166,$DL$205^A78,IF(A78='Données projet'!$A$166,'Données projet'!$B$166,DO77+DN78-DW77)))</f>
        <v>0</v>
      </c>
      <c r="DP78" s="17" t="e">
        <f>DO78*VLOOKUP('Données projet'!$B$14,Paramètres!$A$1:$I$89,3,0)*VLOOKUP('Données projet'!$B$14,Paramètres!$A$1:$I$89,5,0)</f>
        <v>#N/A</v>
      </c>
      <c r="DQ78" s="13" t="e">
        <f t="shared" si="97"/>
        <v>#N/A</v>
      </c>
      <c r="DR78" s="20" t="e">
        <f t="shared" si="70"/>
        <v>#N/A</v>
      </c>
      <c r="DS78" s="59" t="e">
        <f t="shared" si="71"/>
        <v>#N/A</v>
      </c>
      <c r="DT78" s="59" t="e">
        <f ca="1">AVERAGE(OFFSET($DS$3,0,0,'Données projet'!$E$14+1,1))-AVERAGE(OFFSET($H$3,0,0,'Données projet'!$E$14+1,1))</f>
        <v>#N/A</v>
      </c>
      <c r="DU78" s="59" t="e">
        <f t="shared" si="98"/>
        <v>#N/A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 t="e">
        <f>EXP(-LN(2)/35)*EA77+(1-EXP(-LN(2)/35))/(LN(2)/35)*DW78*DX78*VLOOKUP('Données projet'!$B$14,Paramètres!$A$1:$I$89,3,0)*0.475*44/12</f>
        <v>#N/A</v>
      </c>
      <c r="EB78" s="21" t="e">
        <f>EXP(-LN(2)/25)*EB77+(1-EXP(-LN(2)/25))/(LN(2)/25)*Calculateur!DW78*Calculateur!DY78*VLOOKUP('Données projet'!$B$14,Paramètres!$A$1:$I$89,3,0)*0.475*44/12</f>
        <v>#N/A</v>
      </c>
      <c r="EC78" s="21" t="e">
        <f>EXP(-LN(2)/2)*EC77+(1-EXP(-LN(2)/2))/(LN(2)/2)*DW78*DZ78*VLOOKUP('Données projet'!$B$14,Paramètres!$A$1:$I$89,3,0)*0.475*44/12</f>
        <v>#N/A</v>
      </c>
      <c r="ED78" s="22" t="e">
        <f t="shared" si="72"/>
        <v>#N/A</v>
      </c>
      <c r="EE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0</v>
      </c>
      <c r="EK78" s="17" t="e">
        <f>EJ78*VLOOKUP('Données projet'!$B$15,Paramètres!$A$1:$I$89,3,0)*VLOOKUP('Données projet'!$B$15,Paramètres!$A$1:$I$89,5,0)</f>
        <v>#N/A</v>
      </c>
      <c r="EL78" s="13" t="e">
        <f t="shared" si="99"/>
        <v>#N/A</v>
      </c>
      <c r="EM78" s="20" t="e">
        <f t="shared" si="73"/>
        <v>#N/A</v>
      </c>
      <c r="EN78" s="59" t="e">
        <f t="shared" si="74"/>
        <v>#N/A</v>
      </c>
      <c r="EO78" s="59" t="e">
        <f ca="1">AVERAGE(OFFSET($EN$3,0,0,'Données projet'!$E$15+1,1))-AVERAGE(OFFSET($H$3,0,0,'Données projet'!$E$15+1,1))</f>
        <v>#N/A</v>
      </c>
      <c r="EP78" s="59" t="e">
        <f t="shared" si="100"/>
        <v>#N/A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 t="e">
        <f>EXP(-LN(2)/35)*EV77+(1-EXP(-LN(2)/35))/(LN(2)/35)*ER78*ES78*VLOOKUP('Données projet'!$B$15,Paramètres!$A$1:$I$89,3,0)*0.475*44/12</f>
        <v>#N/A</v>
      </c>
      <c r="EW78" s="21" t="e">
        <f>EXP(-LN(2)/25)*EW77+(1-EXP(-LN(2)/25))/(LN(2)/25)*Calculateur!ER78*Calculateur!ET78*VLOOKUP('Données projet'!$B$15,Paramètres!$A$1:$I$89,3,0)*0.475*44/12</f>
        <v>#N/A</v>
      </c>
      <c r="EX78" s="21" t="e">
        <f>EXP(-LN(2)/2)*EX77+(1-EXP(-LN(2)/2))/(LN(2)/2)*ER78*EU78*VLOOKUP('Données projet'!$B$15,Paramètres!$A$1:$I$89,3,0)*0.475*44/12</f>
        <v>#N/A</v>
      </c>
      <c r="EY78" s="22" t="e">
        <f t="shared" si="75"/>
        <v>#N/A</v>
      </c>
      <c r="EZ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9" t="e">
        <f t="shared" si="77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45">
      <c r="A79" s="10">
        <f t="shared" si="85"/>
        <v>76</v>
      </c>
      <c r="B79" s="73">
        <f>'Scénario référence'!$B$16*5+'Scénario référence'!$B$17*0+'Scénario référence'!$B$18*5</f>
        <v>0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67.579200000000085</v>
      </c>
      <c r="D79" s="11">
        <f t="shared" si="86"/>
        <v>19.071061760403854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">
        <f>IF(OR('Scénario référence'!$F$8&gt;0,'Scénario référence'!$F$9&gt;0),('Scénario référence'!$F$8+'Scénario référence'!$F$9)*10,0)</f>
        <v>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668.87921358908307</v>
      </c>
      <c r="H79" s="67">
        <f t="shared" si="56"/>
        <v>407.58253923270354</v>
      </c>
      <c r="I79" s="7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8.8608333333333373</v>
      </c>
      <c r="N79" s="13">
        <f>IF('Données projet'!$A$36&gt;35,N78+M79-V78,IF(A79&lt;'Données projet'!$A$36,$K$205^A79,IF(A79='Données projet'!$A$36,'Données projet'!$B$36,N78+M79-V78)))</f>
        <v>423.5833333333332</v>
      </c>
      <c r="O79" s="13">
        <f>N79*VLOOKUP('Données projet'!$B$9,Paramètres!$A$1:$I$89,3,0)*VLOOKUP('Données projet'!$B$9,Paramètres!$A$1:$I$89,5,0)</f>
        <v>236.78308333333325</v>
      </c>
      <c r="P79" s="13">
        <f t="shared" si="87"/>
        <v>57.746852541723904</v>
      </c>
      <c r="Q79" s="20">
        <f t="shared" si="54"/>
        <v>512.97297164905785</v>
      </c>
      <c r="R79" s="59">
        <f t="shared" si="55"/>
        <v>806.30630498239111</v>
      </c>
      <c r="S79" s="59">
        <f ca="1">AVERAGE(OFFSET($R$3,0,0,'Données projet'!$E$9+1,1))-AVERAGE(OFFSET($H$3,0,0,'Données projet'!$E$9+1,1))</f>
        <v>280.69347314340195</v>
      </c>
      <c r="T79" s="59">
        <f t="shared" si="88"/>
        <v>152.40533828556482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44.116265256920784</v>
      </c>
      <c r="AA79" s="21">
        <f>EXP(-LN(2)/25)*AA78+(1-EXP(-LN(2)/25))/(LN(2)/25)*Calculateur!V79*Calculateur!X79*VLOOKUP('Données projet'!$B$9,Paramètres!$A$1:$I$89,3,0)*0.475*44/12</f>
        <v>19.66051215786424</v>
      </c>
      <c r="AB79" s="21">
        <f>EXP(-LN(2)/2)*AB78+(1-EXP(-LN(2)/2))/(LN(2)/2)*V79*Y79*VLOOKUP('Données projet'!$B$9,Paramètres!$A$1:$I$89,3,0)*0.475*44/12</f>
        <v>2.0993641885105214</v>
      </c>
      <c r="AC79" s="22">
        <f t="shared" si="57"/>
        <v>65.876141603295551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0</v>
      </c>
      <c r="AI79" s="13">
        <f>IF('Données projet'!$A$62&gt;35,AI78+AH79-AQ78,IF(A79&lt;'Données projet'!$A$62,$AF$205^A79,IF(A79='Données projet'!$A$62,'Données projet'!$B$62,AI78+AH79-AQ78)))</f>
        <v>0</v>
      </c>
      <c r="AJ79" s="13">
        <f>AI79*VLOOKUP('Données projet'!$B$10,Paramètres!$A$1:$I$89,3,0)*VLOOKUP('Données projet'!$B$10,Paramètres!$A$1:$I$89,5,0)</f>
        <v>0</v>
      </c>
      <c r="AK79" s="13" t="e">
        <f t="shared" si="89"/>
        <v>#NUM!</v>
      </c>
      <c r="AL79" s="20" t="e">
        <f t="shared" si="58"/>
        <v>#NUM!</v>
      </c>
      <c r="AM79" s="59" t="e">
        <f t="shared" si="59"/>
        <v>#NUM!</v>
      </c>
      <c r="AN79" s="59">
        <f ca="1">AVERAGE(OFFSET($AM$3,0,0,'Données projet'!$E$10+1,1))-AVERAGE(OFFSET($H$3,0,0,'Données projet'!$E$10+1,1))</f>
        <v>179.4725256147085</v>
      </c>
      <c r="AO79" s="59">
        <f t="shared" si="90"/>
        <v>282.16750121151176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105.17494009438809</v>
      </c>
      <c r="AV79" s="21">
        <f>EXP(-LN(2)/25)*AV78+(1-EXP(-LN(2)/25))/(LN(2)/25)*Calculateur!AQ79*Calculateur!AS79*VLOOKUP('Données projet'!$B$10,Paramètres!$A$1:$I$89,3,0)*0.475*44/12</f>
        <v>31.355971376386467</v>
      </c>
      <c r="AW79" s="21">
        <f>EXP(-LN(2)/2)*AW78+(1-EXP(-LN(2)/2))/(LN(2)/2)*AQ79*AT79*VLOOKUP('Données projet'!$B$10,Paramètres!$A$1:$I$89,3,0)*0.475*44/12</f>
        <v>0.16843905419814104</v>
      </c>
      <c r="AX79" s="21">
        <f t="shared" si="60"/>
        <v>136.69935052497269</v>
      </c>
      <c r="AY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10.385555555555555</v>
      </c>
      <c r="BD79" s="12">
        <f>IF('Données projet'!$A$88&gt;35,BD78+BC79-BL78,IF(A79&lt;'Données projet'!$A$88,$BA$205^A79,IF(A79='Données projet'!$A$88,'Données projet'!$B$88,BD78+BC79-BL78)))</f>
        <v>212.71555555555599</v>
      </c>
      <c r="BE79" s="13">
        <f>BD79*VLOOKUP('Données projet'!$B$11,Paramètres!$A$1:$I$89,3,0)*VLOOKUP('Données projet'!$B$11,Paramètres!$A$1:$I$89,5,0)</f>
        <v>182.50994666666705</v>
      </c>
      <c r="BF79" s="13">
        <f t="shared" si="91"/>
        <v>45.880152208372287</v>
      </c>
      <c r="BG79" s="20">
        <f t="shared" si="61"/>
        <v>397.77942220736014</v>
      </c>
      <c r="BH79" s="59">
        <f t="shared" si="62"/>
        <v>691.11275554069346</v>
      </c>
      <c r="BI79" s="59">
        <f ca="1">AVERAGE(OFFSET($BH$3,0,0,'Données projet'!$E$11+1,1))-AVERAGE(OFFSET($H$3,0,0,'Données projet'!$E$11+1,1))</f>
        <v>312.89478437044261</v>
      </c>
      <c r="BJ79" s="59">
        <f t="shared" si="92"/>
        <v>276.16555507854571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>
        <f>EXP(-LN(2)/35)*BP78+(1-EXP(-LN(2)/35))/(LN(2)/35)*BL79*BM79*VLOOKUP('Données projet'!$B$11,Paramètres!$A$1:$I$89,3,0)*0.475*44/12</f>
        <v>0</v>
      </c>
      <c r="BQ79" s="21">
        <f>EXP(-LN(2)/25)*BQ78+(1-EXP(-LN(2)/25))/(LN(2)/25)*Calculateur!BL79*Calculateur!BN79*VLOOKUP('Données projet'!$B$11,Paramètres!$A$1:$I$89,3,0)*0.475*44/12</f>
        <v>54.140750329807737</v>
      </c>
      <c r="BR79" s="21">
        <f>EXP(-LN(2)/2)*BR78+(1-EXP(-LN(2)/2))/(LN(2)/2)*BL79*BO79*VLOOKUP('Données projet'!$B$11,Paramètres!$A$1:$I$89,3,0)*0.475*44/12</f>
        <v>21.8033385875992</v>
      </c>
      <c r="BS79" s="22">
        <f t="shared" si="63"/>
        <v>75.94408891740693</v>
      </c>
      <c r="BT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0</v>
      </c>
      <c r="BY79" s="12">
        <f>IF('Données projet'!$A$114&gt;35,BY78+BX79-CG78,IF(A79&lt;'Données projet'!$A$114,$BV$205^A79,IF(A79='Données projet'!$A$114,'Données projet'!$B$114,BY78+BX79-CG78)))</f>
        <v>0</v>
      </c>
      <c r="BZ79" s="13" t="e">
        <f>BY79*VLOOKUP('Données projet'!$B$12,Paramètres!$A$1:$I$89,3,0)*VLOOKUP('Données projet'!$B$12,Paramètres!$A$1:$I$89,5,0)</f>
        <v>#N/A</v>
      </c>
      <c r="CA79" s="13" t="e">
        <f t="shared" si="93"/>
        <v>#N/A</v>
      </c>
      <c r="CB79" s="20" t="e">
        <f t="shared" si="64"/>
        <v>#N/A</v>
      </c>
      <c r="CC79" s="59" t="e">
        <f t="shared" si="65"/>
        <v>#N/A</v>
      </c>
      <c r="CD79" s="59" t="e">
        <f ca="1">AVERAGE(OFFSET($CC$3,0,0,'Données projet'!$E$12+1,1))-AVERAGE(OFFSET($H$3,0,0,'Données projet'!$E$12+1,1))</f>
        <v>#N/A</v>
      </c>
      <c r="CE79" s="59" t="e">
        <f t="shared" si="94"/>
        <v>#N/A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 t="e">
        <f>EXP(-LN(2)/35)*CK78+(1-EXP(-LN(2)/35))/(LN(2)/35)*CG79*CH79*VLOOKUP('Données projet'!$B$12,Paramètres!$A$1:$I$89,3,0)*0.475*44/12</f>
        <v>#N/A</v>
      </c>
      <c r="CL79" s="21" t="e">
        <f>EXP(-LN(2)/25)*CL78+(1-EXP(-LN(2)/25))/(LN(2)/25)*Calculateur!CG79*Calculateur!CI79*VLOOKUP('Données projet'!$B$12,Paramètres!$A$1:$I$89,3,0)*0.475*44/12</f>
        <v>#N/A</v>
      </c>
      <c r="CM79" s="21" t="e">
        <f>EXP(-LN(2)/2)*CM78+(1-EXP(-LN(2)/2))/(LN(2)/2)*CG79*CJ79*VLOOKUP('Données projet'!$B$12,Paramètres!$A$1:$I$89,3,0)*0.475*44/12</f>
        <v>#N/A</v>
      </c>
      <c r="CN79" s="22" t="e">
        <f t="shared" si="66"/>
        <v>#N/A</v>
      </c>
      <c r="CO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0</v>
      </c>
      <c r="CT79" s="12">
        <f>IF('Données projet'!$A$140&gt;35,CT78+CS79-DB78,IF(A79&lt;'Données projet'!$A$140,$CQ$205^A79,IF(A79='Données projet'!$A$140,'Données projet'!$B$140,CT78+CS79-DB78)))</f>
        <v>0</v>
      </c>
      <c r="CU79" s="17" t="e">
        <f>CT79*VLOOKUP('Données projet'!$B$13,Paramètres!$A$1:$I$89,3,0)*VLOOKUP('Données projet'!$B$13,Paramètres!$A$1:$I$89,5,0)</f>
        <v>#N/A</v>
      </c>
      <c r="CV79" s="13" t="e">
        <f t="shared" si="95"/>
        <v>#N/A</v>
      </c>
      <c r="CW79" s="20" t="e">
        <f t="shared" si="67"/>
        <v>#N/A</v>
      </c>
      <c r="CX79" s="59" t="e">
        <f t="shared" si="68"/>
        <v>#N/A</v>
      </c>
      <c r="CY79" s="59" t="e">
        <f ca="1">AVERAGE(OFFSET($CX$3,0,0,'Données projet'!$E$13+1,1))-AVERAGE(OFFSET($H$3,0,0,'Données projet'!$E$13+1,1))</f>
        <v>#N/A</v>
      </c>
      <c r="CZ79" s="59" t="e">
        <f t="shared" si="96"/>
        <v>#N/A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 t="e">
        <f>EXP(-LN(2)/35)*DF78+(1-EXP(-LN(2)/35))/(LN(2)/35)*DB79*DC79*VLOOKUP('Données projet'!$B$13,Paramètres!$A$1:$I$89,3,0)*0.475*44/12</f>
        <v>#N/A</v>
      </c>
      <c r="DG79" s="21" t="e">
        <f>EXP(-LN(2)/25)*DG78+(1-EXP(-LN(2)/25))/(LN(2)/25)*Calculateur!DB79*Calculateur!DD79*VLOOKUP('Données projet'!$B$13,Paramètres!$A$1:$I$89,3,0)*0.475*44/12</f>
        <v>#N/A</v>
      </c>
      <c r="DH79" s="21" t="e">
        <f>EXP(-LN(2)/2)*DH78+(1-EXP(-LN(2)/2))/(LN(2)/2)*DB79*DE79*VLOOKUP('Données projet'!$B$13,Paramètres!$A$1:$I$89,3,0)*0.475*44/12</f>
        <v>#N/A</v>
      </c>
      <c r="DI79" s="22" t="e">
        <f t="shared" si="69"/>
        <v>#N/A</v>
      </c>
      <c r="DJ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0</v>
      </c>
      <c r="DO79" s="12">
        <f>IF('Données projet'!$A$166&gt;35,DO78+DN79-DW78,IF(A79&lt;'Données projet'!$A$166,$DL$205^A79,IF(A79='Données projet'!$A$166,'Données projet'!$B$166,DO78+DN79-DW78)))</f>
        <v>0</v>
      </c>
      <c r="DP79" s="17" t="e">
        <f>DO79*VLOOKUP('Données projet'!$B$14,Paramètres!$A$1:$I$89,3,0)*VLOOKUP('Données projet'!$B$14,Paramètres!$A$1:$I$89,5,0)</f>
        <v>#N/A</v>
      </c>
      <c r="DQ79" s="13" t="e">
        <f t="shared" si="97"/>
        <v>#N/A</v>
      </c>
      <c r="DR79" s="20" t="e">
        <f t="shared" si="70"/>
        <v>#N/A</v>
      </c>
      <c r="DS79" s="59" t="e">
        <f t="shared" si="71"/>
        <v>#N/A</v>
      </c>
      <c r="DT79" s="59" t="e">
        <f ca="1">AVERAGE(OFFSET($DS$3,0,0,'Données projet'!$E$14+1,1))-AVERAGE(OFFSET($H$3,0,0,'Données projet'!$E$14+1,1))</f>
        <v>#N/A</v>
      </c>
      <c r="DU79" s="59" t="e">
        <f t="shared" si="98"/>
        <v>#N/A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 t="e">
        <f>EXP(-LN(2)/35)*EA78+(1-EXP(-LN(2)/35))/(LN(2)/35)*DW79*DX79*VLOOKUP('Données projet'!$B$14,Paramètres!$A$1:$I$89,3,0)*0.475*44/12</f>
        <v>#N/A</v>
      </c>
      <c r="EB79" s="21" t="e">
        <f>EXP(-LN(2)/25)*EB78+(1-EXP(-LN(2)/25))/(LN(2)/25)*Calculateur!DW79*Calculateur!DY79*VLOOKUP('Données projet'!$B$14,Paramètres!$A$1:$I$89,3,0)*0.475*44/12</f>
        <v>#N/A</v>
      </c>
      <c r="EC79" s="21" t="e">
        <f>EXP(-LN(2)/2)*EC78+(1-EXP(-LN(2)/2))/(LN(2)/2)*DW79*DZ79*VLOOKUP('Données projet'!$B$14,Paramètres!$A$1:$I$89,3,0)*0.475*44/12</f>
        <v>#N/A</v>
      </c>
      <c r="ED79" s="22" t="e">
        <f t="shared" si="72"/>
        <v>#N/A</v>
      </c>
      <c r="EE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0</v>
      </c>
      <c r="EK79" s="17" t="e">
        <f>EJ79*VLOOKUP('Données projet'!$B$15,Paramètres!$A$1:$I$89,3,0)*VLOOKUP('Données projet'!$B$15,Paramètres!$A$1:$I$89,5,0)</f>
        <v>#N/A</v>
      </c>
      <c r="EL79" s="13" t="e">
        <f t="shared" si="99"/>
        <v>#N/A</v>
      </c>
      <c r="EM79" s="20" t="e">
        <f t="shared" si="73"/>
        <v>#N/A</v>
      </c>
      <c r="EN79" s="59" t="e">
        <f t="shared" si="74"/>
        <v>#N/A</v>
      </c>
      <c r="EO79" s="59" t="e">
        <f ca="1">AVERAGE(OFFSET($EN$3,0,0,'Données projet'!$E$15+1,1))-AVERAGE(OFFSET($H$3,0,0,'Données projet'!$E$15+1,1))</f>
        <v>#N/A</v>
      </c>
      <c r="EP79" s="59" t="e">
        <f t="shared" si="100"/>
        <v>#N/A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 t="e">
        <f>EXP(-LN(2)/35)*EV78+(1-EXP(-LN(2)/35))/(LN(2)/35)*ER79*ES79*VLOOKUP('Données projet'!$B$15,Paramètres!$A$1:$I$89,3,0)*0.475*44/12</f>
        <v>#N/A</v>
      </c>
      <c r="EW79" s="21" t="e">
        <f>EXP(-LN(2)/25)*EW78+(1-EXP(-LN(2)/25))/(LN(2)/25)*Calculateur!ER79*Calculateur!ET79*VLOOKUP('Données projet'!$B$15,Paramètres!$A$1:$I$89,3,0)*0.475*44/12</f>
        <v>#N/A</v>
      </c>
      <c r="EX79" s="21" t="e">
        <f>EXP(-LN(2)/2)*EX78+(1-EXP(-LN(2)/2))/(LN(2)/2)*ER79*EU79*VLOOKUP('Données projet'!$B$15,Paramètres!$A$1:$I$89,3,0)*0.475*44/12</f>
        <v>#N/A</v>
      </c>
      <c r="EY79" s="22" t="e">
        <f t="shared" si="75"/>
        <v>#N/A</v>
      </c>
      <c r="EZ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9" t="e">
        <f t="shared" si="77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45">
      <c r="A80" s="10">
        <f t="shared" si="85"/>
        <v>77</v>
      </c>
      <c r="B80" s="73">
        <f>'Scénario référence'!$B$16*5+'Scénario référence'!$B$17*0+'Scénario référence'!$B$18*5</f>
        <v>0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68.468400000000088</v>
      </c>
      <c r="D80" s="11">
        <f t="shared" si="86"/>
        <v>19.292618976952753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">
        <f>IF(OR('Scénario référence'!$F$8&gt;0,'Scénario référence'!$F$9&gt;0),('Scénario référence'!$F$8+'Scénario référence'!$F$9)*10,0)</f>
        <v>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677.45347982209216</v>
      </c>
      <c r="H80" s="67">
        <f t="shared" si="56"/>
        <v>409.51710805152618</v>
      </c>
      <c r="I80" s="7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8.8608333333333373</v>
      </c>
      <c r="N80" s="13">
        <f>IF('Données projet'!$A$36&gt;35,N79+M80-V79,IF(A80&lt;'Données projet'!$A$36,$K$205^A80,IF(A80='Données projet'!$A$36,'Données projet'!$B$36,N79+M80-V79)))</f>
        <v>432.44416666666655</v>
      </c>
      <c r="O80" s="13">
        <f>N80*VLOOKUP('Données projet'!$B$9,Paramètres!$A$1:$I$89,3,0)*VLOOKUP('Données projet'!$B$9,Paramètres!$A$1:$I$89,5,0)</f>
        <v>241.73628916666661</v>
      </c>
      <c r="P80" s="13">
        <f t="shared" si="87"/>
        <v>58.812944684272395</v>
      </c>
      <c r="Q80" s="20">
        <f t="shared" si="54"/>
        <v>523.45658229038543</v>
      </c>
      <c r="R80" s="59">
        <f t="shared" si="55"/>
        <v>816.7899156237188</v>
      </c>
      <c r="S80" s="59">
        <f ca="1">AVERAGE(OFFSET($R$3,0,0,'Données projet'!$E$9+1,1))-AVERAGE(OFFSET($H$3,0,0,'Données projet'!$E$9+1,1))</f>
        <v>280.69347314340195</v>
      </c>
      <c r="T80" s="59">
        <f t="shared" si="88"/>
        <v>152.40533828556482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43.251172203497404</v>
      </c>
      <c r="AA80" s="21">
        <f>EXP(-LN(2)/25)*AA79+(1-EXP(-LN(2)/25))/(LN(2)/25)*Calculateur!V80*Calculateur!X80*VLOOKUP('Données projet'!$B$9,Paramètres!$A$1:$I$89,3,0)*0.475*44/12</f>
        <v>19.122894419006041</v>
      </c>
      <c r="AB80" s="21">
        <f>EXP(-LN(2)/2)*AB79+(1-EXP(-LN(2)/2))/(LN(2)/2)*V80*Y80*VLOOKUP('Données projet'!$B$9,Paramètres!$A$1:$I$89,3,0)*0.475*44/12</f>
        <v>1.4844746538759832</v>
      </c>
      <c r="AC80" s="22">
        <f t="shared" si="57"/>
        <v>63.858541276379434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0</v>
      </c>
      <c r="AI80" s="13">
        <f>IF('Données projet'!$A$62&gt;35,AI79+AH80-AQ79,IF(A80&lt;'Données projet'!$A$62,$AF$205^A80,IF(A80='Données projet'!$A$62,'Données projet'!$B$62,AI79+AH80-AQ79)))</f>
        <v>0</v>
      </c>
      <c r="AJ80" s="13">
        <f>AI80*VLOOKUP('Données projet'!$B$10,Paramètres!$A$1:$I$89,3,0)*VLOOKUP('Données projet'!$B$10,Paramètres!$A$1:$I$89,5,0)</f>
        <v>0</v>
      </c>
      <c r="AK80" s="13" t="e">
        <f t="shared" si="89"/>
        <v>#NUM!</v>
      </c>
      <c r="AL80" s="20" t="e">
        <f t="shared" si="58"/>
        <v>#NUM!</v>
      </c>
      <c r="AM80" s="59" t="e">
        <f t="shared" si="59"/>
        <v>#NUM!</v>
      </c>
      <c r="AN80" s="59">
        <f ca="1">AVERAGE(OFFSET($AM$3,0,0,'Données projet'!$E$10+1,1))-AVERAGE(OFFSET($H$3,0,0,'Données projet'!$E$10+1,1))</f>
        <v>179.4725256147085</v>
      </c>
      <c r="AO80" s="59">
        <f t="shared" si="90"/>
        <v>282.16750121151176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103.11252366951628</v>
      </c>
      <c r="AV80" s="21">
        <f>EXP(-LN(2)/25)*AV79+(1-EXP(-LN(2)/25))/(LN(2)/25)*Calculateur!AQ80*Calculateur!AS80*VLOOKUP('Données projet'!$B$10,Paramètres!$A$1:$I$89,3,0)*0.475*44/12</f>
        <v>30.498540690160311</v>
      </c>
      <c r="AW80" s="21">
        <f>EXP(-LN(2)/2)*AW79+(1-EXP(-LN(2)/2))/(LN(2)/2)*AQ80*AT80*VLOOKUP('Données projet'!$B$10,Paramètres!$A$1:$I$89,3,0)*0.475*44/12</f>
        <v>0.11910439744015394</v>
      </c>
      <c r="AX80" s="21">
        <f t="shared" si="60"/>
        <v>133.73016875711676</v>
      </c>
      <c r="AY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10.385555555555555</v>
      </c>
      <c r="BD80" s="12">
        <f>IF('Données projet'!$A$88&gt;35,BD79+BC80-BL79,IF(A80&lt;'Données projet'!$A$88,$BA$205^A80,IF(A80='Données projet'!$A$88,'Données projet'!$B$88,BD79+BC80-BL79)))</f>
        <v>223.10111111111155</v>
      </c>
      <c r="BE80" s="13">
        <f>BD80*VLOOKUP('Données projet'!$B$11,Paramètres!$A$1:$I$89,3,0)*VLOOKUP('Données projet'!$B$11,Paramètres!$A$1:$I$89,5,0)</f>
        <v>191.42075333333375</v>
      </c>
      <c r="BF80" s="13">
        <f t="shared" si="91"/>
        <v>47.853924920248829</v>
      </c>
      <c r="BG80" s="20">
        <f t="shared" si="61"/>
        <v>416.73673129165627</v>
      </c>
      <c r="BH80" s="59">
        <f t="shared" si="62"/>
        <v>710.07006462498953</v>
      </c>
      <c r="BI80" s="59">
        <f ca="1">AVERAGE(OFFSET($BH$3,0,0,'Données projet'!$E$11+1,1))-AVERAGE(OFFSET($H$3,0,0,'Données projet'!$E$11+1,1))</f>
        <v>312.89478437044261</v>
      </c>
      <c r="BJ80" s="59">
        <f t="shared" si="92"/>
        <v>276.16555507854571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>
        <f>EXP(-LN(2)/35)*BP79+(1-EXP(-LN(2)/35))/(LN(2)/35)*BL80*BM80*VLOOKUP('Données projet'!$B$11,Paramètres!$A$1:$I$89,3,0)*0.475*44/12</f>
        <v>0</v>
      </c>
      <c r="BQ80" s="21">
        <f>EXP(-LN(2)/25)*BQ79+(1-EXP(-LN(2)/25))/(LN(2)/25)*Calculateur!BL80*Calculateur!BN80*VLOOKUP('Données projet'!$B$11,Paramètres!$A$1:$I$89,3,0)*0.475*44/12</f>
        <v>52.660268664900826</v>
      </c>
      <c r="BR80" s="21">
        <f>EXP(-LN(2)/2)*BR79+(1-EXP(-LN(2)/2))/(LN(2)/2)*BL80*BO80*VLOOKUP('Données projet'!$B$11,Paramètres!$A$1:$I$89,3,0)*0.475*44/12</f>
        <v>15.417288567797716</v>
      </c>
      <c r="BS80" s="22">
        <f t="shared" si="63"/>
        <v>68.077557232698538</v>
      </c>
      <c r="BT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0</v>
      </c>
      <c r="BY80" s="12">
        <f>IF('Données projet'!$A$114&gt;35,BY79+BX80-CG79,IF(A80&lt;'Données projet'!$A$114,$BV$205^A80,IF(A80='Données projet'!$A$114,'Données projet'!$B$114,BY79+BX80-CG79)))</f>
        <v>0</v>
      </c>
      <c r="BZ80" s="13" t="e">
        <f>BY80*VLOOKUP('Données projet'!$B$12,Paramètres!$A$1:$I$89,3,0)*VLOOKUP('Données projet'!$B$12,Paramètres!$A$1:$I$89,5,0)</f>
        <v>#N/A</v>
      </c>
      <c r="CA80" s="13" t="e">
        <f t="shared" si="93"/>
        <v>#N/A</v>
      </c>
      <c r="CB80" s="20" t="e">
        <f t="shared" si="64"/>
        <v>#N/A</v>
      </c>
      <c r="CC80" s="59" t="e">
        <f t="shared" si="65"/>
        <v>#N/A</v>
      </c>
      <c r="CD80" s="59" t="e">
        <f ca="1">AVERAGE(OFFSET($CC$3,0,0,'Données projet'!$E$12+1,1))-AVERAGE(OFFSET($H$3,0,0,'Données projet'!$E$12+1,1))</f>
        <v>#N/A</v>
      </c>
      <c r="CE80" s="59" t="e">
        <f t="shared" si="94"/>
        <v>#N/A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 t="e">
        <f>EXP(-LN(2)/35)*CK79+(1-EXP(-LN(2)/35))/(LN(2)/35)*CG80*CH80*VLOOKUP('Données projet'!$B$12,Paramètres!$A$1:$I$89,3,0)*0.475*44/12</f>
        <v>#N/A</v>
      </c>
      <c r="CL80" s="21" t="e">
        <f>EXP(-LN(2)/25)*CL79+(1-EXP(-LN(2)/25))/(LN(2)/25)*Calculateur!CG80*Calculateur!CI80*VLOOKUP('Données projet'!$B$12,Paramètres!$A$1:$I$89,3,0)*0.475*44/12</f>
        <v>#N/A</v>
      </c>
      <c r="CM80" s="21" t="e">
        <f>EXP(-LN(2)/2)*CM79+(1-EXP(-LN(2)/2))/(LN(2)/2)*CG80*CJ80*VLOOKUP('Données projet'!$B$12,Paramètres!$A$1:$I$89,3,0)*0.475*44/12</f>
        <v>#N/A</v>
      </c>
      <c r="CN80" s="22" t="e">
        <f t="shared" si="66"/>
        <v>#N/A</v>
      </c>
      <c r="CO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0</v>
      </c>
      <c r="CT80" s="12">
        <f>IF('Données projet'!$A$140&gt;35,CT79+CS80-DB79,IF(A80&lt;'Données projet'!$A$140,$CQ$205^A80,IF(A80='Données projet'!$A$140,'Données projet'!$B$140,CT79+CS80-DB79)))</f>
        <v>0</v>
      </c>
      <c r="CU80" s="17" t="e">
        <f>CT80*VLOOKUP('Données projet'!$B$13,Paramètres!$A$1:$I$89,3,0)*VLOOKUP('Données projet'!$B$13,Paramètres!$A$1:$I$89,5,0)</f>
        <v>#N/A</v>
      </c>
      <c r="CV80" s="13" t="e">
        <f t="shared" si="95"/>
        <v>#N/A</v>
      </c>
      <c r="CW80" s="20" t="e">
        <f t="shared" si="67"/>
        <v>#N/A</v>
      </c>
      <c r="CX80" s="59" t="e">
        <f t="shared" si="68"/>
        <v>#N/A</v>
      </c>
      <c r="CY80" s="59" t="e">
        <f ca="1">AVERAGE(OFFSET($CX$3,0,0,'Données projet'!$E$13+1,1))-AVERAGE(OFFSET($H$3,0,0,'Données projet'!$E$13+1,1))</f>
        <v>#N/A</v>
      </c>
      <c r="CZ80" s="59" t="e">
        <f t="shared" si="96"/>
        <v>#N/A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 t="e">
        <f>EXP(-LN(2)/35)*DF79+(1-EXP(-LN(2)/35))/(LN(2)/35)*DB80*DC80*VLOOKUP('Données projet'!$B$13,Paramètres!$A$1:$I$89,3,0)*0.475*44/12</f>
        <v>#N/A</v>
      </c>
      <c r="DG80" s="21" t="e">
        <f>EXP(-LN(2)/25)*DG79+(1-EXP(-LN(2)/25))/(LN(2)/25)*Calculateur!DB80*Calculateur!DD80*VLOOKUP('Données projet'!$B$13,Paramètres!$A$1:$I$89,3,0)*0.475*44/12</f>
        <v>#N/A</v>
      </c>
      <c r="DH80" s="21" t="e">
        <f>EXP(-LN(2)/2)*DH79+(1-EXP(-LN(2)/2))/(LN(2)/2)*DB80*DE80*VLOOKUP('Données projet'!$B$13,Paramètres!$A$1:$I$89,3,0)*0.475*44/12</f>
        <v>#N/A</v>
      </c>
      <c r="DI80" s="22" t="e">
        <f t="shared" si="69"/>
        <v>#N/A</v>
      </c>
      <c r="DJ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0</v>
      </c>
      <c r="DO80" s="12">
        <f>IF('Données projet'!$A$166&gt;35,DO79+DN80-DW79,IF(A80&lt;'Données projet'!$A$166,$DL$205^A80,IF(A80='Données projet'!$A$166,'Données projet'!$B$166,DO79+DN80-DW79)))</f>
        <v>0</v>
      </c>
      <c r="DP80" s="17" t="e">
        <f>DO80*VLOOKUP('Données projet'!$B$14,Paramètres!$A$1:$I$89,3,0)*VLOOKUP('Données projet'!$B$14,Paramètres!$A$1:$I$89,5,0)</f>
        <v>#N/A</v>
      </c>
      <c r="DQ80" s="13" t="e">
        <f t="shared" si="97"/>
        <v>#N/A</v>
      </c>
      <c r="DR80" s="20" t="e">
        <f t="shared" si="70"/>
        <v>#N/A</v>
      </c>
      <c r="DS80" s="59" t="e">
        <f t="shared" si="71"/>
        <v>#N/A</v>
      </c>
      <c r="DT80" s="59" t="e">
        <f ca="1">AVERAGE(OFFSET($DS$3,0,0,'Données projet'!$E$14+1,1))-AVERAGE(OFFSET($H$3,0,0,'Données projet'!$E$14+1,1))</f>
        <v>#N/A</v>
      </c>
      <c r="DU80" s="59" t="e">
        <f t="shared" si="98"/>
        <v>#N/A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 t="e">
        <f>EXP(-LN(2)/35)*EA79+(1-EXP(-LN(2)/35))/(LN(2)/35)*DW80*DX80*VLOOKUP('Données projet'!$B$14,Paramètres!$A$1:$I$89,3,0)*0.475*44/12</f>
        <v>#N/A</v>
      </c>
      <c r="EB80" s="21" t="e">
        <f>EXP(-LN(2)/25)*EB79+(1-EXP(-LN(2)/25))/(LN(2)/25)*Calculateur!DW80*Calculateur!DY80*VLOOKUP('Données projet'!$B$14,Paramètres!$A$1:$I$89,3,0)*0.475*44/12</f>
        <v>#N/A</v>
      </c>
      <c r="EC80" s="21" t="e">
        <f>EXP(-LN(2)/2)*EC79+(1-EXP(-LN(2)/2))/(LN(2)/2)*DW80*DZ80*VLOOKUP('Données projet'!$B$14,Paramètres!$A$1:$I$89,3,0)*0.475*44/12</f>
        <v>#N/A</v>
      </c>
      <c r="ED80" s="22" t="e">
        <f t="shared" si="72"/>
        <v>#N/A</v>
      </c>
      <c r="EE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0</v>
      </c>
      <c r="EK80" s="17" t="e">
        <f>EJ80*VLOOKUP('Données projet'!$B$15,Paramètres!$A$1:$I$89,3,0)*VLOOKUP('Données projet'!$B$15,Paramètres!$A$1:$I$89,5,0)</f>
        <v>#N/A</v>
      </c>
      <c r="EL80" s="13" t="e">
        <f t="shared" si="99"/>
        <v>#N/A</v>
      </c>
      <c r="EM80" s="20" t="e">
        <f t="shared" si="73"/>
        <v>#N/A</v>
      </c>
      <c r="EN80" s="59" t="e">
        <f t="shared" si="74"/>
        <v>#N/A</v>
      </c>
      <c r="EO80" s="59" t="e">
        <f ca="1">AVERAGE(OFFSET($EN$3,0,0,'Données projet'!$E$15+1,1))-AVERAGE(OFFSET($H$3,0,0,'Données projet'!$E$15+1,1))</f>
        <v>#N/A</v>
      </c>
      <c r="EP80" s="59" t="e">
        <f t="shared" si="100"/>
        <v>#N/A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 t="e">
        <f>EXP(-LN(2)/35)*EV79+(1-EXP(-LN(2)/35))/(LN(2)/35)*ER80*ES80*VLOOKUP('Données projet'!$B$15,Paramètres!$A$1:$I$89,3,0)*0.475*44/12</f>
        <v>#N/A</v>
      </c>
      <c r="EW80" s="21" t="e">
        <f>EXP(-LN(2)/25)*EW79+(1-EXP(-LN(2)/25))/(LN(2)/25)*Calculateur!ER80*Calculateur!ET80*VLOOKUP('Données projet'!$B$15,Paramètres!$A$1:$I$89,3,0)*0.475*44/12</f>
        <v>#N/A</v>
      </c>
      <c r="EX80" s="21" t="e">
        <f>EXP(-LN(2)/2)*EX79+(1-EXP(-LN(2)/2))/(LN(2)/2)*ER80*EU80*VLOOKUP('Données projet'!$B$15,Paramètres!$A$1:$I$89,3,0)*0.475*44/12</f>
        <v>#N/A</v>
      </c>
      <c r="EY80" s="22" t="e">
        <f t="shared" si="75"/>
        <v>#N/A</v>
      </c>
      <c r="EZ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9" t="e">
        <f t="shared" si="77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45">
      <c r="A81" s="10">
        <f t="shared" si="85"/>
        <v>78</v>
      </c>
      <c r="B81" s="73">
        <f>'Scénario référence'!$B$16*5+'Scénario référence'!$B$17*0+'Scénario référence'!$B$18*5</f>
        <v>0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69.35760000000009</v>
      </c>
      <c r="D81" s="11">
        <f t="shared" si="86"/>
        <v>19.51384151112245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">
        <f>IF(OR('Scénario référence'!$F$8&gt;0,'Scénario référence'!$F$9&gt;0),('Scénario référence'!$F$8+'Scénario référence'!$F$9)*10,0)</f>
        <v>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686.02516254199861</v>
      </c>
      <c r="H81" s="67">
        <f t="shared" si="56"/>
        <v>411.45109396520513</v>
      </c>
      <c r="I81" s="7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8.8608333333333373</v>
      </c>
      <c r="N81" s="13">
        <f>IF('Données projet'!$A$36&gt;35,N80+M81-V80,IF(A81&lt;'Données projet'!$A$36,$K$205^A81,IF(A81='Données projet'!$A$36,'Données projet'!$B$36,N80+M81-V80)))</f>
        <v>441.30499999999989</v>
      </c>
      <c r="O81" s="13">
        <f>N81*VLOOKUP('Données projet'!$B$9,Paramètres!$A$1:$I$89,3,0)*VLOOKUP('Données projet'!$B$9,Paramètres!$A$1:$I$89,5,0)</f>
        <v>246.68949499999997</v>
      </c>
      <c r="P81" s="13">
        <f t="shared" si="87"/>
        <v>59.876496985599339</v>
      </c>
      <c r="Q81" s="20">
        <f t="shared" si="54"/>
        <v>533.93576937491866</v>
      </c>
      <c r="R81" s="59">
        <f t="shared" si="55"/>
        <v>827.26910270825192</v>
      </c>
      <c r="S81" s="59">
        <f ca="1">AVERAGE(OFFSET($R$3,0,0,'Données projet'!$E$9+1,1))-AVERAGE(OFFSET($H$3,0,0,'Données projet'!$E$9+1,1))</f>
        <v>280.69347314340195</v>
      </c>
      <c r="T81" s="59">
        <f t="shared" si="88"/>
        <v>152.40533828556482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42.403043097196992</v>
      </c>
      <c r="AA81" s="21">
        <f>EXP(-LN(2)/25)*AA80+(1-EXP(-LN(2)/25))/(LN(2)/25)*Calculateur!V81*Calculateur!X81*VLOOKUP('Données projet'!$B$9,Paramètres!$A$1:$I$89,3,0)*0.475*44/12</f>
        <v>18.599977865489009</v>
      </c>
      <c r="AB81" s="21">
        <f>EXP(-LN(2)/2)*AB80+(1-EXP(-LN(2)/2))/(LN(2)/2)*V81*Y81*VLOOKUP('Données projet'!$B$9,Paramètres!$A$1:$I$89,3,0)*0.475*44/12</f>
        <v>1.0496820942552607</v>
      </c>
      <c r="AC81" s="22">
        <f t="shared" si="57"/>
        <v>62.052703056941262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0</v>
      </c>
      <c r="AI81" s="13">
        <f>IF('Données projet'!$A$62&gt;35,AI80+AH81-AQ80,IF(A81&lt;'Données projet'!$A$62,$AF$205^A81,IF(A81='Données projet'!$A$62,'Données projet'!$B$62,AI80+AH81-AQ80)))</f>
        <v>0</v>
      </c>
      <c r="AJ81" s="13">
        <f>AI81*VLOOKUP('Données projet'!$B$10,Paramètres!$A$1:$I$89,3,0)*VLOOKUP('Données projet'!$B$10,Paramètres!$A$1:$I$89,5,0)</f>
        <v>0</v>
      </c>
      <c r="AK81" s="13" t="e">
        <f t="shared" si="89"/>
        <v>#NUM!</v>
      </c>
      <c r="AL81" s="20" t="e">
        <f t="shared" si="58"/>
        <v>#NUM!</v>
      </c>
      <c r="AM81" s="59" t="e">
        <f t="shared" si="59"/>
        <v>#NUM!</v>
      </c>
      <c r="AN81" s="59">
        <f ca="1">AVERAGE(OFFSET($AM$3,0,0,'Données projet'!$E$10+1,1))-AVERAGE(OFFSET($H$3,0,0,'Données projet'!$E$10+1,1))</f>
        <v>179.4725256147085</v>
      </c>
      <c r="AO81" s="59">
        <f t="shared" si="90"/>
        <v>282.16750121151176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101.09054997278639</v>
      </c>
      <c r="AV81" s="21">
        <f>EXP(-LN(2)/25)*AV80+(1-EXP(-LN(2)/25))/(LN(2)/25)*Calculateur!AQ81*Calculateur!AS81*VLOOKUP('Données projet'!$B$10,Paramètres!$A$1:$I$89,3,0)*0.475*44/12</f>
        <v>29.664556491139329</v>
      </c>
      <c r="AW81" s="21">
        <f>EXP(-LN(2)/2)*AW80+(1-EXP(-LN(2)/2))/(LN(2)/2)*AQ81*AT81*VLOOKUP('Données projet'!$B$10,Paramètres!$A$1:$I$89,3,0)*0.475*44/12</f>
        <v>8.4219527099070532E-2</v>
      </c>
      <c r="AX81" s="21">
        <f t="shared" si="60"/>
        <v>130.83932599102479</v>
      </c>
      <c r="AY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10.385555555555555</v>
      </c>
      <c r="BD81" s="12">
        <f>IF('Données projet'!$A$88&gt;35,BD80+BC81-BL80,IF(A81&lt;'Données projet'!$A$88,$BA$205^A81,IF(A81='Données projet'!$A$88,'Données projet'!$B$88,BD80+BC81-BL80)))</f>
        <v>233.48666666666711</v>
      </c>
      <c r="BE81" s="13">
        <f>BD81*VLOOKUP('Données projet'!$B$11,Paramètres!$A$1:$I$89,3,0)*VLOOKUP('Données projet'!$B$11,Paramètres!$A$1:$I$89,5,0)</f>
        <v>200.33156000000039</v>
      </c>
      <c r="BF81" s="13">
        <f t="shared" si="91"/>
        <v>49.817027551911288</v>
      </c>
      <c r="BG81" s="20">
        <f t="shared" si="61"/>
        <v>435.67545665291277</v>
      </c>
      <c r="BH81" s="59">
        <f t="shared" si="62"/>
        <v>729.00878998624603</v>
      </c>
      <c r="BI81" s="59">
        <f ca="1">AVERAGE(OFFSET($BH$3,0,0,'Données projet'!$E$11+1,1))-AVERAGE(OFFSET($H$3,0,0,'Données projet'!$E$11+1,1))</f>
        <v>312.89478437044261</v>
      </c>
      <c r="BJ81" s="59">
        <f t="shared" si="92"/>
        <v>276.16555507854571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>
        <f>EXP(-LN(2)/35)*BP80+(1-EXP(-LN(2)/35))/(LN(2)/35)*BL81*BM81*VLOOKUP('Données projet'!$B$11,Paramètres!$A$1:$I$89,3,0)*0.475*44/12</f>
        <v>0</v>
      </c>
      <c r="BQ81" s="21">
        <f>EXP(-LN(2)/25)*BQ80+(1-EXP(-LN(2)/25))/(LN(2)/25)*Calculateur!BL81*Calculateur!BN81*VLOOKUP('Données projet'!$B$11,Paramètres!$A$1:$I$89,3,0)*0.475*44/12</f>
        <v>51.220270848975943</v>
      </c>
      <c r="BR81" s="21">
        <f>EXP(-LN(2)/2)*BR80+(1-EXP(-LN(2)/2))/(LN(2)/2)*BL81*BO81*VLOOKUP('Données projet'!$B$11,Paramètres!$A$1:$I$89,3,0)*0.475*44/12</f>
        <v>10.901669293799602</v>
      </c>
      <c r="BS81" s="22">
        <f t="shared" si="63"/>
        <v>62.121940142775543</v>
      </c>
      <c r="BT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0</v>
      </c>
      <c r="BY81" s="12">
        <f>IF('Données projet'!$A$114&gt;35,BY80+BX81-CG80,IF(A81&lt;'Données projet'!$A$114,$BV$205^A81,IF(A81='Données projet'!$A$114,'Données projet'!$B$114,BY80+BX81-CG80)))</f>
        <v>0</v>
      </c>
      <c r="BZ81" s="13" t="e">
        <f>BY81*VLOOKUP('Données projet'!$B$12,Paramètres!$A$1:$I$89,3,0)*VLOOKUP('Données projet'!$B$12,Paramètres!$A$1:$I$89,5,0)</f>
        <v>#N/A</v>
      </c>
      <c r="CA81" s="13" t="e">
        <f t="shared" si="93"/>
        <v>#N/A</v>
      </c>
      <c r="CB81" s="20" t="e">
        <f t="shared" si="64"/>
        <v>#N/A</v>
      </c>
      <c r="CC81" s="59" t="e">
        <f t="shared" si="65"/>
        <v>#N/A</v>
      </c>
      <c r="CD81" s="59" t="e">
        <f ca="1">AVERAGE(OFFSET($CC$3,0,0,'Données projet'!$E$12+1,1))-AVERAGE(OFFSET($H$3,0,0,'Données projet'!$E$12+1,1))</f>
        <v>#N/A</v>
      </c>
      <c r="CE81" s="59" t="e">
        <f t="shared" si="94"/>
        <v>#N/A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 t="e">
        <f>EXP(-LN(2)/35)*CK80+(1-EXP(-LN(2)/35))/(LN(2)/35)*CG81*CH81*VLOOKUP('Données projet'!$B$12,Paramètres!$A$1:$I$89,3,0)*0.475*44/12</f>
        <v>#N/A</v>
      </c>
      <c r="CL81" s="21" t="e">
        <f>EXP(-LN(2)/25)*CL80+(1-EXP(-LN(2)/25))/(LN(2)/25)*Calculateur!CG81*Calculateur!CI81*VLOOKUP('Données projet'!$B$12,Paramètres!$A$1:$I$89,3,0)*0.475*44/12</f>
        <v>#N/A</v>
      </c>
      <c r="CM81" s="21" t="e">
        <f>EXP(-LN(2)/2)*CM80+(1-EXP(-LN(2)/2))/(LN(2)/2)*CG81*CJ81*VLOOKUP('Données projet'!$B$12,Paramètres!$A$1:$I$89,3,0)*0.475*44/12</f>
        <v>#N/A</v>
      </c>
      <c r="CN81" s="22" t="e">
        <f t="shared" si="66"/>
        <v>#N/A</v>
      </c>
      <c r="CO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0</v>
      </c>
      <c r="CT81" s="12">
        <f>IF('Données projet'!$A$140&gt;35,CT80+CS81-DB80,IF(A81&lt;'Données projet'!$A$140,$CQ$205^A81,IF(A81='Données projet'!$A$140,'Données projet'!$B$140,CT80+CS81-DB80)))</f>
        <v>0</v>
      </c>
      <c r="CU81" s="17" t="e">
        <f>CT81*VLOOKUP('Données projet'!$B$13,Paramètres!$A$1:$I$89,3,0)*VLOOKUP('Données projet'!$B$13,Paramètres!$A$1:$I$89,5,0)</f>
        <v>#N/A</v>
      </c>
      <c r="CV81" s="13" t="e">
        <f t="shared" si="95"/>
        <v>#N/A</v>
      </c>
      <c r="CW81" s="20" t="e">
        <f t="shared" si="67"/>
        <v>#N/A</v>
      </c>
      <c r="CX81" s="59" t="e">
        <f t="shared" si="68"/>
        <v>#N/A</v>
      </c>
      <c r="CY81" s="59" t="e">
        <f ca="1">AVERAGE(OFFSET($CX$3,0,0,'Données projet'!$E$13+1,1))-AVERAGE(OFFSET($H$3,0,0,'Données projet'!$E$13+1,1))</f>
        <v>#N/A</v>
      </c>
      <c r="CZ81" s="59" t="e">
        <f t="shared" si="96"/>
        <v>#N/A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 t="e">
        <f>EXP(-LN(2)/35)*DF80+(1-EXP(-LN(2)/35))/(LN(2)/35)*DB81*DC81*VLOOKUP('Données projet'!$B$13,Paramètres!$A$1:$I$89,3,0)*0.475*44/12</f>
        <v>#N/A</v>
      </c>
      <c r="DG81" s="21" t="e">
        <f>EXP(-LN(2)/25)*DG80+(1-EXP(-LN(2)/25))/(LN(2)/25)*Calculateur!DB81*Calculateur!DD81*VLOOKUP('Données projet'!$B$13,Paramètres!$A$1:$I$89,3,0)*0.475*44/12</f>
        <v>#N/A</v>
      </c>
      <c r="DH81" s="21" t="e">
        <f>EXP(-LN(2)/2)*DH80+(1-EXP(-LN(2)/2))/(LN(2)/2)*DB81*DE81*VLOOKUP('Données projet'!$B$13,Paramètres!$A$1:$I$89,3,0)*0.475*44/12</f>
        <v>#N/A</v>
      </c>
      <c r="DI81" s="22" t="e">
        <f t="shared" si="69"/>
        <v>#N/A</v>
      </c>
      <c r="DJ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0</v>
      </c>
      <c r="DO81" s="12">
        <f>IF('Données projet'!$A$166&gt;35,DO80+DN81-DW80,IF(A81&lt;'Données projet'!$A$166,$DL$205^A81,IF(A81='Données projet'!$A$166,'Données projet'!$B$166,DO80+DN81-DW80)))</f>
        <v>0</v>
      </c>
      <c r="DP81" s="17" t="e">
        <f>DO81*VLOOKUP('Données projet'!$B$14,Paramètres!$A$1:$I$89,3,0)*VLOOKUP('Données projet'!$B$14,Paramètres!$A$1:$I$89,5,0)</f>
        <v>#N/A</v>
      </c>
      <c r="DQ81" s="13" t="e">
        <f t="shared" si="97"/>
        <v>#N/A</v>
      </c>
      <c r="DR81" s="20" t="e">
        <f t="shared" si="70"/>
        <v>#N/A</v>
      </c>
      <c r="DS81" s="59" t="e">
        <f t="shared" si="71"/>
        <v>#N/A</v>
      </c>
      <c r="DT81" s="59" t="e">
        <f ca="1">AVERAGE(OFFSET($DS$3,0,0,'Données projet'!$E$14+1,1))-AVERAGE(OFFSET($H$3,0,0,'Données projet'!$E$14+1,1))</f>
        <v>#N/A</v>
      </c>
      <c r="DU81" s="59" t="e">
        <f t="shared" si="98"/>
        <v>#N/A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 t="e">
        <f>EXP(-LN(2)/35)*EA80+(1-EXP(-LN(2)/35))/(LN(2)/35)*DW81*DX81*VLOOKUP('Données projet'!$B$14,Paramètres!$A$1:$I$89,3,0)*0.475*44/12</f>
        <v>#N/A</v>
      </c>
      <c r="EB81" s="21" t="e">
        <f>EXP(-LN(2)/25)*EB80+(1-EXP(-LN(2)/25))/(LN(2)/25)*Calculateur!DW81*Calculateur!DY81*VLOOKUP('Données projet'!$B$14,Paramètres!$A$1:$I$89,3,0)*0.475*44/12</f>
        <v>#N/A</v>
      </c>
      <c r="EC81" s="21" t="e">
        <f>EXP(-LN(2)/2)*EC80+(1-EXP(-LN(2)/2))/(LN(2)/2)*DW81*DZ81*VLOOKUP('Données projet'!$B$14,Paramètres!$A$1:$I$89,3,0)*0.475*44/12</f>
        <v>#N/A</v>
      </c>
      <c r="ED81" s="22" t="e">
        <f t="shared" si="72"/>
        <v>#N/A</v>
      </c>
      <c r="EE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0</v>
      </c>
      <c r="EK81" s="17" t="e">
        <f>EJ81*VLOOKUP('Données projet'!$B$15,Paramètres!$A$1:$I$89,3,0)*VLOOKUP('Données projet'!$B$15,Paramètres!$A$1:$I$89,5,0)</f>
        <v>#N/A</v>
      </c>
      <c r="EL81" s="13" t="e">
        <f t="shared" si="99"/>
        <v>#N/A</v>
      </c>
      <c r="EM81" s="20" t="e">
        <f t="shared" si="73"/>
        <v>#N/A</v>
      </c>
      <c r="EN81" s="59" t="e">
        <f t="shared" si="74"/>
        <v>#N/A</v>
      </c>
      <c r="EO81" s="59" t="e">
        <f ca="1">AVERAGE(OFFSET($EN$3,0,0,'Données projet'!$E$15+1,1))-AVERAGE(OFFSET($H$3,0,0,'Données projet'!$E$15+1,1))</f>
        <v>#N/A</v>
      </c>
      <c r="EP81" s="59" t="e">
        <f t="shared" si="100"/>
        <v>#N/A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 t="e">
        <f>EXP(-LN(2)/35)*EV80+(1-EXP(-LN(2)/35))/(LN(2)/35)*ER81*ES81*VLOOKUP('Données projet'!$B$15,Paramètres!$A$1:$I$89,3,0)*0.475*44/12</f>
        <v>#N/A</v>
      </c>
      <c r="EW81" s="21" t="e">
        <f>EXP(-LN(2)/25)*EW80+(1-EXP(-LN(2)/25))/(LN(2)/25)*Calculateur!ER81*Calculateur!ET81*VLOOKUP('Données projet'!$B$15,Paramètres!$A$1:$I$89,3,0)*0.475*44/12</f>
        <v>#N/A</v>
      </c>
      <c r="EX81" s="21" t="e">
        <f>EXP(-LN(2)/2)*EX80+(1-EXP(-LN(2)/2))/(LN(2)/2)*ER81*EU81*VLOOKUP('Données projet'!$B$15,Paramètres!$A$1:$I$89,3,0)*0.475*44/12</f>
        <v>#N/A</v>
      </c>
      <c r="EY81" s="22" t="e">
        <f t="shared" si="75"/>
        <v>#N/A</v>
      </c>
      <c r="EZ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9" t="e">
        <f t="shared" si="77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45">
      <c r="A82" s="10">
        <f t="shared" si="85"/>
        <v>79</v>
      </c>
      <c r="B82" s="73">
        <f>'Scénario référence'!$B$16*5+'Scénario référence'!$B$17*0+'Scénario référence'!$B$18*5</f>
        <v>0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70.246800000000093</v>
      </c>
      <c r="D82" s="11">
        <f t="shared" si="86"/>
        <v>19.734734149853086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">
        <f>IF(OR('Scénario référence'!$F$8&gt;0,'Scénario référence'!$F$9&gt;0),('Scénario référence'!$F$8+'Scénario référence'!$F$9)*10,0)</f>
        <v>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694.59429870062104</v>
      </c>
      <c r="H82" s="67">
        <f t="shared" si="56"/>
        <v>413.38450531099431</v>
      </c>
      <c r="I82" s="7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8.8608333333333373</v>
      </c>
      <c r="N82" s="13">
        <f>IF('Données projet'!$A$36&gt;35,N81+M82-V81,IF(A82&lt;'Données projet'!$A$36,$K$205^A82,IF(A82='Données projet'!$A$36,'Données projet'!$B$36,N81+M82-V81)))</f>
        <v>450.16583333333324</v>
      </c>
      <c r="O82" s="13">
        <f>N82*VLOOKUP('Données projet'!$B$9,Paramètres!$A$1:$I$89,3,0)*VLOOKUP('Données projet'!$B$9,Paramètres!$A$1:$I$89,5,0)</f>
        <v>251.64270083333329</v>
      </c>
      <c r="P82" s="13">
        <f t="shared" si="87"/>
        <v>60.937566319682929</v>
      </c>
      <c r="Q82" s="20">
        <f t="shared" si="54"/>
        <v>544.41063195816992</v>
      </c>
      <c r="R82" s="59">
        <f t="shared" si="55"/>
        <v>837.74396529150317</v>
      </c>
      <c r="S82" s="59">
        <f ca="1">AVERAGE(OFFSET($R$3,0,0,'Données projet'!$E$9+1,1))-AVERAGE(OFFSET($H$3,0,0,'Données projet'!$E$9+1,1))</f>
        <v>280.69347314340195</v>
      </c>
      <c r="T82" s="59">
        <f t="shared" si="88"/>
        <v>152.40533828556482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41.571545285363456</v>
      </c>
      <c r="AA82" s="21">
        <f>EXP(-LN(2)/25)*AA81+(1-EXP(-LN(2)/25))/(LN(2)/25)*Calculateur!V82*Calculateur!X82*VLOOKUP('Données projet'!$B$9,Paramètres!$A$1:$I$89,3,0)*0.475*44/12</f>
        <v>18.091360492626887</v>
      </c>
      <c r="AB82" s="21">
        <f>EXP(-LN(2)/2)*AB81+(1-EXP(-LN(2)/2))/(LN(2)/2)*V82*Y82*VLOOKUP('Données projet'!$B$9,Paramètres!$A$1:$I$89,3,0)*0.475*44/12</f>
        <v>0.7422373269379916</v>
      </c>
      <c r="AC82" s="22">
        <f t="shared" si="57"/>
        <v>60.405143104928335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0</v>
      </c>
      <c r="AI82" s="13">
        <f>IF('Données projet'!$A$62&gt;35,AI81+AH82-AQ81,IF(A82&lt;'Données projet'!$A$62,$AF$205^A82,IF(A82='Données projet'!$A$62,'Données projet'!$B$62,AI81+AH82-AQ81)))</f>
        <v>0</v>
      </c>
      <c r="AJ82" s="13">
        <f>AI82*VLOOKUP('Données projet'!$B$10,Paramètres!$A$1:$I$89,3,0)*VLOOKUP('Données projet'!$B$10,Paramètres!$A$1:$I$89,5,0)</f>
        <v>0</v>
      </c>
      <c r="AK82" s="13" t="e">
        <f t="shared" si="89"/>
        <v>#NUM!</v>
      </c>
      <c r="AL82" s="20" t="e">
        <f t="shared" si="58"/>
        <v>#NUM!</v>
      </c>
      <c r="AM82" s="59" t="e">
        <f t="shared" si="59"/>
        <v>#NUM!</v>
      </c>
      <c r="AN82" s="59">
        <f ca="1">AVERAGE(OFFSET($AM$3,0,0,'Données projet'!$E$10+1,1))-AVERAGE(OFFSET($H$3,0,0,'Données projet'!$E$10+1,1))</f>
        <v>179.4725256147085</v>
      </c>
      <c r="AO82" s="59">
        <f t="shared" si="90"/>
        <v>282.16750121151176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99.108225946967195</v>
      </c>
      <c r="AV82" s="21">
        <f>EXP(-LN(2)/25)*AV81+(1-EXP(-LN(2)/25))/(LN(2)/25)*Calculateur!AQ82*Calculateur!AS82*VLOOKUP('Données projet'!$B$10,Paramètres!$A$1:$I$89,3,0)*0.475*44/12</f>
        <v>28.8533776338979</v>
      </c>
      <c r="AW82" s="21">
        <f>EXP(-LN(2)/2)*AW81+(1-EXP(-LN(2)/2))/(LN(2)/2)*AQ82*AT82*VLOOKUP('Données projet'!$B$10,Paramètres!$A$1:$I$89,3,0)*0.475*44/12</f>
        <v>5.9552198720076978E-2</v>
      </c>
      <c r="AX82" s="21">
        <f t="shared" si="60"/>
        <v>128.02115577958517</v>
      </c>
      <c r="AY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10.385555555555555</v>
      </c>
      <c r="BD82" s="12">
        <f>IF('Données projet'!$A$88&gt;35,BD81+BC82-BL81,IF(A82&lt;'Données projet'!$A$88,$BA$205^A82,IF(A82='Données projet'!$A$88,'Données projet'!$B$88,BD81+BC82-BL81)))</f>
        <v>243.87222222222266</v>
      </c>
      <c r="BE82" s="13">
        <f>BD82*VLOOKUP('Données projet'!$B$11,Paramètres!$A$1:$I$89,3,0)*VLOOKUP('Données projet'!$B$11,Paramètres!$A$1:$I$89,5,0)</f>
        <v>209.24236666666707</v>
      </c>
      <c r="BF82" s="13">
        <f t="shared" si="91"/>
        <v>51.769988942945773</v>
      </c>
      <c r="BG82" s="20">
        <f t="shared" si="61"/>
        <v>454.59651935340895</v>
      </c>
      <c r="BH82" s="59">
        <f t="shared" si="62"/>
        <v>747.92985268674227</v>
      </c>
      <c r="BI82" s="59">
        <f ca="1">AVERAGE(OFFSET($BH$3,0,0,'Données projet'!$E$11+1,1))-AVERAGE(OFFSET($H$3,0,0,'Données projet'!$E$11+1,1))</f>
        <v>312.89478437044261</v>
      </c>
      <c r="BJ82" s="59">
        <f t="shared" si="92"/>
        <v>276.16555507854571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>
        <f>EXP(-LN(2)/35)*BP81+(1-EXP(-LN(2)/35))/(LN(2)/35)*BL82*BM82*VLOOKUP('Données projet'!$B$11,Paramètres!$A$1:$I$89,3,0)*0.475*44/12</f>
        <v>0</v>
      </c>
      <c r="BQ82" s="21">
        <f>EXP(-LN(2)/25)*BQ81+(1-EXP(-LN(2)/25))/(LN(2)/25)*Calculateur!BL82*Calculateur!BN82*VLOOKUP('Données projet'!$B$11,Paramètres!$A$1:$I$89,3,0)*0.475*44/12</f>
        <v>49.819649849053718</v>
      </c>
      <c r="BR82" s="21">
        <f>EXP(-LN(2)/2)*BR81+(1-EXP(-LN(2)/2))/(LN(2)/2)*BL82*BO82*VLOOKUP('Données projet'!$B$11,Paramètres!$A$1:$I$89,3,0)*0.475*44/12</f>
        <v>7.7086442838988596</v>
      </c>
      <c r="BS82" s="22">
        <f t="shared" si="63"/>
        <v>57.528294132952581</v>
      </c>
      <c r="BT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0</v>
      </c>
      <c r="BY82" s="12">
        <f>IF('Données projet'!$A$114&gt;35,BY81+BX82-CG81,IF(A82&lt;'Données projet'!$A$114,$BV$205^A82,IF(A82='Données projet'!$A$114,'Données projet'!$B$114,BY81+BX82-CG81)))</f>
        <v>0</v>
      </c>
      <c r="BZ82" s="13" t="e">
        <f>BY82*VLOOKUP('Données projet'!$B$12,Paramètres!$A$1:$I$89,3,0)*VLOOKUP('Données projet'!$B$12,Paramètres!$A$1:$I$89,5,0)</f>
        <v>#N/A</v>
      </c>
      <c r="CA82" s="13" t="e">
        <f t="shared" si="93"/>
        <v>#N/A</v>
      </c>
      <c r="CB82" s="20" t="e">
        <f t="shared" si="64"/>
        <v>#N/A</v>
      </c>
      <c r="CC82" s="59" t="e">
        <f t="shared" si="65"/>
        <v>#N/A</v>
      </c>
      <c r="CD82" s="59" t="e">
        <f ca="1">AVERAGE(OFFSET($CC$3,0,0,'Données projet'!$E$12+1,1))-AVERAGE(OFFSET($H$3,0,0,'Données projet'!$E$12+1,1))</f>
        <v>#N/A</v>
      </c>
      <c r="CE82" s="59" t="e">
        <f t="shared" si="94"/>
        <v>#N/A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 t="e">
        <f>EXP(-LN(2)/35)*CK81+(1-EXP(-LN(2)/35))/(LN(2)/35)*CG82*CH82*VLOOKUP('Données projet'!$B$12,Paramètres!$A$1:$I$89,3,0)*0.475*44/12</f>
        <v>#N/A</v>
      </c>
      <c r="CL82" s="21" t="e">
        <f>EXP(-LN(2)/25)*CL81+(1-EXP(-LN(2)/25))/(LN(2)/25)*Calculateur!CG82*Calculateur!CI82*VLOOKUP('Données projet'!$B$12,Paramètres!$A$1:$I$89,3,0)*0.475*44/12</f>
        <v>#N/A</v>
      </c>
      <c r="CM82" s="21" t="e">
        <f>EXP(-LN(2)/2)*CM81+(1-EXP(-LN(2)/2))/(LN(2)/2)*CG82*CJ82*VLOOKUP('Données projet'!$B$12,Paramètres!$A$1:$I$89,3,0)*0.475*44/12</f>
        <v>#N/A</v>
      </c>
      <c r="CN82" s="22" t="e">
        <f t="shared" si="66"/>
        <v>#N/A</v>
      </c>
      <c r="CO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0</v>
      </c>
      <c r="CT82" s="12">
        <f>IF('Données projet'!$A$140&gt;35,CT81+CS82-DB81,IF(A82&lt;'Données projet'!$A$140,$CQ$205^A82,IF(A82='Données projet'!$A$140,'Données projet'!$B$140,CT81+CS82-DB81)))</f>
        <v>0</v>
      </c>
      <c r="CU82" s="17" t="e">
        <f>CT82*VLOOKUP('Données projet'!$B$13,Paramètres!$A$1:$I$89,3,0)*VLOOKUP('Données projet'!$B$13,Paramètres!$A$1:$I$89,5,0)</f>
        <v>#N/A</v>
      </c>
      <c r="CV82" s="13" t="e">
        <f t="shared" si="95"/>
        <v>#N/A</v>
      </c>
      <c r="CW82" s="20" t="e">
        <f t="shared" si="67"/>
        <v>#N/A</v>
      </c>
      <c r="CX82" s="59" t="e">
        <f t="shared" si="68"/>
        <v>#N/A</v>
      </c>
      <c r="CY82" s="59" t="e">
        <f ca="1">AVERAGE(OFFSET($CX$3,0,0,'Données projet'!$E$13+1,1))-AVERAGE(OFFSET($H$3,0,0,'Données projet'!$E$13+1,1))</f>
        <v>#N/A</v>
      </c>
      <c r="CZ82" s="59" t="e">
        <f t="shared" si="96"/>
        <v>#N/A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 t="e">
        <f>EXP(-LN(2)/35)*DF81+(1-EXP(-LN(2)/35))/(LN(2)/35)*DB82*DC82*VLOOKUP('Données projet'!$B$13,Paramètres!$A$1:$I$89,3,0)*0.475*44/12</f>
        <v>#N/A</v>
      </c>
      <c r="DG82" s="21" t="e">
        <f>EXP(-LN(2)/25)*DG81+(1-EXP(-LN(2)/25))/(LN(2)/25)*Calculateur!DB82*Calculateur!DD82*VLOOKUP('Données projet'!$B$13,Paramètres!$A$1:$I$89,3,0)*0.475*44/12</f>
        <v>#N/A</v>
      </c>
      <c r="DH82" s="21" t="e">
        <f>EXP(-LN(2)/2)*DH81+(1-EXP(-LN(2)/2))/(LN(2)/2)*DB82*DE82*VLOOKUP('Données projet'!$B$13,Paramètres!$A$1:$I$89,3,0)*0.475*44/12</f>
        <v>#N/A</v>
      </c>
      <c r="DI82" s="22" t="e">
        <f t="shared" si="69"/>
        <v>#N/A</v>
      </c>
      <c r="DJ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0</v>
      </c>
      <c r="DO82" s="12">
        <f>IF('Données projet'!$A$166&gt;35,DO81+DN82-DW81,IF(A82&lt;'Données projet'!$A$166,$DL$205^A82,IF(A82='Données projet'!$A$166,'Données projet'!$B$166,DO81+DN82-DW81)))</f>
        <v>0</v>
      </c>
      <c r="DP82" s="17" t="e">
        <f>DO82*VLOOKUP('Données projet'!$B$14,Paramètres!$A$1:$I$89,3,0)*VLOOKUP('Données projet'!$B$14,Paramètres!$A$1:$I$89,5,0)</f>
        <v>#N/A</v>
      </c>
      <c r="DQ82" s="13" t="e">
        <f t="shared" si="97"/>
        <v>#N/A</v>
      </c>
      <c r="DR82" s="20" t="e">
        <f t="shared" si="70"/>
        <v>#N/A</v>
      </c>
      <c r="DS82" s="59" t="e">
        <f t="shared" si="71"/>
        <v>#N/A</v>
      </c>
      <c r="DT82" s="59" t="e">
        <f ca="1">AVERAGE(OFFSET($DS$3,0,0,'Données projet'!$E$14+1,1))-AVERAGE(OFFSET($H$3,0,0,'Données projet'!$E$14+1,1))</f>
        <v>#N/A</v>
      </c>
      <c r="DU82" s="59" t="e">
        <f t="shared" si="98"/>
        <v>#N/A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 t="e">
        <f>EXP(-LN(2)/35)*EA81+(1-EXP(-LN(2)/35))/(LN(2)/35)*DW82*DX82*VLOOKUP('Données projet'!$B$14,Paramètres!$A$1:$I$89,3,0)*0.475*44/12</f>
        <v>#N/A</v>
      </c>
      <c r="EB82" s="21" t="e">
        <f>EXP(-LN(2)/25)*EB81+(1-EXP(-LN(2)/25))/(LN(2)/25)*Calculateur!DW82*Calculateur!DY82*VLOOKUP('Données projet'!$B$14,Paramètres!$A$1:$I$89,3,0)*0.475*44/12</f>
        <v>#N/A</v>
      </c>
      <c r="EC82" s="21" t="e">
        <f>EXP(-LN(2)/2)*EC81+(1-EXP(-LN(2)/2))/(LN(2)/2)*DW82*DZ82*VLOOKUP('Données projet'!$B$14,Paramètres!$A$1:$I$89,3,0)*0.475*44/12</f>
        <v>#N/A</v>
      </c>
      <c r="ED82" s="22" t="e">
        <f t="shared" si="72"/>
        <v>#N/A</v>
      </c>
      <c r="EE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0</v>
      </c>
      <c r="EK82" s="17" t="e">
        <f>EJ82*VLOOKUP('Données projet'!$B$15,Paramètres!$A$1:$I$89,3,0)*VLOOKUP('Données projet'!$B$15,Paramètres!$A$1:$I$89,5,0)</f>
        <v>#N/A</v>
      </c>
      <c r="EL82" s="13" t="e">
        <f t="shared" si="99"/>
        <v>#N/A</v>
      </c>
      <c r="EM82" s="20" t="e">
        <f t="shared" si="73"/>
        <v>#N/A</v>
      </c>
      <c r="EN82" s="59" t="e">
        <f t="shared" si="74"/>
        <v>#N/A</v>
      </c>
      <c r="EO82" s="59" t="e">
        <f ca="1">AVERAGE(OFFSET($EN$3,0,0,'Données projet'!$E$15+1,1))-AVERAGE(OFFSET($H$3,0,0,'Données projet'!$E$15+1,1))</f>
        <v>#N/A</v>
      </c>
      <c r="EP82" s="59" t="e">
        <f t="shared" si="100"/>
        <v>#N/A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 t="e">
        <f>EXP(-LN(2)/35)*EV81+(1-EXP(-LN(2)/35))/(LN(2)/35)*ER82*ES82*VLOOKUP('Données projet'!$B$15,Paramètres!$A$1:$I$89,3,0)*0.475*44/12</f>
        <v>#N/A</v>
      </c>
      <c r="EW82" s="21" t="e">
        <f>EXP(-LN(2)/25)*EW81+(1-EXP(-LN(2)/25))/(LN(2)/25)*Calculateur!ER82*Calculateur!ET82*VLOOKUP('Données projet'!$B$15,Paramètres!$A$1:$I$89,3,0)*0.475*44/12</f>
        <v>#N/A</v>
      </c>
      <c r="EX82" s="21" t="e">
        <f>EXP(-LN(2)/2)*EX81+(1-EXP(-LN(2)/2))/(LN(2)/2)*ER82*EU82*VLOOKUP('Données projet'!$B$15,Paramètres!$A$1:$I$89,3,0)*0.475*44/12</f>
        <v>#N/A</v>
      </c>
      <c r="EY82" s="22" t="e">
        <f t="shared" si="75"/>
        <v>#N/A</v>
      </c>
      <c r="EZ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9" t="e">
        <f t="shared" si="77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45">
      <c r="A83" s="10">
        <f t="shared" si="85"/>
        <v>80</v>
      </c>
      <c r="B83" s="73">
        <f>'Scénario référence'!$B$16*5+'Scénario référence'!$B$17*0+'Scénario référence'!$B$18*5</f>
        <v>0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71.136000000000095</v>
      </c>
      <c r="D83" s="11">
        <f t="shared" si="86"/>
        <v>19.955301551927505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">
        <f>IF(OR('Scénario référence'!$F$8&gt;0,'Scénario référence'!$F$9&gt;0),('Scénario référence'!$F$8+'Scénario référence'!$F$9)*10,0)</f>
        <v>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703.16092426049374</v>
      </c>
      <c r="H83" s="67">
        <f t="shared" si="56"/>
        <v>415.31735020294059</v>
      </c>
      <c r="I83" s="7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 t="e">
        <f>VLOOKUP(A83,'Données projet'!$A$35:$I$55,2,0)</f>
        <v>#N/A</v>
      </c>
      <c r="L83" s="12" t="e">
        <f>VLOOKUP(A83,'Données projet'!$A$35:$I$55,9,0)</f>
        <v>#N/A</v>
      </c>
      <c r="M83" s="12">
        <f t="array" ref="M83">INDEX(L:L,MIN(IF(ISNUMBER(L83:L279),ROW(L83:L279),"")))</f>
        <v>8.8608333333333373</v>
      </c>
      <c r="N83" s="13">
        <f>IF('Données projet'!$A$36&gt;35,N82+M83-V82,IF(A83&lt;'Données projet'!$A$36,$K$205^A83,IF(A83='Données projet'!$A$36,'Données projet'!$B$36,N82+M83-V82)))</f>
        <v>459.02666666666659</v>
      </c>
      <c r="O83" s="13">
        <f>N83*VLOOKUP('Données projet'!$B$9,Paramètres!$A$1:$I$89,3,0)*VLOOKUP('Données projet'!$B$9,Paramètres!$A$1:$I$89,5,0)</f>
        <v>256.59590666666662</v>
      </c>
      <c r="P83" s="13">
        <f t="shared" si="87"/>
        <v>61.996207193491571</v>
      </c>
      <c r="Q83" s="20">
        <f t="shared" si="54"/>
        <v>554.88126497310884</v>
      </c>
      <c r="R83" s="59">
        <f t="shared" si="55"/>
        <v>848.21459830644221</v>
      </c>
      <c r="S83" s="59">
        <f ca="1">AVERAGE(OFFSET($R$3,0,0,'Données projet'!$E$9+1,1))-AVERAGE(OFFSET($H$3,0,0,'Données projet'!$E$9+1,1))</f>
        <v>280.69347314340195</v>
      </c>
      <c r="T83" s="59">
        <f t="shared" si="88"/>
        <v>152.40533828556482</v>
      </c>
      <c r="U83" s="15">
        <f>IF(ISNA(VLOOKUP(A83,'Données projet'!$A$35:$I$55,3,0)),0,VLOOKUP(A83,'Données projet'!$A$35:$I$55,3,0))</f>
        <v>0</v>
      </c>
      <c r="V83" s="15">
        <f>IF(ISNA(VLOOKUP(A83,'Données projet'!$A$35:$I$55,4,0)),0,VLOOKUP(A83,'Données projet'!$A$35:$I$55,4,0))</f>
        <v>0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40.756352638456391</v>
      </c>
      <c r="AA83" s="21">
        <f>EXP(-LN(2)/25)*AA82+(1-EXP(-LN(2)/25))/(LN(2)/25)*Calculateur!V83*Calculateur!X83*VLOOKUP('Données projet'!$B$9,Paramètres!$A$1:$I$89,3,0)*0.475*44/12</f>
        <v>17.596651288572705</v>
      </c>
      <c r="AB83" s="21">
        <f>EXP(-LN(2)/2)*AB82+(1-EXP(-LN(2)/2))/(LN(2)/2)*V83*Y83*VLOOKUP('Données projet'!$B$9,Paramètres!$A$1:$I$89,3,0)*0.475*44/12</f>
        <v>0.52484104712763036</v>
      </c>
      <c r="AC83" s="22">
        <f t="shared" si="57"/>
        <v>58.877844974156723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 t="e">
        <f>VLOOKUP(A83,'Données projet'!$A$61:$I$81,2,0)</f>
        <v>#N/A</v>
      </c>
      <c r="AG83" s="12" t="e">
        <f>VLOOKUP(A83,'Données projet'!$A$61:$I$81,9,0)</f>
        <v>#N/A</v>
      </c>
      <c r="AH83" s="12">
        <f t="array" ref="AH83">INDEX(AG:AG,MIN(IF(ISNUMBER(AG83:AG279),ROW(AG83:AG279),"")))</f>
        <v>0</v>
      </c>
      <c r="AI83" s="13">
        <f>IF('Données projet'!$A$62&gt;35,AI82+AH83-AQ82,IF(A83&lt;'Données projet'!$A$62,$AF$205^A83,IF(A83='Données projet'!$A$62,'Données projet'!$B$62,AI82+AH83-AQ82)))</f>
        <v>0</v>
      </c>
      <c r="AJ83" s="13">
        <f>AI83*VLOOKUP('Données projet'!$B$10,Paramètres!$A$1:$I$89,3,0)*VLOOKUP('Données projet'!$B$10,Paramètres!$A$1:$I$89,5,0)</f>
        <v>0</v>
      </c>
      <c r="AK83" s="13" t="e">
        <f t="shared" si="89"/>
        <v>#NUM!</v>
      </c>
      <c r="AL83" s="20" t="e">
        <f t="shared" si="58"/>
        <v>#NUM!</v>
      </c>
      <c r="AM83" s="59" t="e">
        <f t="shared" si="59"/>
        <v>#NUM!</v>
      </c>
      <c r="AN83" s="59">
        <f ca="1">AVERAGE(OFFSET($AM$3,0,0,'Données projet'!$E$10+1,1))-AVERAGE(OFFSET($H$3,0,0,'Données projet'!$E$10+1,1))</f>
        <v>179.4725256147085</v>
      </c>
      <c r="AO83" s="59">
        <f t="shared" si="90"/>
        <v>282.16750121151176</v>
      </c>
      <c r="AP83" s="15">
        <f>IF(ISNA(VLOOKUP(A83,'Données projet'!$A$61:$I$81,3,0)),0,VLOOKUP(A83,'Données projet'!$A$61:$I$81,3,0))</f>
        <v>0</v>
      </c>
      <c r="AQ83" s="15">
        <f>IF(ISNA(VLOOKUP(A83,'Données projet'!$A$61:$I$81,4,0)),0,VLOOKUP(A83,'Données projet'!$A$61:$I$81,4,0))</f>
        <v>0</v>
      </c>
      <c r="AR83" s="16">
        <f>IF(ISNA(VLOOKUP(A83,'Données projet'!$A$61:$I$81,5,0)),0%,VLOOKUP(A83,'Données projet'!$A$61:$I$81,5,0)*VLOOKUP('Données projet'!$B$10,Paramètres!$A$1:$I$89,7,0))</f>
        <v>0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>
        <f>EXP(-LN(2)/35)*AU82+(1-EXP(-LN(2)/35))/(LN(2)/35)*AQ83*AR83*VLOOKUP('Données projet'!$B$10,Paramètres!$A$1:$I$89,3,0)*0.475*44/12</f>
        <v>97.164774086196047</v>
      </c>
      <c r="AV83" s="21">
        <f>EXP(-LN(2)/25)*AV82+(1-EXP(-LN(2)/25))/(LN(2)/25)*Calculateur!AQ83*Calculateur!AS83*VLOOKUP('Données projet'!$B$10,Paramètres!$A$1:$I$89,3,0)*0.475*44/12</f>
        <v>28.064380505165776</v>
      </c>
      <c r="AW83" s="21">
        <f>EXP(-LN(2)/2)*AW82+(1-EXP(-LN(2)/2))/(LN(2)/2)*AQ83*AT83*VLOOKUP('Données projet'!$B$10,Paramètres!$A$1:$I$89,3,0)*0.475*44/12</f>
        <v>4.2109763549535273E-2</v>
      </c>
      <c r="AX83" s="21">
        <f t="shared" si="60"/>
        <v>125.27126435491135</v>
      </c>
      <c r="AY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 t="e">
        <f>VLOOKUP(A83,'Données projet'!$A$87:$I$107,2,0)</f>
        <v>#N/A</v>
      </c>
      <c r="BB83" s="12" t="e">
        <f>VLOOKUP(A83,'Données projet'!$A$87:$I$107,9,0)</f>
        <v>#N/A</v>
      </c>
      <c r="BC83" s="12">
        <f t="array" ref="BC83">INDEX(BB:BB,MIN(IF(ISNUMBER(BB83:BB279),ROW(BB83:BB279),"")))</f>
        <v>10.385555555555555</v>
      </c>
      <c r="BD83" s="12">
        <f>IF('Données projet'!$A$88&gt;35,BD82+BC83-BL82,IF(A83&lt;'Données projet'!$A$88,$BA$205^A83,IF(A83='Données projet'!$A$88,'Données projet'!$B$88,BD82+BC83-BL82)))</f>
        <v>254.25777777777822</v>
      </c>
      <c r="BE83" s="13">
        <f>BD83*VLOOKUP('Données projet'!$B$11,Paramètres!$A$1:$I$89,3,0)*VLOOKUP('Données projet'!$B$11,Paramètres!$A$1:$I$89,5,0)</f>
        <v>218.15317333333371</v>
      </c>
      <c r="BF83" s="13">
        <f t="shared" si="91"/>
        <v>53.713290342855551</v>
      </c>
      <c r="BG83" s="20">
        <f t="shared" si="61"/>
        <v>473.50075756936286</v>
      </c>
      <c r="BH83" s="59">
        <f t="shared" si="62"/>
        <v>766.83409090269618</v>
      </c>
      <c r="BI83" s="59">
        <f ca="1">AVERAGE(OFFSET($BH$3,0,0,'Données projet'!$E$11+1,1))-AVERAGE(OFFSET($H$3,0,0,'Données projet'!$E$11+1,1))</f>
        <v>312.89478437044261</v>
      </c>
      <c r="BJ83" s="59">
        <f t="shared" si="92"/>
        <v>276.16555507854571</v>
      </c>
      <c r="BK83" s="15">
        <f>IF(ISNA(VLOOKUP(A83,'Données projet'!$A$87:$I$107,3,0)),0,VLOOKUP(A83,'Données projet'!$A$87:$I$107,3,0))</f>
        <v>0</v>
      </c>
      <c r="BL83" s="21">
        <f>IF(ISNA(VLOOKUP(A83,'Données projet'!$A$87:$I$107,4,0)),0,VLOOKUP(A83,'Données projet'!$A$87:$I$107,4,0))</f>
        <v>0</v>
      </c>
      <c r="BM83" s="16">
        <f>IF(ISNA(VLOOKUP(A83,'Données projet'!$A$87:$I$107,5,0)),0%,VLOOKUP(A83,'Données projet'!$A$87:$I$107,5,0)*VLOOKUP('Données projet'!$B$11,Paramètres!$A$1:$I$89,7,0))</f>
        <v>0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>
        <f>EXP(-LN(2)/35)*BP82+(1-EXP(-LN(2)/35))/(LN(2)/35)*BL83*BM83*VLOOKUP('Données projet'!$B$11,Paramètres!$A$1:$I$89,3,0)*0.475*44/12</f>
        <v>0</v>
      </c>
      <c r="BQ83" s="21">
        <f>EXP(-LN(2)/25)*BQ82+(1-EXP(-LN(2)/25))/(LN(2)/25)*Calculateur!BL83*Calculateur!BN83*VLOOKUP('Données projet'!$B$11,Paramètres!$A$1:$I$89,3,0)*0.475*44/12</f>
        <v>48.457328904029822</v>
      </c>
      <c r="BR83" s="21">
        <f>EXP(-LN(2)/2)*BR82+(1-EXP(-LN(2)/2))/(LN(2)/2)*BL83*BO83*VLOOKUP('Données projet'!$B$11,Paramètres!$A$1:$I$89,3,0)*0.475*44/12</f>
        <v>5.4508346468998017</v>
      </c>
      <c r="BS83" s="22">
        <f t="shared" si="63"/>
        <v>53.908163550929622</v>
      </c>
      <c r="BT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 t="e">
        <f>VLOOKUP(A83,'Données projet'!$A$113:$I$133,2,0)</f>
        <v>#N/A</v>
      </c>
      <c r="BW83" s="12" t="e">
        <f>VLOOKUP(A83,'Données projet'!$A$113:$I$133,9,0)</f>
        <v>#N/A</v>
      </c>
      <c r="BX83" s="12">
        <f t="array" ref="BX83">INDEX(BW:BW,MIN(IF(ISNUMBER(BW83:BW279),ROW(BW83:BW279),"")))</f>
        <v>0</v>
      </c>
      <c r="BY83" s="12">
        <f>IF('Données projet'!$A$114&gt;35,BY82+BX83-CG82,IF(A83&lt;'Données projet'!$A$114,$BV$205^A83,IF(A83='Données projet'!$A$114,'Données projet'!$B$114,BY82+BX83-CG82)))</f>
        <v>0</v>
      </c>
      <c r="BZ83" s="13" t="e">
        <f>BY83*VLOOKUP('Données projet'!$B$12,Paramètres!$A$1:$I$89,3,0)*VLOOKUP('Données projet'!$B$12,Paramètres!$A$1:$I$89,5,0)</f>
        <v>#N/A</v>
      </c>
      <c r="CA83" s="13" t="e">
        <f t="shared" si="93"/>
        <v>#N/A</v>
      </c>
      <c r="CB83" s="20" t="e">
        <f t="shared" si="64"/>
        <v>#N/A</v>
      </c>
      <c r="CC83" s="59" t="e">
        <f t="shared" si="65"/>
        <v>#N/A</v>
      </c>
      <c r="CD83" s="59" t="e">
        <f ca="1">AVERAGE(OFFSET($CC$3,0,0,'Données projet'!$E$12+1,1))-AVERAGE(OFFSET($H$3,0,0,'Données projet'!$E$12+1,1))</f>
        <v>#N/A</v>
      </c>
      <c r="CE83" s="59" t="e">
        <f t="shared" si="94"/>
        <v>#N/A</v>
      </c>
      <c r="CF83" s="15">
        <f>IF(ISNA(VLOOKUP(A83,'Données projet'!$A$113:$I$133,3,0)),0,VLOOKUP(A83,'Données projet'!$A$113:$I$133,3,0))</f>
        <v>0</v>
      </c>
      <c r="CG83" s="15">
        <f>IF(ISNA(VLOOKUP(A83,'Données projet'!$A$113:$I$133,4,0)),0,VLOOKUP(A83,'Données projet'!$A$113:$I$133,4,0))</f>
        <v>0</v>
      </c>
      <c r="CH83" s="16">
        <f>IF(ISNA(VLOOKUP(A83,'Données projet'!$A$113:$I$133,5,0)),0%,VLOOKUP(A83,'Données projet'!$A$113:$I$133,5,0)*VLOOKUP('Données projet'!$B$12,Paramètres!$A$1:$I$89,7,0))</f>
        <v>0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 t="e">
        <f>EXP(-LN(2)/35)*CK82+(1-EXP(-LN(2)/35))/(LN(2)/35)*CG83*CH83*VLOOKUP('Données projet'!$B$12,Paramètres!$A$1:$I$89,3,0)*0.475*44/12</f>
        <v>#N/A</v>
      </c>
      <c r="CL83" s="21" t="e">
        <f>EXP(-LN(2)/25)*CL82+(1-EXP(-LN(2)/25))/(LN(2)/25)*Calculateur!CG83*Calculateur!CI83*VLOOKUP('Données projet'!$B$12,Paramètres!$A$1:$I$89,3,0)*0.475*44/12</f>
        <v>#N/A</v>
      </c>
      <c r="CM83" s="21" t="e">
        <f>EXP(-LN(2)/2)*CM82+(1-EXP(-LN(2)/2))/(LN(2)/2)*CG83*CJ83*VLOOKUP('Données projet'!$B$12,Paramètres!$A$1:$I$89,3,0)*0.475*44/12</f>
        <v>#N/A</v>
      </c>
      <c r="CN83" s="22" t="e">
        <f t="shared" si="66"/>
        <v>#N/A</v>
      </c>
      <c r="CO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 t="e">
        <f>VLOOKUP(A83,'Données projet'!$A$139:$I$159,2,0)</f>
        <v>#N/A</v>
      </c>
      <c r="CR83" s="12" t="e">
        <f>VLOOKUP(A83,'Données projet'!$A$139:$I$159,9,0)</f>
        <v>#N/A</v>
      </c>
      <c r="CS83" s="12">
        <f t="array" ref="CS83">INDEX(CR:CR,MIN(IF(ISNUMBER(CR83:CR279),ROW(CR83:CR279),"")))</f>
        <v>0</v>
      </c>
      <c r="CT83" s="12">
        <f>IF('Données projet'!$A$140&gt;35,CT82+CS83-DB82,IF(A83&lt;'Données projet'!$A$140,$CQ$205^A83,IF(A83='Données projet'!$A$140,'Données projet'!$B$140,CT82+CS83-DB82)))</f>
        <v>0</v>
      </c>
      <c r="CU83" s="17" t="e">
        <f>CT83*VLOOKUP('Données projet'!$B$13,Paramètres!$A$1:$I$89,3,0)*VLOOKUP('Données projet'!$B$13,Paramètres!$A$1:$I$89,5,0)</f>
        <v>#N/A</v>
      </c>
      <c r="CV83" s="13" t="e">
        <f t="shared" si="95"/>
        <v>#N/A</v>
      </c>
      <c r="CW83" s="20" t="e">
        <f t="shared" si="67"/>
        <v>#N/A</v>
      </c>
      <c r="CX83" s="59" t="e">
        <f t="shared" si="68"/>
        <v>#N/A</v>
      </c>
      <c r="CY83" s="59" t="e">
        <f ca="1">AVERAGE(OFFSET($CX$3,0,0,'Données projet'!$E$13+1,1))-AVERAGE(OFFSET($H$3,0,0,'Données projet'!$E$13+1,1))</f>
        <v>#N/A</v>
      </c>
      <c r="CZ83" s="59" t="e">
        <f t="shared" si="96"/>
        <v>#N/A</v>
      </c>
      <c r="DA83" s="15">
        <f>IF(ISNA(VLOOKUP(A83,'Données projet'!$A$139:$I$159,3,0)),0,VLOOKUP(A83,'Données projet'!$A$139:$I$159,3,0))</f>
        <v>0</v>
      </c>
      <c r="DB83" s="15">
        <f>IF(ISNA(VLOOKUP(A83,'Données projet'!$A$139:$I$159,4,0)),0,VLOOKUP(A83,'Données projet'!$A$139:$I$159,4,0))</f>
        <v>0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 t="e">
        <f>EXP(-LN(2)/35)*DF82+(1-EXP(-LN(2)/35))/(LN(2)/35)*DB83*DC83*VLOOKUP('Données projet'!$B$13,Paramètres!$A$1:$I$89,3,0)*0.475*44/12</f>
        <v>#N/A</v>
      </c>
      <c r="DG83" s="21" t="e">
        <f>EXP(-LN(2)/25)*DG82+(1-EXP(-LN(2)/25))/(LN(2)/25)*Calculateur!DB83*Calculateur!DD83*VLOOKUP('Données projet'!$B$13,Paramètres!$A$1:$I$89,3,0)*0.475*44/12</f>
        <v>#N/A</v>
      </c>
      <c r="DH83" s="21" t="e">
        <f>EXP(-LN(2)/2)*DH82+(1-EXP(-LN(2)/2))/(LN(2)/2)*DB83*DE83*VLOOKUP('Données projet'!$B$13,Paramètres!$A$1:$I$89,3,0)*0.475*44/12</f>
        <v>#N/A</v>
      </c>
      <c r="DI83" s="22" t="e">
        <f t="shared" si="69"/>
        <v>#N/A</v>
      </c>
      <c r="DJ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0</v>
      </c>
      <c r="DO83" s="12">
        <f>IF('Données projet'!$A$166&gt;35,DO82+DN83-DW82,IF(A83&lt;'Données projet'!$A$166,$DL$205^A83,IF(A83='Données projet'!$A$166,'Données projet'!$B$166,DO82+DN83-DW82)))</f>
        <v>0</v>
      </c>
      <c r="DP83" s="17" t="e">
        <f>DO83*VLOOKUP('Données projet'!$B$14,Paramètres!$A$1:$I$89,3,0)*VLOOKUP('Données projet'!$B$14,Paramètres!$A$1:$I$89,5,0)</f>
        <v>#N/A</v>
      </c>
      <c r="DQ83" s="13" t="e">
        <f t="shared" si="97"/>
        <v>#N/A</v>
      </c>
      <c r="DR83" s="20" t="e">
        <f t="shared" si="70"/>
        <v>#N/A</v>
      </c>
      <c r="DS83" s="59" t="e">
        <f t="shared" si="71"/>
        <v>#N/A</v>
      </c>
      <c r="DT83" s="59" t="e">
        <f ca="1">AVERAGE(OFFSET($DS$3,0,0,'Données projet'!$E$14+1,1))-AVERAGE(OFFSET($H$3,0,0,'Données projet'!$E$14+1,1))</f>
        <v>#N/A</v>
      </c>
      <c r="DU83" s="59" t="e">
        <f t="shared" si="98"/>
        <v>#N/A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 t="e">
        <f>EXP(-LN(2)/35)*EA82+(1-EXP(-LN(2)/35))/(LN(2)/35)*DW83*DX83*VLOOKUP('Données projet'!$B$14,Paramètres!$A$1:$I$89,3,0)*0.475*44/12</f>
        <v>#N/A</v>
      </c>
      <c r="EB83" s="21" t="e">
        <f>EXP(-LN(2)/25)*EB82+(1-EXP(-LN(2)/25))/(LN(2)/25)*Calculateur!DW83*Calculateur!DY83*VLOOKUP('Données projet'!$B$14,Paramètres!$A$1:$I$89,3,0)*0.475*44/12</f>
        <v>#N/A</v>
      </c>
      <c r="EC83" s="21" t="e">
        <f>EXP(-LN(2)/2)*EC82+(1-EXP(-LN(2)/2))/(LN(2)/2)*DW83*DZ83*VLOOKUP('Données projet'!$B$14,Paramètres!$A$1:$I$89,3,0)*0.475*44/12</f>
        <v>#N/A</v>
      </c>
      <c r="ED83" s="22" t="e">
        <f t="shared" si="72"/>
        <v>#N/A</v>
      </c>
      <c r="EE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0</v>
      </c>
      <c r="EK83" s="17" t="e">
        <f>EJ83*VLOOKUP('Données projet'!$B$15,Paramètres!$A$1:$I$89,3,0)*VLOOKUP('Données projet'!$B$15,Paramètres!$A$1:$I$89,5,0)</f>
        <v>#N/A</v>
      </c>
      <c r="EL83" s="13" t="e">
        <f t="shared" si="99"/>
        <v>#N/A</v>
      </c>
      <c r="EM83" s="20" t="e">
        <f t="shared" si="73"/>
        <v>#N/A</v>
      </c>
      <c r="EN83" s="59" t="e">
        <f t="shared" si="74"/>
        <v>#N/A</v>
      </c>
      <c r="EO83" s="59" t="e">
        <f ca="1">AVERAGE(OFFSET($EN$3,0,0,'Données projet'!$E$15+1,1))-AVERAGE(OFFSET($H$3,0,0,'Données projet'!$E$15+1,1))</f>
        <v>#N/A</v>
      </c>
      <c r="EP83" s="59" t="e">
        <f t="shared" si="100"/>
        <v>#N/A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 t="e">
        <f>EXP(-LN(2)/35)*EV82+(1-EXP(-LN(2)/35))/(LN(2)/35)*ER83*ES83*VLOOKUP('Données projet'!$B$15,Paramètres!$A$1:$I$89,3,0)*0.475*44/12</f>
        <v>#N/A</v>
      </c>
      <c r="EW83" s="21" t="e">
        <f>EXP(-LN(2)/25)*EW82+(1-EXP(-LN(2)/25))/(LN(2)/25)*Calculateur!ER83*Calculateur!ET83*VLOOKUP('Données projet'!$B$15,Paramètres!$A$1:$I$89,3,0)*0.475*44/12</f>
        <v>#N/A</v>
      </c>
      <c r="EX83" s="21" t="e">
        <f>EXP(-LN(2)/2)*EX82+(1-EXP(-LN(2)/2))/(LN(2)/2)*ER83*EU83*VLOOKUP('Données projet'!$B$15,Paramètres!$A$1:$I$89,3,0)*0.475*44/12</f>
        <v>#N/A</v>
      </c>
      <c r="EY83" s="22" t="e">
        <f t="shared" si="75"/>
        <v>#N/A</v>
      </c>
      <c r="EZ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9" t="e">
        <f t="shared" si="77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45">
      <c r="A84" s="10">
        <f t="shared" si="85"/>
        <v>81</v>
      </c>
      <c r="B84" s="73">
        <f>'Scénario référence'!$B$16*5+'Scénario référence'!$B$17*0+'Scénario référence'!$B$18*5</f>
        <v>0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72.025200000000098</v>
      </c>
      <c r="D84" s="11">
        <f t="shared" si="86"/>
        <v>20.175548252960489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">
        <f>IF(OR('Scénario référence'!$F$8&gt;0,'Scénario référence'!$F$9&gt;0),('Scénario référence'!$F$8+'Scénario référence'!$F$9)*10,0)</f>
        <v>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711.72507423337993</v>
      </c>
      <c r="H84" s="67">
        <f t="shared" si="56"/>
        <v>417.24963654057308</v>
      </c>
      <c r="I84" s="7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8.8608333333333373</v>
      </c>
      <c r="N84" s="13">
        <f>IF('Données projet'!$A$36&gt;35,N83+M84-V83,IF(A84&lt;'Données projet'!$A$36,$K$205^A84,IF(A84='Données projet'!$A$36,'Données projet'!$B$36,N83+M84-V83)))</f>
        <v>467.88749999999993</v>
      </c>
      <c r="O84" s="13">
        <f>N84*VLOOKUP('Données projet'!$B$9,Paramètres!$A$1:$I$89,3,0)*VLOOKUP('Données projet'!$B$9,Paramètres!$A$1:$I$89,5,0)</f>
        <v>261.54911249999998</v>
      </c>
      <c r="P84" s="13">
        <f t="shared" si="87"/>
        <v>63.052471889252359</v>
      </c>
      <c r="Q84" s="20">
        <f t="shared" si="54"/>
        <v>565.34775947794776</v>
      </c>
      <c r="R84" s="59">
        <f t="shared" si="55"/>
        <v>858.68109281128113</v>
      </c>
      <c r="S84" s="59">
        <f ca="1">AVERAGE(OFFSET($R$3,0,0,'Données projet'!$E$9+1,1))-AVERAGE(OFFSET($H$3,0,0,'Données projet'!$E$9+1,1))</f>
        <v>280.69347314340195</v>
      </c>
      <c r="T84" s="59">
        <f t="shared" si="88"/>
        <v>152.40533828556482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39.957145422136755</v>
      </c>
      <c r="AA84" s="21">
        <f>EXP(-LN(2)/25)*AA83+(1-EXP(-LN(2)/25))/(LN(2)/25)*Calculateur!V84*Calculateur!X84*VLOOKUP('Données projet'!$B$9,Paramètres!$A$1:$I$89,3,0)*0.475*44/12</f>
        <v>17.115469933719012</v>
      </c>
      <c r="AB84" s="21">
        <f>EXP(-LN(2)/2)*AB83+(1-EXP(-LN(2)/2))/(LN(2)/2)*V84*Y84*VLOOKUP('Données projet'!$B$9,Paramètres!$A$1:$I$89,3,0)*0.475*44/12</f>
        <v>0.3711186634689958</v>
      </c>
      <c r="AC84" s="22">
        <f t="shared" si="57"/>
        <v>57.443734019324765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0</v>
      </c>
      <c r="AI84" s="13">
        <f>IF('Données projet'!$A$62&gt;35,AI83+AH84-AQ83,IF(A84&lt;'Données projet'!$A$62,$AF$205^A84,IF(A84='Données projet'!$A$62,'Données projet'!$B$62,AI83+AH84-AQ83)))</f>
        <v>0</v>
      </c>
      <c r="AJ84" s="13">
        <f>AI84*VLOOKUP('Données projet'!$B$10,Paramètres!$A$1:$I$89,3,0)*VLOOKUP('Données projet'!$B$10,Paramètres!$A$1:$I$89,5,0)</f>
        <v>0</v>
      </c>
      <c r="AK84" s="13" t="e">
        <f t="shared" si="89"/>
        <v>#NUM!</v>
      </c>
      <c r="AL84" s="20" t="e">
        <f t="shared" si="58"/>
        <v>#NUM!</v>
      </c>
      <c r="AM84" s="59" t="e">
        <f t="shared" si="59"/>
        <v>#NUM!</v>
      </c>
      <c r="AN84" s="59">
        <f ca="1">AVERAGE(OFFSET($AM$3,0,0,'Données projet'!$E$10+1,1))-AVERAGE(OFFSET($H$3,0,0,'Données projet'!$E$10+1,1))</f>
        <v>179.4725256147085</v>
      </c>
      <c r="AO84" s="59">
        <f t="shared" si="90"/>
        <v>282.16750121151176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95.259432131026031</v>
      </c>
      <c r="AV84" s="21">
        <f>EXP(-LN(2)/25)*AV83+(1-EXP(-LN(2)/25))/(LN(2)/25)*Calculateur!AQ84*Calculateur!AS84*VLOOKUP('Données projet'!$B$10,Paramètres!$A$1:$I$89,3,0)*0.475*44/12</f>
        <v>27.296958544410391</v>
      </c>
      <c r="AW84" s="21">
        <f>EXP(-LN(2)/2)*AW83+(1-EXP(-LN(2)/2))/(LN(2)/2)*AQ84*AT84*VLOOKUP('Données projet'!$B$10,Paramètres!$A$1:$I$89,3,0)*0.475*44/12</f>
        <v>2.9776099360038496E-2</v>
      </c>
      <c r="AX84" s="21">
        <f t="shared" si="60"/>
        <v>122.58616677479645</v>
      </c>
      <c r="AY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10.385555555555555</v>
      </c>
      <c r="BD84" s="12">
        <f>IF('Données projet'!$A$88&gt;35,BD83+BC84-BL83,IF(A84&lt;'Données projet'!$A$88,$BA$205^A84,IF(A84='Données projet'!$A$88,'Données projet'!$B$88,BD83+BC84-BL83)))</f>
        <v>264.64333333333377</v>
      </c>
      <c r="BE84" s="13">
        <f>BD84*VLOOKUP('Données projet'!$B$11,Paramètres!$A$1:$I$89,3,0)*VLOOKUP('Données projet'!$B$11,Paramètres!$A$1:$I$89,5,0)</f>
        <v>227.06398000000041</v>
      </c>
      <c r="BF84" s="13">
        <f t="shared" si="91"/>
        <v>55.647371461589081</v>
      </c>
      <c r="BG84" s="20">
        <f t="shared" si="61"/>
        <v>492.38893712893508</v>
      </c>
      <c r="BH84" s="59">
        <f t="shared" si="62"/>
        <v>785.7222704622684</v>
      </c>
      <c r="BI84" s="59">
        <f ca="1">AVERAGE(OFFSET($BH$3,0,0,'Données projet'!$E$11+1,1))-AVERAGE(OFFSET($H$3,0,0,'Données projet'!$E$11+1,1))</f>
        <v>312.89478437044261</v>
      </c>
      <c r="BJ84" s="59">
        <f t="shared" si="92"/>
        <v>276.16555507854571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>
        <f>EXP(-LN(2)/35)*BP83+(1-EXP(-LN(2)/35))/(LN(2)/35)*BL84*BM84*VLOOKUP('Données projet'!$B$11,Paramètres!$A$1:$I$89,3,0)*0.475*44/12</f>
        <v>0</v>
      </c>
      <c r="BQ84" s="21">
        <f>EXP(-LN(2)/25)*BQ83+(1-EXP(-LN(2)/25))/(LN(2)/25)*Calculateur!BL84*Calculateur!BN84*VLOOKUP('Données projet'!$B$11,Paramètres!$A$1:$I$89,3,0)*0.475*44/12</f>
        <v>47.132260696888949</v>
      </c>
      <c r="BR84" s="21">
        <f>EXP(-LN(2)/2)*BR83+(1-EXP(-LN(2)/2))/(LN(2)/2)*BL84*BO84*VLOOKUP('Données projet'!$B$11,Paramètres!$A$1:$I$89,3,0)*0.475*44/12</f>
        <v>3.8543221419494302</v>
      </c>
      <c r="BS84" s="22">
        <f t="shared" si="63"/>
        <v>50.98658283883838</v>
      </c>
      <c r="BT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0</v>
      </c>
      <c r="BY84" s="12">
        <f>IF('Données projet'!$A$114&gt;35,BY83+BX84-CG83,IF(A84&lt;'Données projet'!$A$114,$BV$205^A84,IF(A84='Données projet'!$A$114,'Données projet'!$B$114,BY83+BX84-CG83)))</f>
        <v>0</v>
      </c>
      <c r="BZ84" s="13" t="e">
        <f>BY84*VLOOKUP('Données projet'!$B$12,Paramètres!$A$1:$I$89,3,0)*VLOOKUP('Données projet'!$B$12,Paramètres!$A$1:$I$89,5,0)</f>
        <v>#N/A</v>
      </c>
      <c r="CA84" s="13" t="e">
        <f t="shared" si="93"/>
        <v>#N/A</v>
      </c>
      <c r="CB84" s="20" t="e">
        <f t="shared" si="64"/>
        <v>#N/A</v>
      </c>
      <c r="CC84" s="59" t="e">
        <f t="shared" si="65"/>
        <v>#N/A</v>
      </c>
      <c r="CD84" s="59" t="e">
        <f ca="1">AVERAGE(OFFSET($CC$3,0,0,'Données projet'!$E$12+1,1))-AVERAGE(OFFSET($H$3,0,0,'Données projet'!$E$12+1,1))</f>
        <v>#N/A</v>
      </c>
      <c r="CE84" s="59" t="e">
        <f t="shared" si="94"/>
        <v>#N/A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 t="e">
        <f>EXP(-LN(2)/35)*CK83+(1-EXP(-LN(2)/35))/(LN(2)/35)*CG84*CH84*VLOOKUP('Données projet'!$B$12,Paramètres!$A$1:$I$89,3,0)*0.475*44/12</f>
        <v>#N/A</v>
      </c>
      <c r="CL84" s="21" t="e">
        <f>EXP(-LN(2)/25)*CL83+(1-EXP(-LN(2)/25))/(LN(2)/25)*Calculateur!CG84*Calculateur!CI84*VLOOKUP('Données projet'!$B$12,Paramètres!$A$1:$I$89,3,0)*0.475*44/12</f>
        <v>#N/A</v>
      </c>
      <c r="CM84" s="21" t="e">
        <f>EXP(-LN(2)/2)*CM83+(1-EXP(-LN(2)/2))/(LN(2)/2)*CG84*CJ84*VLOOKUP('Données projet'!$B$12,Paramètres!$A$1:$I$89,3,0)*0.475*44/12</f>
        <v>#N/A</v>
      </c>
      <c r="CN84" s="22" t="e">
        <f t="shared" si="66"/>
        <v>#N/A</v>
      </c>
      <c r="CO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0</v>
      </c>
      <c r="CT84" s="12">
        <f>IF('Données projet'!$A$140&gt;35,CT83+CS84-DB83,IF(A84&lt;'Données projet'!$A$140,$CQ$205^A84,IF(A84='Données projet'!$A$140,'Données projet'!$B$140,CT83+CS84-DB83)))</f>
        <v>0</v>
      </c>
      <c r="CU84" s="17" t="e">
        <f>CT84*VLOOKUP('Données projet'!$B$13,Paramètres!$A$1:$I$89,3,0)*VLOOKUP('Données projet'!$B$13,Paramètres!$A$1:$I$89,5,0)</f>
        <v>#N/A</v>
      </c>
      <c r="CV84" s="13" t="e">
        <f t="shared" si="95"/>
        <v>#N/A</v>
      </c>
      <c r="CW84" s="20" t="e">
        <f t="shared" si="67"/>
        <v>#N/A</v>
      </c>
      <c r="CX84" s="59" t="e">
        <f t="shared" si="68"/>
        <v>#N/A</v>
      </c>
      <c r="CY84" s="59" t="e">
        <f ca="1">AVERAGE(OFFSET($CX$3,0,0,'Données projet'!$E$13+1,1))-AVERAGE(OFFSET($H$3,0,0,'Données projet'!$E$13+1,1))</f>
        <v>#N/A</v>
      </c>
      <c r="CZ84" s="59" t="e">
        <f t="shared" si="96"/>
        <v>#N/A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 t="e">
        <f>EXP(-LN(2)/35)*DF83+(1-EXP(-LN(2)/35))/(LN(2)/35)*DB84*DC84*VLOOKUP('Données projet'!$B$13,Paramètres!$A$1:$I$89,3,0)*0.475*44/12</f>
        <v>#N/A</v>
      </c>
      <c r="DG84" s="21" t="e">
        <f>EXP(-LN(2)/25)*DG83+(1-EXP(-LN(2)/25))/(LN(2)/25)*Calculateur!DB84*Calculateur!DD84*VLOOKUP('Données projet'!$B$13,Paramètres!$A$1:$I$89,3,0)*0.475*44/12</f>
        <v>#N/A</v>
      </c>
      <c r="DH84" s="21" t="e">
        <f>EXP(-LN(2)/2)*DH83+(1-EXP(-LN(2)/2))/(LN(2)/2)*DB84*DE84*VLOOKUP('Données projet'!$B$13,Paramètres!$A$1:$I$89,3,0)*0.475*44/12</f>
        <v>#N/A</v>
      </c>
      <c r="DI84" s="22" t="e">
        <f t="shared" si="69"/>
        <v>#N/A</v>
      </c>
      <c r="DJ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0</v>
      </c>
      <c r="DP84" s="17" t="e">
        <f>DO84*VLOOKUP('Données projet'!$B$14,Paramètres!$A$1:$I$89,3,0)*VLOOKUP('Données projet'!$B$14,Paramètres!$A$1:$I$89,5,0)</f>
        <v>#N/A</v>
      </c>
      <c r="DQ84" s="13" t="e">
        <f t="shared" si="97"/>
        <v>#N/A</v>
      </c>
      <c r="DR84" s="20" t="e">
        <f t="shared" si="70"/>
        <v>#N/A</v>
      </c>
      <c r="DS84" s="59" t="e">
        <f t="shared" si="71"/>
        <v>#N/A</v>
      </c>
      <c r="DT84" s="59" t="e">
        <f ca="1">AVERAGE(OFFSET($DS$3,0,0,'Données projet'!$E$14+1,1))-AVERAGE(OFFSET($H$3,0,0,'Données projet'!$E$14+1,1))</f>
        <v>#N/A</v>
      </c>
      <c r="DU84" s="59" t="e">
        <f t="shared" si="98"/>
        <v>#N/A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 t="e">
        <f>EXP(-LN(2)/35)*EA83+(1-EXP(-LN(2)/35))/(LN(2)/35)*DW84*DX84*VLOOKUP('Données projet'!$B$14,Paramètres!$A$1:$I$89,3,0)*0.475*44/12</f>
        <v>#N/A</v>
      </c>
      <c r="EB84" s="21" t="e">
        <f>EXP(-LN(2)/25)*EB83+(1-EXP(-LN(2)/25))/(LN(2)/25)*Calculateur!DW84*Calculateur!DY84*VLOOKUP('Données projet'!$B$14,Paramètres!$A$1:$I$89,3,0)*0.475*44/12</f>
        <v>#N/A</v>
      </c>
      <c r="EC84" s="21" t="e">
        <f>EXP(-LN(2)/2)*EC83+(1-EXP(-LN(2)/2))/(LN(2)/2)*DW84*DZ84*VLOOKUP('Données projet'!$B$14,Paramètres!$A$1:$I$89,3,0)*0.475*44/12</f>
        <v>#N/A</v>
      </c>
      <c r="ED84" s="22" t="e">
        <f t="shared" si="72"/>
        <v>#N/A</v>
      </c>
      <c r="EE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0</v>
      </c>
      <c r="EK84" s="17" t="e">
        <f>EJ84*VLOOKUP('Données projet'!$B$15,Paramètres!$A$1:$I$89,3,0)*VLOOKUP('Données projet'!$B$15,Paramètres!$A$1:$I$89,5,0)</f>
        <v>#N/A</v>
      </c>
      <c r="EL84" s="13" t="e">
        <f t="shared" si="99"/>
        <v>#N/A</v>
      </c>
      <c r="EM84" s="20" t="e">
        <f t="shared" si="73"/>
        <v>#N/A</v>
      </c>
      <c r="EN84" s="59" t="e">
        <f t="shared" si="74"/>
        <v>#N/A</v>
      </c>
      <c r="EO84" s="59" t="e">
        <f ca="1">AVERAGE(OFFSET($EN$3,0,0,'Données projet'!$E$15+1,1))-AVERAGE(OFFSET($H$3,0,0,'Données projet'!$E$15+1,1))</f>
        <v>#N/A</v>
      </c>
      <c r="EP84" s="59" t="e">
        <f t="shared" si="100"/>
        <v>#N/A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 t="e">
        <f>EXP(-LN(2)/35)*EV83+(1-EXP(-LN(2)/35))/(LN(2)/35)*ER84*ES84*VLOOKUP('Données projet'!$B$15,Paramètres!$A$1:$I$89,3,0)*0.475*44/12</f>
        <v>#N/A</v>
      </c>
      <c r="EW84" s="21" t="e">
        <f>EXP(-LN(2)/25)*EW83+(1-EXP(-LN(2)/25))/(LN(2)/25)*Calculateur!ER84*Calculateur!ET84*VLOOKUP('Données projet'!$B$15,Paramètres!$A$1:$I$89,3,0)*0.475*44/12</f>
        <v>#N/A</v>
      </c>
      <c r="EX84" s="21" t="e">
        <f>EXP(-LN(2)/2)*EX83+(1-EXP(-LN(2)/2))/(LN(2)/2)*ER84*EU84*VLOOKUP('Données projet'!$B$15,Paramètres!$A$1:$I$89,3,0)*0.475*44/12</f>
        <v>#N/A</v>
      </c>
      <c r="EY84" s="22" t="e">
        <f t="shared" si="75"/>
        <v>#N/A</v>
      </c>
      <c r="EZ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9" t="e">
        <f t="shared" si="77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45">
      <c r="A85" s="10">
        <f t="shared" si="85"/>
        <v>82</v>
      </c>
      <c r="B85" s="73">
        <f>'Scénario référence'!$B$16*5+'Scénario référence'!$B$17*0+'Scénario référence'!$B$18*5</f>
        <v>0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72.9144000000001</v>
      </c>
      <c r="D85" s="11">
        <f t="shared" si="86"/>
        <v>20.395478670134686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">
        <f>IF(OR('Scénario référence'!$F$8&gt;0,'Scénario référence'!$F$9&gt;0),('Scénario référence'!$F$8+'Scénario référence'!$F$9)*10,0)</f>
        <v>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720.28678271683009</v>
      </c>
      <c r="H85" s="67">
        <f t="shared" si="56"/>
        <v>419.18137201715149</v>
      </c>
      <c r="I85" s="7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8.8608333333333373</v>
      </c>
      <c r="N85" s="13">
        <f>IF('Données projet'!$A$36&gt;35,N84+M85-V84,IF(A85&lt;'Données projet'!$A$36,$K$205^A85,IF(A85='Données projet'!$A$36,'Données projet'!$B$36,N84+M85-V84)))</f>
        <v>476.74833333333328</v>
      </c>
      <c r="O85" s="13">
        <f>N85*VLOOKUP('Données projet'!$B$9,Paramètres!$A$1:$I$89,3,0)*VLOOKUP('Données projet'!$B$9,Paramètres!$A$1:$I$89,5,0)</f>
        <v>266.50231833333328</v>
      </c>
      <c r="P85" s="13">
        <f t="shared" si="87"/>
        <v>64.106410595638764</v>
      </c>
      <c r="Q85" s="20">
        <f t="shared" si="54"/>
        <v>575.81020288462628</v>
      </c>
      <c r="R85" s="59">
        <f t="shared" si="55"/>
        <v>869.14353621795954</v>
      </c>
      <c r="S85" s="59">
        <f ca="1">AVERAGE(OFFSET($R$3,0,0,'Données projet'!$E$9+1,1))-AVERAGE(OFFSET($H$3,0,0,'Données projet'!$E$9+1,1))</f>
        <v>280.69347314340195</v>
      </c>
      <c r="T85" s="59">
        <f t="shared" si="88"/>
        <v>152.40533828556482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39.173610171860879</v>
      </c>
      <c r="AA85" s="21">
        <f>EXP(-LN(2)/25)*AA84+(1-EXP(-LN(2)/25))/(LN(2)/25)*Calculateur!V85*Calculateur!X85*VLOOKUP('Données projet'!$B$9,Paramètres!$A$1:$I$89,3,0)*0.475*44/12</f>
        <v>16.647446508318019</v>
      </c>
      <c r="AB85" s="21">
        <f>EXP(-LN(2)/2)*AB84+(1-EXP(-LN(2)/2))/(LN(2)/2)*V85*Y85*VLOOKUP('Données projet'!$B$9,Paramètres!$A$1:$I$89,3,0)*0.475*44/12</f>
        <v>0.26242052356381518</v>
      </c>
      <c r="AC85" s="22">
        <f t="shared" si="57"/>
        <v>56.083477203742717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0</v>
      </c>
      <c r="AI85" s="13">
        <f>IF('Données projet'!$A$62&gt;35,AI84+AH85-AQ84,IF(A85&lt;'Données projet'!$A$62,$AF$205^A85,IF(A85='Données projet'!$A$62,'Données projet'!$B$62,AI84+AH85-AQ84)))</f>
        <v>0</v>
      </c>
      <c r="AJ85" s="13">
        <f>AI85*VLOOKUP('Données projet'!$B$10,Paramètres!$A$1:$I$89,3,0)*VLOOKUP('Données projet'!$B$10,Paramètres!$A$1:$I$89,5,0)</f>
        <v>0</v>
      </c>
      <c r="AK85" s="13" t="e">
        <f t="shared" si="89"/>
        <v>#NUM!</v>
      </c>
      <c r="AL85" s="20" t="e">
        <f t="shared" si="58"/>
        <v>#NUM!</v>
      </c>
      <c r="AM85" s="59" t="e">
        <f t="shared" si="59"/>
        <v>#NUM!</v>
      </c>
      <c r="AN85" s="59">
        <f ca="1">AVERAGE(OFFSET($AM$3,0,0,'Données projet'!$E$10+1,1))-AVERAGE(OFFSET($H$3,0,0,'Données projet'!$E$10+1,1))</f>
        <v>179.4725256147085</v>
      </c>
      <c r="AO85" s="59">
        <f t="shared" si="90"/>
        <v>282.16750121151176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93.391452769453068</v>
      </c>
      <c r="AV85" s="21">
        <f>EXP(-LN(2)/25)*AV84+(1-EXP(-LN(2)/25))/(LN(2)/25)*Calculateur!AQ85*Calculateur!AS85*VLOOKUP('Données projet'!$B$10,Paramètres!$A$1:$I$89,3,0)*0.475*44/12</f>
        <v>26.550521777528825</v>
      </c>
      <c r="AW85" s="21">
        <f>EXP(-LN(2)/2)*AW84+(1-EXP(-LN(2)/2))/(LN(2)/2)*AQ85*AT85*VLOOKUP('Données projet'!$B$10,Paramètres!$A$1:$I$89,3,0)*0.475*44/12</f>
        <v>2.105488177476764E-2</v>
      </c>
      <c r="AX85" s="21">
        <f t="shared" si="60"/>
        <v>119.96302942875667</v>
      </c>
      <c r="AY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10.385555555555555</v>
      </c>
      <c r="BD85" s="12">
        <f>IF('Données projet'!$A$88&gt;35,BD84+BC85-BL84,IF(A85&lt;'Données projet'!$A$88,$BA$205^A85,IF(A85='Données projet'!$A$88,'Données projet'!$B$88,BD84+BC85-BL84)))</f>
        <v>275.02888888888936</v>
      </c>
      <c r="BE85" s="13">
        <f>BD85*VLOOKUP('Données projet'!$B$11,Paramètres!$A$1:$I$89,3,0)*VLOOKUP('Données projet'!$B$11,Paramètres!$A$1:$I$89,5,0)</f>
        <v>235.97478666666709</v>
      </c>
      <c r="BF85" s="13">
        <f t="shared" si="91"/>
        <v>57.572635543566641</v>
      </c>
      <c r="BG85" s="20">
        <f t="shared" si="61"/>
        <v>511.26176034949043</v>
      </c>
      <c r="BH85" s="59">
        <f t="shared" si="62"/>
        <v>804.59509368282374</v>
      </c>
      <c r="BI85" s="59">
        <f ca="1">AVERAGE(OFFSET($BH$3,0,0,'Données projet'!$E$11+1,1))-AVERAGE(OFFSET($H$3,0,0,'Données projet'!$E$11+1,1))</f>
        <v>312.89478437044261</v>
      </c>
      <c r="BJ85" s="59">
        <f t="shared" si="92"/>
        <v>276.16555507854571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>
        <f>EXP(-LN(2)/35)*BP84+(1-EXP(-LN(2)/35))/(LN(2)/35)*BL85*BM85*VLOOKUP('Données projet'!$B$11,Paramètres!$A$1:$I$89,3,0)*0.475*44/12</f>
        <v>0</v>
      </c>
      <c r="BQ85" s="21">
        <f>EXP(-LN(2)/25)*BQ84+(1-EXP(-LN(2)/25))/(LN(2)/25)*Calculateur!BL85*Calculateur!BN85*VLOOKUP('Données projet'!$B$11,Paramètres!$A$1:$I$89,3,0)*0.475*44/12</f>
        <v>45.84342654955465</v>
      </c>
      <c r="BR85" s="21">
        <f>EXP(-LN(2)/2)*BR84+(1-EXP(-LN(2)/2))/(LN(2)/2)*BL85*BO85*VLOOKUP('Données projet'!$B$11,Paramètres!$A$1:$I$89,3,0)*0.475*44/12</f>
        <v>2.7254173234499013</v>
      </c>
      <c r="BS85" s="22">
        <f t="shared" si="63"/>
        <v>48.568843873004553</v>
      </c>
      <c r="BT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0</v>
      </c>
      <c r="BY85" s="12">
        <f>IF('Données projet'!$A$114&gt;35,BY84+BX85-CG84,IF(A85&lt;'Données projet'!$A$114,$BV$205^A85,IF(A85='Données projet'!$A$114,'Données projet'!$B$114,BY84+BX85-CG84)))</f>
        <v>0</v>
      </c>
      <c r="BZ85" s="13" t="e">
        <f>BY85*VLOOKUP('Données projet'!$B$12,Paramètres!$A$1:$I$89,3,0)*VLOOKUP('Données projet'!$B$12,Paramètres!$A$1:$I$89,5,0)</f>
        <v>#N/A</v>
      </c>
      <c r="CA85" s="13" t="e">
        <f t="shared" si="93"/>
        <v>#N/A</v>
      </c>
      <c r="CB85" s="20" t="e">
        <f t="shared" si="64"/>
        <v>#N/A</v>
      </c>
      <c r="CC85" s="59" t="e">
        <f t="shared" si="65"/>
        <v>#N/A</v>
      </c>
      <c r="CD85" s="59" t="e">
        <f ca="1">AVERAGE(OFFSET($CC$3,0,0,'Données projet'!$E$12+1,1))-AVERAGE(OFFSET($H$3,0,0,'Données projet'!$E$12+1,1))</f>
        <v>#N/A</v>
      </c>
      <c r="CE85" s="59" t="e">
        <f t="shared" si="94"/>
        <v>#N/A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 t="e">
        <f>EXP(-LN(2)/35)*CK84+(1-EXP(-LN(2)/35))/(LN(2)/35)*CG85*CH85*VLOOKUP('Données projet'!$B$12,Paramètres!$A$1:$I$89,3,0)*0.475*44/12</f>
        <v>#N/A</v>
      </c>
      <c r="CL85" s="21" t="e">
        <f>EXP(-LN(2)/25)*CL84+(1-EXP(-LN(2)/25))/(LN(2)/25)*Calculateur!CG85*Calculateur!CI85*VLOOKUP('Données projet'!$B$12,Paramètres!$A$1:$I$89,3,0)*0.475*44/12</f>
        <v>#N/A</v>
      </c>
      <c r="CM85" s="21" t="e">
        <f>EXP(-LN(2)/2)*CM84+(1-EXP(-LN(2)/2))/(LN(2)/2)*CG85*CJ85*VLOOKUP('Données projet'!$B$12,Paramètres!$A$1:$I$89,3,0)*0.475*44/12</f>
        <v>#N/A</v>
      </c>
      <c r="CN85" s="22" t="e">
        <f t="shared" si="66"/>
        <v>#N/A</v>
      </c>
      <c r="CO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0</v>
      </c>
      <c r="CT85" s="12">
        <f>IF('Données projet'!$A$140&gt;35,CT84+CS85-DB84,IF(A85&lt;'Données projet'!$A$140,$CQ$205^A85,IF(A85='Données projet'!$A$140,'Données projet'!$B$140,CT84+CS85-DB84)))</f>
        <v>0</v>
      </c>
      <c r="CU85" s="17" t="e">
        <f>CT85*VLOOKUP('Données projet'!$B$13,Paramètres!$A$1:$I$89,3,0)*VLOOKUP('Données projet'!$B$13,Paramètres!$A$1:$I$89,5,0)</f>
        <v>#N/A</v>
      </c>
      <c r="CV85" s="13" t="e">
        <f t="shared" si="95"/>
        <v>#N/A</v>
      </c>
      <c r="CW85" s="20" t="e">
        <f t="shared" si="67"/>
        <v>#N/A</v>
      </c>
      <c r="CX85" s="59" t="e">
        <f t="shared" si="68"/>
        <v>#N/A</v>
      </c>
      <c r="CY85" s="59" t="e">
        <f ca="1">AVERAGE(OFFSET($CX$3,0,0,'Données projet'!$E$13+1,1))-AVERAGE(OFFSET($H$3,0,0,'Données projet'!$E$13+1,1))</f>
        <v>#N/A</v>
      </c>
      <c r="CZ85" s="59" t="e">
        <f t="shared" si="96"/>
        <v>#N/A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 t="e">
        <f>EXP(-LN(2)/35)*DF84+(1-EXP(-LN(2)/35))/(LN(2)/35)*DB85*DC85*VLOOKUP('Données projet'!$B$13,Paramètres!$A$1:$I$89,3,0)*0.475*44/12</f>
        <v>#N/A</v>
      </c>
      <c r="DG85" s="21" t="e">
        <f>EXP(-LN(2)/25)*DG84+(1-EXP(-LN(2)/25))/(LN(2)/25)*Calculateur!DB85*Calculateur!DD85*VLOOKUP('Données projet'!$B$13,Paramètres!$A$1:$I$89,3,0)*0.475*44/12</f>
        <v>#N/A</v>
      </c>
      <c r="DH85" s="21" t="e">
        <f>EXP(-LN(2)/2)*DH84+(1-EXP(-LN(2)/2))/(LN(2)/2)*DB85*DE85*VLOOKUP('Données projet'!$B$13,Paramètres!$A$1:$I$89,3,0)*0.475*44/12</f>
        <v>#N/A</v>
      </c>
      <c r="DI85" s="22" t="e">
        <f t="shared" si="69"/>
        <v>#N/A</v>
      </c>
      <c r="DJ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0</v>
      </c>
      <c r="DP85" s="17" t="e">
        <f>DO85*VLOOKUP('Données projet'!$B$14,Paramètres!$A$1:$I$89,3,0)*VLOOKUP('Données projet'!$B$14,Paramètres!$A$1:$I$89,5,0)</f>
        <v>#N/A</v>
      </c>
      <c r="DQ85" s="13" t="e">
        <f t="shared" si="97"/>
        <v>#N/A</v>
      </c>
      <c r="DR85" s="20" t="e">
        <f t="shared" si="70"/>
        <v>#N/A</v>
      </c>
      <c r="DS85" s="59" t="e">
        <f t="shared" si="71"/>
        <v>#N/A</v>
      </c>
      <c r="DT85" s="59" t="e">
        <f ca="1">AVERAGE(OFFSET($DS$3,0,0,'Données projet'!$E$14+1,1))-AVERAGE(OFFSET($H$3,0,0,'Données projet'!$E$14+1,1))</f>
        <v>#N/A</v>
      </c>
      <c r="DU85" s="59" t="e">
        <f t="shared" si="98"/>
        <v>#N/A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 t="e">
        <f>EXP(-LN(2)/35)*EA84+(1-EXP(-LN(2)/35))/(LN(2)/35)*DW85*DX85*VLOOKUP('Données projet'!$B$14,Paramètres!$A$1:$I$89,3,0)*0.475*44/12</f>
        <v>#N/A</v>
      </c>
      <c r="EB85" s="21" t="e">
        <f>EXP(-LN(2)/25)*EB84+(1-EXP(-LN(2)/25))/(LN(2)/25)*Calculateur!DW85*Calculateur!DY85*VLOOKUP('Données projet'!$B$14,Paramètres!$A$1:$I$89,3,0)*0.475*44/12</f>
        <v>#N/A</v>
      </c>
      <c r="EC85" s="21" t="e">
        <f>EXP(-LN(2)/2)*EC84+(1-EXP(-LN(2)/2))/(LN(2)/2)*DW85*DZ85*VLOOKUP('Données projet'!$B$14,Paramètres!$A$1:$I$89,3,0)*0.475*44/12</f>
        <v>#N/A</v>
      </c>
      <c r="ED85" s="22" t="e">
        <f t="shared" si="72"/>
        <v>#N/A</v>
      </c>
      <c r="EE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0</v>
      </c>
      <c r="EK85" s="17" t="e">
        <f>EJ85*VLOOKUP('Données projet'!$B$15,Paramètres!$A$1:$I$89,3,0)*VLOOKUP('Données projet'!$B$15,Paramètres!$A$1:$I$89,5,0)</f>
        <v>#N/A</v>
      </c>
      <c r="EL85" s="13" t="e">
        <f t="shared" si="99"/>
        <v>#N/A</v>
      </c>
      <c r="EM85" s="20" t="e">
        <f t="shared" si="73"/>
        <v>#N/A</v>
      </c>
      <c r="EN85" s="59" t="e">
        <f t="shared" si="74"/>
        <v>#N/A</v>
      </c>
      <c r="EO85" s="59" t="e">
        <f ca="1">AVERAGE(OFFSET($EN$3,0,0,'Données projet'!$E$15+1,1))-AVERAGE(OFFSET($H$3,0,0,'Données projet'!$E$15+1,1))</f>
        <v>#N/A</v>
      </c>
      <c r="EP85" s="59" t="e">
        <f t="shared" si="100"/>
        <v>#N/A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 t="e">
        <f>EXP(-LN(2)/35)*EV84+(1-EXP(-LN(2)/35))/(LN(2)/35)*ER85*ES85*VLOOKUP('Données projet'!$B$15,Paramètres!$A$1:$I$89,3,0)*0.475*44/12</f>
        <v>#N/A</v>
      </c>
      <c r="EW85" s="21" t="e">
        <f>EXP(-LN(2)/25)*EW84+(1-EXP(-LN(2)/25))/(LN(2)/25)*Calculateur!ER85*Calculateur!ET85*VLOOKUP('Données projet'!$B$15,Paramètres!$A$1:$I$89,3,0)*0.475*44/12</f>
        <v>#N/A</v>
      </c>
      <c r="EX85" s="21" t="e">
        <f>EXP(-LN(2)/2)*EX84+(1-EXP(-LN(2)/2))/(LN(2)/2)*ER85*EU85*VLOOKUP('Données projet'!$B$15,Paramètres!$A$1:$I$89,3,0)*0.475*44/12</f>
        <v>#N/A</v>
      </c>
      <c r="EY85" s="22" t="e">
        <f t="shared" si="75"/>
        <v>#N/A</v>
      </c>
      <c r="EZ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9" t="e">
        <f t="shared" si="77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45">
      <c r="A86" s="10">
        <f t="shared" si="85"/>
        <v>83</v>
      </c>
      <c r="B86" s="73">
        <f>'Scénario référence'!$B$16*5+'Scénario référence'!$B$17*0+'Scénario référence'!$B$18*5</f>
        <v>0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73.803600000000102</v>
      </c>
      <c r="D86" s="11">
        <f t="shared" si="86"/>
        <v>20.615097106698798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">
        <f>IF(OR('Scénario référence'!$F$8&gt;0,'Scénario référence'!$F$9&gt;0),('Scénario référence'!$F$8+'Scénario référence'!$F$9)*10,0)</f>
        <v>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728.8460829289038</v>
      </c>
      <c r="H86" s="67">
        <f t="shared" si="56"/>
        <v>421.1125641275006</v>
      </c>
      <c r="I86" s="7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8.8608333333333373</v>
      </c>
      <c r="N86" s="13">
        <f>IF('Données projet'!$A$36&gt;35,N85+M86-V85,IF(A86&lt;'Données projet'!$A$36,$K$205^A86,IF(A86='Données projet'!$A$36,'Données projet'!$B$36,N85+M86-V85)))</f>
        <v>485.60916666666662</v>
      </c>
      <c r="O86" s="13">
        <f>N86*VLOOKUP('Données projet'!$B$9,Paramètres!$A$1:$I$89,3,0)*VLOOKUP('Données projet'!$B$9,Paramètres!$A$1:$I$89,5,0)</f>
        <v>271.45552416666663</v>
      </c>
      <c r="P86" s="13">
        <f t="shared" si="87"/>
        <v>65.158071528928332</v>
      </c>
      <c r="Q86" s="20">
        <f t="shared" si="54"/>
        <v>586.26867916982792</v>
      </c>
      <c r="R86" s="59">
        <f t="shared" si="55"/>
        <v>879.60201250316118</v>
      </c>
      <c r="S86" s="59">
        <f ca="1">AVERAGE(OFFSET($R$3,0,0,'Données projet'!$E$9+1,1))-AVERAGE(OFFSET($H$3,0,0,'Données projet'!$E$9+1,1))</f>
        <v>280.69347314340195</v>
      </c>
      <c r="T86" s="59">
        <f t="shared" si="88"/>
        <v>152.40533828556482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38.405439569933598</v>
      </c>
      <c r="AA86" s="21">
        <f>EXP(-LN(2)/25)*AA85+(1-EXP(-LN(2)/25))/(LN(2)/25)*Calculateur!V86*Calculateur!X86*VLOOKUP('Données projet'!$B$9,Paramètres!$A$1:$I$89,3,0)*0.475*44/12</f>
        <v>16.1922212080969</v>
      </c>
      <c r="AB86" s="21">
        <f>EXP(-LN(2)/2)*AB85+(1-EXP(-LN(2)/2))/(LN(2)/2)*V86*Y86*VLOOKUP('Données projet'!$B$9,Paramètres!$A$1:$I$89,3,0)*0.475*44/12</f>
        <v>0.1855593317344979</v>
      </c>
      <c r="AC86" s="22">
        <f t="shared" si="57"/>
        <v>54.783220109764997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0</v>
      </c>
      <c r="AI86" s="13">
        <f>IF('Données projet'!$A$62&gt;35,AI85+AH86-AQ85,IF(A86&lt;'Données projet'!$A$62,$AF$205^A86,IF(A86='Données projet'!$A$62,'Données projet'!$B$62,AI85+AH86-AQ85)))</f>
        <v>0</v>
      </c>
      <c r="AJ86" s="13">
        <f>AI86*VLOOKUP('Données projet'!$B$10,Paramètres!$A$1:$I$89,3,0)*VLOOKUP('Données projet'!$B$10,Paramètres!$A$1:$I$89,5,0)</f>
        <v>0</v>
      </c>
      <c r="AK86" s="13" t="e">
        <f t="shared" si="89"/>
        <v>#NUM!</v>
      </c>
      <c r="AL86" s="20" t="e">
        <f t="shared" si="58"/>
        <v>#NUM!</v>
      </c>
      <c r="AM86" s="59" t="e">
        <f t="shared" si="59"/>
        <v>#NUM!</v>
      </c>
      <c r="AN86" s="59">
        <f ca="1">AVERAGE(OFFSET($AM$3,0,0,'Données projet'!$E$10+1,1))-AVERAGE(OFFSET($H$3,0,0,'Données projet'!$E$10+1,1))</f>
        <v>179.4725256147085</v>
      </c>
      <c r="AO86" s="59">
        <f t="shared" si="90"/>
        <v>282.16750121151176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91.560103343805636</v>
      </c>
      <c r="AV86" s="21">
        <f>EXP(-LN(2)/25)*AV85+(1-EXP(-LN(2)/25))/(LN(2)/25)*Calculateur!AQ86*Calculateur!AS86*VLOOKUP('Données projet'!$B$10,Paramètres!$A$1:$I$89,3,0)*0.475*44/12</f>
        <v>25.82449636329104</v>
      </c>
      <c r="AW86" s="21">
        <f>EXP(-LN(2)/2)*AW85+(1-EXP(-LN(2)/2))/(LN(2)/2)*AQ86*AT86*VLOOKUP('Données projet'!$B$10,Paramètres!$A$1:$I$89,3,0)*0.475*44/12</f>
        <v>1.488804968001925E-2</v>
      </c>
      <c r="AX86" s="21">
        <f t="shared" si="60"/>
        <v>117.39948775677669</v>
      </c>
      <c r="AY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10.385555555555555</v>
      </c>
      <c r="BD86" s="12">
        <f>IF('Données projet'!$A$88&gt;35,BD85+BC86-BL85,IF(A86&lt;'Données projet'!$A$88,$BA$205^A86,IF(A86='Données projet'!$A$88,'Données projet'!$B$88,BD85+BC86-BL85)))</f>
        <v>285.41444444444494</v>
      </c>
      <c r="BE86" s="13">
        <f>BD86*VLOOKUP('Données projet'!$B$11,Paramètres!$A$1:$I$89,3,0)*VLOOKUP('Données projet'!$B$11,Paramètres!$A$1:$I$89,5,0)</f>
        <v>244.88559333333376</v>
      </c>
      <c r="BF86" s="13">
        <f t="shared" si="91"/>
        <v>59.489453653740007</v>
      </c>
      <c r="BG86" s="20">
        <f t="shared" si="61"/>
        <v>530.11987350248683</v>
      </c>
      <c r="BH86" s="59">
        <f t="shared" si="62"/>
        <v>823.45320683582008</v>
      </c>
      <c r="BI86" s="59">
        <f ca="1">AVERAGE(OFFSET($BH$3,0,0,'Données projet'!$E$11+1,1))-AVERAGE(OFFSET($H$3,0,0,'Données projet'!$E$11+1,1))</f>
        <v>312.89478437044261</v>
      </c>
      <c r="BJ86" s="59">
        <f t="shared" si="92"/>
        <v>276.16555507854571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>
        <f>EXP(-LN(2)/35)*BP85+(1-EXP(-LN(2)/35))/(LN(2)/35)*BL86*BM86*VLOOKUP('Données projet'!$B$11,Paramètres!$A$1:$I$89,3,0)*0.475*44/12</f>
        <v>0</v>
      </c>
      <c r="BQ86" s="21">
        <f>EXP(-LN(2)/25)*BQ85+(1-EXP(-LN(2)/25))/(LN(2)/25)*Calculateur!BL86*Calculateur!BN86*VLOOKUP('Données projet'!$B$11,Paramètres!$A$1:$I$89,3,0)*0.475*44/12</f>
        <v>44.589835639756053</v>
      </c>
      <c r="BR86" s="21">
        <f>EXP(-LN(2)/2)*BR85+(1-EXP(-LN(2)/2))/(LN(2)/2)*BL86*BO86*VLOOKUP('Données projet'!$B$11,Paramètres!$A$1:$I$89,3,0)*0.475*44/12</f>
        <v>1.9271610709747156</v>
      </c>
      <c r="BS86" s="22">
        <f t="shared" si="63"/>
        <v>46.516996710730766</v>
      </c>
      <c r="BT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0</v>
      </c>
      <c r="BY86" s="12">
        <f>IF('Données projet'!$A$114&gt;35,BY85+BX86-CG85,IF(A86&lt;'Données projet'!$A$114,$BV$205^A86,IF(A86='Données projet'!$A$114,'Données projet'!$B$114,BY85+BX86-CG85)))</f>
        <v>0</v>
      </c>
      <c r="BZ86" s="13" t="e">
        <f>BY86*VLOOKUP('Données projet'!$B$12,Paramètres!$A$1:$I$89,3,0)*VLOOKUP('Données projet'!$B$12,Paramètres!$A$1:$I$89,5,0)</f>
        <v>#N/A</v>
      </c>
      <c r="CA86" s="13" t="e">
        <f t="shared" si="93"/>
        <v>#N/A</v>
      </c>
      <c r="CB86" s="20" t="e">
        <f t="shared" si="64"/>
        <v>#N/A</v>
      </c>
      <c r="CC86" s="59" t="e">
        <f t="shared" si="65"/>
        <v>#N/A</v>
      </c>
      <c r="CD86" s="59" t="e">
        <f ca="1">AVERAGE(OFFSET($CC$3,0,0,'Données projet'!$E$12+1,1))-AVERAGE(OFFSET($H$3,0,0,'Données projet'!$E$12+1,1))</f>
        <v>#N/A</v>
      </c>
      <c r="CE86" s="59" t="e">
        <f t="shared" si="94"/>
        <v>#N/A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 t="e">
        <f>EXP(-LN(2)/35)*CK85+(1-EXP(-LN(2)/35))/(LN(2)/35)*CG86*CH86*VLOOKUP('Données projet'!$B$12,Paramètres!$A$1:$I$89,3,0)*0.475*44/12</f>
        <v>#N/A</v>
      </c>
      <c r="CL86" s="21" t="e">
        <f>EXP(-LN(2)/25)*CL85+(1-EXP(-LN(2)/25))/(LN(2)/25)*Calculateur!CG86*Calculateur!CI86*VLOOKUP('Données projet'!$B$12,Paramètres!$A$1:$I$89,3,0)*0.475*44/12</f>
        <v>#N/A</v>
      </c>
      <c r="CM86" s="21" t="e">
        <f>EXP(-LN(2)/2)*CM85+(1-EXP(-LN(2)/2))/(LN(2)/2)*CG86*CJ86*VLOOKUP('Données projet'!$B$12,Paramètres!$A$1:$I$89,3,0)*0.475*44/12</f>
        <v>#N/A</v>
      </c>
      <c r="CN86" s="22" t="e">
        <f t="shared" si="66"/>
        <v>#N/A</v>
      </c>
      <c r="CO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0</v>
      </c>
      <c r="CT86" s="12">
        <f>IF('Données projet'!$A$140&gt;35,CT85+CS86-DB85,IF(A86&lt;'Données projet'!$A$140,$CQ$205^A86,IF(A86='Données projet'!$A$140,'Données projet'!$B$140,CT85+CS86-DB85)))</f>
        <v>0</v>
      </c>
      <c r="CU86" s="17" t="e">
        <f>CT86*VLOOKUP('Données projet'!$B$13,Paramètres!$A$1:$I$89,3,0)*VLOOKUP('Données projet'!$B$13,Paramètres!$A$1:$I$89,5,0)</f>
        <v>#N/A</v>
      </c>
      <c r="CV86" s="13" t="e">
        <f t="shared" si="95"/>
        <v>#N/A</v>
      </c>
      <c r="CW86" s="20" t="e">
        <f t="shared" si="67"/>
        <v>#N/A</v>
      </c>
      <c r="CX86" s="59" t="e">
        <f t="shared" si="68"/>
        <v>#N/A</v>
      </c>
      <c r="CY86" s="59" t="e">
        <f ca="1">AVERAGE(OFFSET($CX$3,0,0,'Données projet'!$E$13+1,1))-AVERAGE(OFFSET($H$3,0,0,'Données projet'!$E$13+1,1))</f>
        <v>#N/A</v>
      </c>
      <c r="CZ86" s="59" t="e">
        <f t="shared" si="96"/>
        <v>#N/A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 t="e">
        <f>EXP(-LN(2)/35)*DF85+(1-EXP(-LN(2)/35))/(LN(2)/35)*DB86*DC86*VLOOKUP('Données projet'!$B$13,Paramètres!$A$1:$I$89,3,0)*0.475*44/12</f>
        <v>#N/A</v>
      </c>
      <c r="DG86" s="21" t="e">
        <f>EXP(-LN(2)/25)*DG85+(1-EXP(-LN(2)/25))/(LN(2)/25)*Calculateur!DB86*Calculateur!DD86*VLOOKUP('Données projet'!$B$13,Paramètres!$A$1:$I$89,3,0)*0.475*44/12</f>
        <v>#N/A</v>
      </c>
      <c r="DH86" s="21" t="e">
        <f>EXP(-LN(2)/2)*DH85+(1-EXP(-LN(2)/2))/(LN(2)/2)*DB86*DE86*VLOOKUP('Données projet'!$B$13,Paramètres!$A$1:$I$89,3,0)*0.475*44/12</f>
        <v>#N/A</v>
      </c>
      <c r="DI86" s="22" t="e">
        <f t="shared" si="69"/>
        <v>#N/A</v>
      </c>
      <c r="DJ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0</v>
      </c>
      <c r="DP86" s="17" t="e">
        <f>DO86*VLOOKUP('Données projet'!$B$14,Paramètres!$A$1:$I$89,3,0)*VLOOKUP('Données projet'!$B$14,Paramètres!$A$1:$I$89,5,0)</f>
        <v>#N/A</v>
      </c>
      <c r="DQ86" s="13" t="e">
        <f t="shared" si="97"/>
        <v>#N/A</v>
      </c>
      <c r="DR86" s="20" t="e">
        <f t="shared" si="70"/>
        <v>#N/A</v>
      </c>
      <c r="DS86" s="59" t="e">
        <f t="shared" si="71"/>
        <v>#N/A</v>
      </c>
      <c r="DT86" s="59" t="e">
        <f ca="1">AVERAGE(OFFSET($DS$3,0,0,'Données projet'!$E$14+1,1))-AVERAGE(OFFSET($H$3,0,0,'Données projet'!$E$14+1,1))</f>
        <v>#N/A</v>
      </c>
      <c r="DU86" s="59" t="e">
        <f t="shared" si="98"/>
        <v>#N/A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 t="e">
        <f>EXP(-LN(2)/35)*EA85+(1-EXP(-LN(2)/35))/(LN(2)/35)*DW86*DX86*VLOOKUP('Données projet'!$B$14,Paramètres!$A$1:$I$89,3,0)*0.475*44/12</f>
        <v>#N/A</v>
      </c>
      <c r="EB86" s="21" t="e">
        <f>EXP(-LN(2)/25)*EB85+(1-EXP(-LN(2)/25))/(LN(2)/25)*Calculateur!DW86*Calculateur!DY86*VLOOKUP('Données projet'!$B$14,Paramètres!$A$1:$I$89,3,0)*0.475*44/12</f>
        <v>#N/A</v>
      </c>
      <c r="EC86" s="21" t="e">
        <f>EXP(-LN(2)/2)*EC85+(1-EXP(-LN(2)/2))/(LN(2)/2)*DW86*DZ86*VLOOKUP('Données projet'!$B$14,Paramètres!$A$1:$I$89,3,0)*0.475*44/12</f>
        <v>#N/A</v>
      </c>
      <c r="ED86" s="22" t="e">
        <f t="shared" si="72"/>
        <v>#N/A</v>
      </c>
      <c r="EE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0</v>
      </c>
      <c r="EK86" s="17" t="e">
        <f>EJ86*VLOOKUP('Données projet'!$B$15,Paramètres!$A$1:$I$89,3,0)*VLOOKUP('Données projet'!$B$15,Paramètres!$A$1:$I$89,5,0)</f>
        <v>#N/A</v>
      </c>
      <c r="EL86" s="13" t="e">
        <f t="shared" si="99"/>
        <v>#N/A</v>
      </c>
      <c r="EM86" s="20" t="e">
        <f t="shared" si="73"/>
        <v>#N/A</v>
      </c>
      <c r="EN86" s="59" t="e">
        <f t="shared" si="74"/>
        <v>#N/A</v>
      </c>
      <c r="EO86" s="59" t="e">
        <f ca="1">AVERAGE(OFFSET($EN$3,0,0,'Données projet'!$E$15+1,1))-AVERAGE(OFFSET($H$3,0,0,'Données projet'!$E$15+1,1))</f>
        <v>#N/A</v>
      </c>
      <c r="EP86" s="59" t="e">
        <f t="shared" si="100"/>
        <v>#N/A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 t="e">
        <f>EXP(-LN(2)/35)*EV85+(1-EXP(-LN(2)/35))/(LN(2)/35)*ER86*ES86*VLOOKUP('Données projet'!$B$15,Paramètres!$A$1:$I$89,3,0)*0.475*44/12</f>
        <v>#N/A</v>
      </c>
      <c r="EW86" s="21" t="e">
        <f>EXP(-LN(2)/25)*EW85+(1-EXP(-LN(2)/25))/(LN(2)/25)*Calculateur!ER86*Calculateur!ET86*VLOOKUP('Données projet'!$B$15,Paramètres!$A$1:$I$89,3,0)*0.475*44/12</f>
        <v>#N/A</v>
      </c>
      <c r="EX86" s="21" t="e">
        <f>EXP(-LN(2)/2)*EX85+(1-EXP(-LN(2)/2))/(LN(2)/2)*ER86*EU86*VLOOKUP('Données projet'!$B$15,Paramètres!$A$1:$I$89,3,0)*0.475*44/12</f>
        <v>#N/A</v>
      </c>
      <c r="EY86" s="22" t="e">
        <f t="shared" si="75"/>
        <v>#N/A</v>
      </c>
      <c r="EZ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9" t="e">
        <f t="shared" si="77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45">
      <c r="A87" s="10">
        <f t="shared" si="85"/>
        <v>84</v>
      </c>
      <c r="B87" s="73">
        <f>'Scénario référence'!$B$16*5+'Scénario référence'!$B$17*0+'Scénario référence'!$B$18*5</f>
        <v>0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74.692800000000105</v>
      </c>
      <c r="D87" s="11">
        <f t="shared" si="86"/>
        <v>20.834407756242857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">
        <f>IF(OR('Scénario référence'!$F$8&gt;0,'Scénario référence'!$F$9&gt;0),('Scénario référence'!$F$8+'Scénario référence'!$F$9)*10,0)</f>
        <v>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737.40300724117378</v>
      </c>
      <c r="H87" s="67">
        <f t="shared" si="56"/>
        <v>423.0432201754565</v>
      </c>
      <c r="I87" s="7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>
        <f>VLOOKUP(A87,'Données projet'!$A$35:$I$55,2,0)</f>
        <v>494.47</v>
      </c>
      <c r="L87" s="12">
        <f>VLOOKUP(A87,'Données projet'!$A$35:$I$55,9,0)</f>
        <v>8.8608333333333373</v>
      </c>
      <c r="M87" s="12">
        <f t="array" ref="M87">INDEX(L:L,MIN(IF(ISNUMBER(L87:L283),ROW(L87:L283),"")))</f>
        <v>8.8608333333333373</v>
      </c>
      <c r="N87" s="13">
        <f>IF('Données projet'!$A$36&gt;35,N86+M87-V86,IF(A87&lt;'Données projet'!$A$36,$K$205^A87,IF(A87='Données projet'!$A$36,'Données projet'!$B$36,N86+M87-V86)))</f>
        <v>494.46999999999997</v>
      </c>
      <c r="O87" s="13">
        <f>N87*VLOOKUP('Données projet'!$B$9,Paramètres!$A$1:$I$89,3,0)*VLOOKUP('Données projet'!$B$9,Paramètres!$A$1:$I$89,5,0)</f>
        <v>276.40872999999999</v>
      </c>
      <c r="P87" s="13">
        <f t="shared" si="87"/>
        <v>66.207501045067801</v>
      </c>
      <c r="Q87" s="20">
        <f t="shared" si="54"/>
        <v>596.72326907015974</v>
      </c>
      <c r="R87" s="59">
        <f t="shared" si="55"/>
        <v>890.05660240349312</v>
      </c>
      <c r="S87" s="59">
        <f ca="1">AVERAGE(OFFSET($R$3,0,0,'Données projet'!$E$9+1,1))-AVERAGE(OFFSET($H$3,0,0,'Données projet'!$E$9+1,1))</f>
        <v>280.69347314340195</v>
      </c>
      <c r="T87" s="59">
        <f t="shared" si="88"/>
        <v>152.40533828556482</v>
      </c>
      <c r="U87" s="15">
        <f>IF(ISNA(VLOOKUP(A87,'Données projet'!$A$35:$I$55,3,0)),0,VLOOKUP(A87,'Données projet'!$A$35:$I$55,3,0))</f>
        <v>6</v>
      </c>
      <c r="V87" s="15">
        <f>IF(ISNA(VLOOKUP(A87,'Données projet'!$A$35:$I$55,4,0)),0,VLOOKUP(A87,'Données projet'!$A$35:$I$55,4,0))</f>
        <v>70.220000000000027</v>
      </c>
      <c r="W87" s="16">
        <f>IF(ISNA(VLOOKUP(A87,'Données projet'!$A$35:$I$55,5,0)),0%,VLOOKUP(A87,'Données projet'!$A$35:$I$55,5,0)*VLOOKUP('Données projet'!$B$9,Paramètres!$A$1:$I$89,7,0))</f>
        <v>0.33</v>
      </c>
      <c r="X87" s="16">
        <f>IF(ISNA(VLOOKUP(A87,'Données projet'!$A$35:$I$55,6,0)),0%,VLOOKUP(A87,'Données projet'!$A$35:$I$55,6,0)*VLOOKUP('Données projet'!$B$9,Paramètres!$A$1:$I$89,7,0))</f>
        <v>0.11000000000000001</v>
      </c>
      <c r="Y87" s="16">
        <f>IF(ISNA(VLOOKUP(A87,'Données projet'!$A$35:$I$55,7,0)),0%,VLOOKUP(A87,'Données projet'!$A$35:$I$55,7,0))</f>
        <v>0.2</v>
      </c>
      <c r="Z87" s="21">
        <f>EXP(-LN(2)/35)*Z86+(1-EXP(-LN(2)/35))/(LN(2)/35)*V87*W87*VLOOKUP('Données projet'!$B$9,Paramètres!$A$1:$I$89,3,0)*0.475*44/12</f>
        <v>54.835962977538443</v>
      </c>
      <c r="AA87" s="21">
        <f>EXP(-LN(2)/25)*AA86+(1-EXP(-LN(2)/25))/(LN(2)/25)*Calculateur!V87*Calculateur!X87*VLOOKUP('Données projet'!$B$9,Paramètres!$A$1:$I$89,3,0)*0.475*44/12</f>
        <v>21.454768118053046</v>
      </c>
      <c r="AB87" s="21">
        <f>EXP(-LN(2)/2)*AB86+(1-EXP(-LN(2)/2))/(LN(2)/2)*V87*Y87*VLOOKUP('Données projet'!$B$9,Paramètres!$A$1:$I$89,3,0)*0.475*44/12</f>
        <v>9.0199086078139938</v>
      </c>
      <c r="AC87" s="22">
        <f t="shared" si="57"/>
        <v>85.310639703405485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0</v>
      </c>
      <c r="AI87" s="13">
        <f>IF('Données projet'!$A$62&gt;35,AI86+AH87-AQ86,IF(A87&lt;'Données projet'!$A$62,$AF$205^A87,IF(A87='Données projet'!$A$62,'Données projet'!$B$62,AI86+AH87-AQ86)))</f>
        <v>0</v>
      </c>
      <c r="AJ87" s="13">
        <f>AI87*VLOOKUP('Données projet'!$B$10,Paramètres!$A$1:$I$89,3,0)*VLOOKUP('Données projet'!$B$10,Paramètres!$A$1:$I$89,5,0)</f>
        <v>0</v>
      </c>
      <c r="AK87" s="13" t="e">
        <f t="shared" si="89"/>
        <v>#NUM!</v>
      </c>
      <c r="AL87" s="20" t="e">
        <f t="shared" si="58"/>
        <v>#NUM!</v>
      </c>
      <c r="AM87" s="59" t="e">
        <f t="shared" si="59"/>
        <v>#NUM!</v>
      </c>
      <c r="AN87" s="59">
        <f ca="1">AVERAGE(OFFSET($AM$3,0,0,'Données projet'!$E$10+1,1))-AVERAGE(OFFSET($H$3,0,0,'Données projet'!$E$10+1,1))</f>
        <v>179.4725256147085</v>
      </c>
      <c r="AO87" s="59">
        <f t="shared" si="90"/>
        <v>282.16750121151176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89.764665563382295</v>
      </c>
      <c r="AV87" s="21">
        <f>EXP(-LN(2)/25)*AV86+(1-EXP(-LN(2)/25))/(LN(2)/25)*Calculateur!AQ87*Calculateur!AS87*VLOOKUP('Données projet'!$B$10,Paramètres!$A$1:$I$89,3,0)*0.475*44/12</f>
        <v>25.118324152185604</v>
      </c>
      <c r="AW87" s="21">
        <f>EXP(-LN(2)/2)*AW86+(1-EXP(-LN(2)/2))/(LN(2)/2)*AQ87*AT87*VLOOKUP('Données projet'!$B$10,Paramètres!$A$1:$I$89,3,0)*0.475*44/12</f>
        <v>1.0527440887383822E-2</v>
      </c>
      <c r="AX87" s="21">
        <f t="shared" si="60"/>
        <v>114.89351715645529</v>
      </c>
      <c r="AY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>
        <f>VLOOKUP(A87,'Données projet'!$A$87:$I$107,2,0)</f>
        <v>295.8</v>
      </c>
      <c r="BB87" s="12">
        <f>VLOOKUP(A87,'Données projet'!$A$87:$I$107,9,0)</f>
        <v>10.385555555555555</v>
      </c>
      <c r="BC87" s="12">
        <f t="array" ref="BC87">INDEX(BB:BB,MIN(IF(ISNUMBER(BB87:BB283),ROW(BB87:BB283),"")))</f>
        <v>10.385555555555555</v>
      </c>
      <c r="BD87" s="12">
        <f>IF('Données projet'!$A$88&gt;35,BD86+BC87-BL86,IF(A87&lt;'Données projet'!$A$88,$BA$205^A87,IF(A87='Données projet'!$A$88,'Données projet'!$B$88,BD86+BC87-BL86)))</f>
        <v>295.80000000000052</v>
      </c>
      <c r="BE87" s="13">
        <f>BD87*VLOOKUP('Données projet'!$B$11,Paramètres!$A$1:$I$89,3,0)*VLOOKUP('Données projet'!$B$11,Paramètres!$A$1:$I$89,5,0)</f>
        <v>253.79640000000049</v>
      </c>
      <c r="BF87" s="13">
        <f t="shared" si="91"/>
        <v>61.398168322280867</v>
      </c>
      <c r="BG87" s="20">
        <f t="shared" si="61"/>
        <v>548.96387316130676</v>
      </c>
      <c r="BH87" s="59">
        <f t="shared" si="62"/>
        <v>842.29720649464002</v>
      </c>
      <c r="BI87" s="59">
        <f ca="1">AVERAGE(OFFSET($BH$3,0,0,'Données projet'!$E$11+1,1))-AVERAGE(OFFSET($H$3,0,0,'Données projet'!$E$11+1,1))</f>
        <v>312.89478437044261</v>
      </c>
      <c r="BJ87" s="59">
        <f t="shared" si="92"/>
        <v>276.16555507854571</v>
      </c>
      <c r="BK87" s="15">
        <f>IF(ISNA(VLOOKUP(A87,'Données projet'!$A$87:$I$107,3,0)),0,VLOOKUP(A87,'Données projet'!$A$87:$I$107,3,0))</f>
        <v>4</v>
      </c>
      <c r="BL87" s="15">
        <f>IF(ISNA(VLOOKUP(A87,'Données projet'!$A$87:$I$107,4,0)),0,VLOOKUP(A87,'Données projet'!$A$87:$I$107,4,0))</f>
        <v>64.950000000000017</v>
      </c>
      <c r="BM87" s="16">
        <f>IF(ISNA(VLOOKUP(A87,'Données projet'!$A$87:$I$107,5,0)),0%,VLOOKUP(A87,'Données projet'!$A$87:$I$107,5,0)*VLOOKUP('Données projet'!$B$11,Paramètres!$A$1:$I$89,7,0))</f>
        <v>0.159</v>
      </c>
      <c r="BN87" s="16">
        <f>IF(ISNA(VLOOKUP(A87,'Données projet'!$A$87:$I$107,6,0)),0%,VLOOKUP(A87,'Données projet'!$A$87:$I$107,6,0)*VLOOKUP('Données projet'!$B$11,Paramètres!$A$1:$I$89,7,0))</f>
        <v>0.10600000000000001</v>
      </c>
      <c r="BO87" s="16">
        <f>IF(ISNA(VLOOKUP(A87,'Données projet'!$A$87:$I$107,7,0)),0%,VLOOKUP(A87,'Données projet'!$A$87:$I$107,7,0))</f>
        <v>0.2</v>
      </c>
      <c r="BP87" s="21">
        <f>EXP(-LN(2)/35)*BP86+(1-EXP(-LN(2)/35))/(LN(2)/35)*BL87*BM87*VLOOKUP('Données projet'!$B$11,Paramètres!$A$1:$I$89,3,0)*0.475*44/12</f>
        <v>9.7951406835760384</v>
      </c>
      <c r="BQ87" s="21">
        <f>EXP(-LN(2)/25)*BQ86+(1-EXP(-LN(2)/25))/(LN(2)/25)*Calculateur!BL87*Calculateur!BN87*VLOOKUP('Données projet'!$B$11,Paramètres!$A$1:$I$89,3,0)*0.475*44/12</f>
        <v>49.874906560951779</v>
      </c>
      <c r="BR87" s="21">
        <f>EXP(-LN(2)/2)*BR86+(1-EXP(-LN(2)/2))/(LN(2)/2)*BL87*BO87*VLOOKUP('Données projet'!$B$11,Paramètres!$A$1:$I$89,3,0)*0.475*44/12</f>
        <v>11.878712406306143</v>
      </c>
      <c r="BS87" s="22">
        <f t="shared" si="63"/>
        <v>71.548759650833958</v>
      </c>
      <c r="BT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0</v>
      </c>
      <c r="BY87" s="12">
        <f>IF('Données projet'!$A$114&gt;35,BY86+BX87-CG86,IF(A87&lt;'Données projet'!$A$114,$BV$205^A87,IF(A87='Données projet'!$A$114,'Données projet'!$B$114,BY86+BX87-CG86)))</f>
        <v>0</v>
      </c>
      <c r="BZ87" s="13" t="e">
        <f>BY87*VLOOKUP('Données projet'!$B$12,Paramètres!$A$1:$I$89,3,0)*VLOOKUP('Données projet'!$B$12,Paramètres!$A$1:$I$89,5,0)</f>
        <v>#N/A</v>
      </c>
      <c r="CA87" s="13" t="e">
        <f t="shared" si="93"/>
        <v>#N/A</v>
      </c>
      <c r="CB87" s="20" t="e">
        <f t="shared" si="64"/>
        <v>#N/A</v>
      </c>
      <c r="CC87" s="59" t="e">
        <f t="shared" si="65"/>
        <v>#N/A</v>
      </c>
      <c r="CD87" s="59" t="e">
        <f ca="1">AVERAGE(OFFSET($CC$3,0,0,'Données projet'!$E$12+1,1))-AVERAGE(OFFSET($H$3,0,0,'Données projet'!$E$12+1,1))</f>
        <v>#N/A</v>
      </c>
      <c r="CE87" s="59" t="e">
        <f t="shared" si="94"/>
        <v>#N/A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 t="e">
        <f>EXP(-LN(2)/35)*CK86+(1-EXP(-LN(2)/35))/(LN(2)/35)*CG87*CH87*VLOOKUP('Données projet'!$B$12,Paramètres!$A$1:$I$89,3,0)*0.475*44/12</f>
        <v>#N/A</v>
      </c>
      <c r="CL87" s="21" t="e">
        <f>EXP(-LN(2)/25)*CL86+(1-EXP(-LN(2)/25))/(LN(2)/25)*Calculateur!CG87*Calculateur!CI87*VLOOKUP('Données projet'!$B$12,Paramètres!$A$1:$I$89,3,0)*0.475*44/12</f>
        <v>#N/A</v>
      </c>
      <c r="CM87" s="21" t="e">
        <f>EXP(-LN(2)/2)*CM86+(1-EXP(-LN(2)/2))/(LN(2)/2)*CG87*CJ87*VLOOKUP('Données projet'!$B$12,Paramètres!$A$1:$I$89,3,0)*0.475*44/12</f>
        <v>#N/A</v>
      </c>
      <c r="CN87" s="22" t="e">
        <f t="shared" si="66"/>
        <v>#N/A</v>
      </c>
      <c r="CO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0</v>
      </c>
      <c r="CT87" s="12">
        <f>IF('Données projet'!$A$140&gt;35,CT86+CS87-DB86,IF(A87&lt;'Données projet'!$A$140,$CQ$205^A87,IF(A87='Données projet'!$A$140,'Données projet'!$B$140,CT86+CS87-DB86)))</f>
        <v>0</v>
      </c>
      <c r="CU87" s="17" t="e">
        <f>CT87*VLOOKUP('Données projet'!$B$13,Paramètres!$A$1:$I$89,3,0)*VLOOKUP('Données projet'!$B$13,Paramètres!$A$1:$I$89,5,0)</f>
        <v>#N/A</v>
      </c>
      <c r="CV87" s="13" t="e">
        <f t="shared" si="95"/>
        <v>#N/A</v>
      </c>
      <c r="CW87" s="20" t="e">
        <f t="shared" si="67"/>
        <v>#N/A</v>
      </c>
      <c r="CX87" s="59" t="e">
        <f t="shared" si="68"/>
        <v>#N/A</v>
      </c>
      <c r="CY87" s="59" t="e">
        <f ca="1">AVERAGE(OFFSET($CX$3,0,0,'Données projet'!$E$13+1,1))-AVERAGE(OFFSET($H$3,0,0,'Données projet'!$E$13+1,1))</f>
        <v>#N/A</v>
      </c>
      <c r="CZ87" s="59" t="e">
        <f t="shared" si="96"/>
        <v>#N/A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 t="e">
        <f>EXP(-LN(2)/35)*DF86+(1-EXP(-LN(2)/35))/(LN(2)/35)*DB87*DC87*VLOOKUP('Données projet'!$B$13,Paramètres!$A$1:$I$89,3,0)*0.475*44/12</f>
        <v>#N/A</v>
      </c>
      <c r="DG87" s="21" t="e">
        <f>EXP(-LN(2)/25)*DG86+(1-EXP(-LN(2)/25))/(LN(2)/25)*Calculateur!DB87*Calculateur!DD87*VLOOKUP('Données projet'!$B$13,Paramètres!$A$1:$I$89,3,0)*0.475*44/12</f>
        <v>#N/A</v>
      </c>
      <c r="DH87" s="21" t="e">
        <f>EXP(-LN(2)/2)*DH86+(1-EXP(-LN(2)/2))/(LN(2)/2)*DB87*DE87*VLOOKUP('Données projet'!$B$13,Paramètres!$A$1:$I$89,3,0)*0.475*44/12</f>
        <v>#N/A</v>
      </c>
      <c r="DI87" s="22" t="e">
        <f t="shared" si="69"/>
        <v>#N/A</v>
      </c>
      <c r="DJ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0</v>
      </c>
      <c r="DP87" s="17" t="e">
        <f>DO87*VLOOKUP('Données projet'!$B$14,Paramètres!$A$1:$I$89,3,0)*VLOOKUP('Données projet'!$B$14,Paramètres!$A$1:$I$89,5,0)</f>
        <v>#N/A</v>
      </c>
      <c r="DQ87" s="13" t="e">
        <f t="shared" si="97"/>
        <v>#N/A</v>
      </c>
      <c r="DR87" s="20" t="e">
        <f t="shared" si="70"/>
        <v>#N/A</v>
      </c>
      <c r="DS87" s="59" t="e">
        <f t="shared" si="71"/>
        <v>#N/A</v>
      </c>
      <c r="DT87" s="59" t="e">
        <f ca="1">AVERAGE(OFFSET($DS$3,0,0,'Données projet'!$E$14+1,1))-AVERAGE(OFFSET($H$3,0,0,'Données projet'!$E$14+1,1))</f>
        <v>#N/A</v>
      </c>
      <c r="DU87" s="59" t="e">
        <f t="shared" si="98"/>
        <v>#N/A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 t="e">
        <f>EXP(-LN(2)/35)*EA86+(1-EXP(-LN(2)/35))/(LN(2)/35)*DW87*DX87*VLOOKUP('Données projet'!$B$14,Paramètres!$A$1:$I$89,3,0)*0.475*44/12</f>
        <v>#N/A</v>
      </c>
      <c r="EB87" s="21" t="e">
        <f>EXP(-LN(2)/25)*EB86+(1-EXP(-LN(2)/25))/(LN(2)/25)*Calculateur!DW87*Calculateur!DY87*VLOOKUP('Données projet'!$B$14,Paramètres!$A$1:$I$89,3,0)*0.475*44/12</f>
        <v>#N/A</v>
      </c>
      <c r="EC87" s="21" t="e">
        <f>EXP(-LN(2)/2)*EC86+(1-EXP(-LN(2)/2))/(LN(2)/2)*DW87*DZ87*VLOOKUP('Données projet'!$B$14,Paramètres!$A$1:$I$89,3,0)*0.475*44/12</f>
        <v>#N/A</v>
      </c>
      <c r="ED87" s="22" t="e">
        <f t="shared" si="72"/>
        <v>#N/A</v>
      </c>
      <c r="EE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0</v>
      </c>
      <c r="EK87" s="17" t="e">
        <f>EJ87*VLOOKUP('Données projet'!$B$15,Paramètres!$A$1:$I$89,3,0)*VLOOKUP('Données projet'!$B$15,Paramètres!$A$1:$I$89,5,0)</f>
        <v>#N/A</v>
      </c>
      <c r="EL87" s="13" t="e">
        <f t="shared" si="99"/>
        <v>#N/A</v>
      </c>
      <c r="EM87" s="20" t="e">
        <f t="shared" si="73"/>
        <v>#N/A</v>
      </c>
      <c r="EN87" s="59" t="e">
        <f t="shared" si="74"/>
        <v>#N/A</v>
      </c>
      <c r="EO87" s="59" t="e">
        <f ca="1">AVERAGE(OFFSET($EN$3,0,0,'Données projet'!$E$15+1,1))-AVERAGE(OFFSET($H$3,0,0,'Données projet'!$E$15+1,1))</f>
        <v>#N/A</v>
      </c>
      <c r="EP87" s="59" t="e">
        <f t="shared" si="100"/>
        <v>#N/A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 t="e">
        <f>EXP(-LN(2)/35)*EV86+(1-EXP(-LN(2)/35))/(LN(2)/35)*ER87*ES87*VLOOKUP('Données projet'!$B$15,Paramètres!$A$1:$I$89,3,0)*0.475*44/12</f>
        <v>#N/A</v>
      </c>
      <c r="EW87" s="21" t="e">
        <f>EXP(-LN(2)/25)*EW86+(1-EXP(-LN(2)/25))/(LN(2)/25)*Calculateur!ER87*Calculateur!ET87*VLOOKUP('Données projet'!$B$15,Paramètres!$A$1:$I$89,3,0)*0.475*44/12</f>
        <v>#N/A</v>
      </c>
      <c r="EX87" s="21" t="e">
        <f>EXP(-LN(2)/2)*EX86+(1-EXP(-LN(2)/2))/(LN(2)/2)*ER87*EU87*VLOOKUP('Données projet'!$B$15,Paramètres!$A$1:$I$89,3,0)*0.475*44/12</f>
        <v>#N/A</v>
      </c>
      <c r="EY87" s="22" t="e">
        <f t="shared" si="75"/>
        <v>#N/A</v>
      </c>
      <c r="EZ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9" t="e">
        <f t="shared" si="77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45">
      <c r="A88" s="10">
        <f t="shared" si="85"/>
        <v>85</v>
      </c>
      <c r="B88" s="73">
        <f>'Scénario référence'!$B$16*5+'Scénario référence'!$B$17*0+'Scénario référence'!$B$18*5</f>
        <v>0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75.582000000000107</v>
      </c>
      <c r="D88" s="11">
        <f t="shared" si="86"/>
        <v>21.053414706764155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">
        <f>IF(OR('Scénario référence'!$F$8&gt;0,'Scénario référence'!$F$9&gt;0),('Scénario référence'!$F$8+'Scénario référence'!$F$9)*10,0)</f>
        <v>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745.95758721011009</v>
      </c>
      <c r="H88" s="67">
        <f t="shared" si="56"/>
        <v>424.97334728094779</v>
      </c>
      <c r="I88" s="7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7.1416666666666657</v>
      </c>
      <c r="N88" s="13">
        <f>IF('Données projet'!$A$36&gt;35,N87+M88-V87,IF(A88&lt;'Données projet'!$A$36,$K$205^A88,IF(A88='Données projet'!$A$36,'Données projet'!$B$36,N87+M88-V87)))</f>
        <v>431.39166666666659</v>
      </c>
      <c r="O88" s="13">
        <f>N88*VLOOKUP('Données projet'!$B$9,Paramètres!$A$1:$I$89,3,0)*VLOOKUP('Données projet'!$B$9,Paramètres!$A$1:$I$89,5,0)</f>
        <v>241.14794166666661</v>
      </c>
      <c r="P88" s="13">
        <f t="shared" si="87"/>
        <v>58.686447091215065</v>
      </c>
      <c r="Q88" s="20">
        <f t="shared" si="54"/>
        <v>522.21156041997722</v>
      </c>
      <c r="R88" s="59">
        <f t="shared" si="55"/>
        <v>815.54489375331059</v>
      </c>
      <c r="S88" s="59">
        <f ca="1">AVERAGE(OFFSET($R$3,0,0,'Données projet'!$E$9+1,1))-AVERAGE(OFFSET($H$3,0,0,'Données projet'!$E$9+1,1))</f>
        <v>280.69347314340195</v>
      </c>
      <c r="T88" s="59">
        <f t="shared" si="88"/>
        <v>152.40533828556482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53.760663190183749</v>
      </c>
      <c r="AA88" s="21">
        <f>EXP(-LN(2)/25)*AA87+(1-EXP(-LN(2)/25))/(LN(2)/25)*Calculateur!V88*Calculateur!X88*VLOOKUP('Données projet'!$B$9,Paramètres!$A$1:$I$89,3,0)*0.475*44/12</f>
        <v>20.868086355607666</v>
      </c>
      <c r="AB88" s="21">
        <f>EXP(-LN(2)/2)*AB87+(1-EXP(-LN(2)/2))/(LN(2)/2)*V88*Y88*VLOOKUP('Données projet'!$B$9,Paramètres!$A$1:$I$89,3,0)*0.475*44/12</f>
        <v>6.3780385422681869</v>
      </c>
      <c r="AC88" s="22">
        <f t="shared" si="57"/>
        <v>81.006788088059594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0</v>
      </c>
      <c r="AI88" s="13">
        <f>IF('Données projet'!$A$62&gt;35,AI87+AH88-AQ87,IF(A88&lt;'Données projet'!$A$62,$AF$205^A88,IF(A88='Données projet'!$A$62,'Données projet'!$B$62,AI87+AH88-AQ87)))</f>
        <v>0</v>
      </c>
      <c r="AJ88" s="13">
        <f>AI88*VLOOKUP('Données projet'!$B$10,Paramètres!$A$1:$I$89,3,0)*VLOOKUP('Données projet'!$B$10,Paramètres!$A$1:$I$89,5,0)</f>
        <v>0</v>
      </c>
      <c r="AK88" s="13" t="e">
        <f t="shared" si="89"/>
        <v>#NUM!</v>
      </c>
      <c r="AL88" s="20" t="e">
        <f t="shared" si="58"/>
        <v>#NUM!</v>
      </c>
      <c r="AM88" s="59" t="e">
        <f t="shared" si="59"/>
        <v>#NUM!</v>
      </c>
      <c r="AN88" s="59">
        <f ca="1">AVERAGE(OFFSET($AM$3,0,0,'Données projet'!$E$10+1,1))-AVERAGE(OFFSET($H$3,0,0,'Données projet'!$E$10+1,1))</f>
        <v>179.4725256147085</v>
      </c>
      <c r="AO88" s="59">
        <f t="shared" si="90"/>
        <v>282.16750121151176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88.00443522272414</v>
      </c>
      <c r="AV88" s="21">
        <f>EXP(-LN(2)/25)*AV87+(1-EXP(-LN(2)/25))/(LN(2)/25)*Calculateur!AQ88*Calculateur!AS88*VLOOKUP('Données projet'!$B$10,Paramètres!$A$1:$I$89,3,0)*0.475*44/12</f>
        <v>24.431462257328832</v>
      </c>
      <c r="AW88" s="21">
        <f>EXP(-LN(2)/2)*AW87+(1-EXP(-LN(2)/2))/(LN(2)/2)*AQ88*AT88*VLOOKUP('Données projet'!$B$10,Paramètres!$A$1:$I$89,3,0)*0.475*44/12</f>
        <v>7.4440248400096266E-3</v>
      </c>
      <c r="AX88" s="21">
        <f t="shared" si="60"/>
        <v>112.44334150489298</v>
      </c>
      <c r="AY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9.92</v>
      </c>
      <c r="BD88" s="12">
        <f>IF('Données projet'!$A$88&gt;35,BD87+BC88-BL87,IF(A88&lt;'Données projet'!$A$88,$BA$205^A88,IF(A88='Données projet'!$A$88,'Données projet'!$B$88,BD87+BC88-BL87)))</f>
        <v>240.77000000000052</v>
      </c>
      <c r="BE88" s="13">
        <f>BD88*VLOOKUP('Données projet'!$B$11,Paramètres!$A$1:$I$89,3,0)*VLOOKUP('Données projet'!$B$11,Paramètres!$A$1:$I$89,5,0)</f>
        <v>206.58066000000048</v>
      </c>
      <c r="BF88" s="13">
        <f t="shared" si="91"/>
        <v>51.187661459048499</v>
      </c>
      <c r="BG88" s="20">
        <f t="shared" si="61"/>
        <v>448.94649320784362</v>
      </c>
      <c r="BH88" s="59">
        <f t="shared" si="62"/>
        <v>742.27982654117693</v>
      </c>
      <c r="BI88" s="59">
        <f ca="1">AVERAGE(OFFSET($BH$3,0,0,'Données projet'!$E$11+1,1))-AVERAGE(OFFSET($H$3,0,0,'Données projet'!$E$11+1,1))</f>
        <v>312.89478437044261</v>
      </c>
      <c r="BJ88" s="59">
        <f t="shared" si="92"/>
        <v>276.16555507854571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>
        <f>EXP(-LN(2)/35)*BP87+(1-EXP(-LN(2)/35))/(LN(2)/35)*BL88*BM88*VLOOKUP('Données projet'!$B$11,Paramètres!$A$1:$I$89,3,0)*0.475*44/12</f>
        <v>9.6030639492170025</v>
      </c>
      <c r="BQ88" s="21">
        <f>EXP(-LN(2)/25)*BQ87+(1-EXP(-LN(2)/25))/(LN(2)/25)*Calculateur!BL88*Calculateur!BN88*VLOOKUP('Données projet'!$B$11,Paramètres!$A$1:$I$89,3,0)*0.475*44/12</f>
        <v>48.511074618235206</v>
      </c>
      <c r="BR88" s="21">
        <f>EXP(-LN(2)/2)*BR87+(1-EXP(-LN(2)/2))/(LN(2)/2)*BL88*BO88*VLOOKUP('Données projet'!$B$11,Paramètres!$A$1:$I$89,3,0)*0.475*44/12</f>
        <v>8.3995180942638452</v>
      </c>
      <c r="BS88" s="22">
        <f t="shared" si="63"/>
        <v>66.513656661716055</v>
      </c>
      <c r="BT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0</v>
      </c>
      <c r="BY88" s="12">
        <f>IF('Données projet'!$A$114&gt;35,BY87+BX88-CG87,IF(A88&lt;'Données projet'!$A$114,$BV$205^A88,IF(A88='Données projet'!$A$114,'Données projet'!$B$114,BY87+BX88-CG87)))</f>
        <v>0</v>
      </c>
      <c r="BZ88" s="13" t="e">
        <f>BY88*VLOOKUP('Données projet'!$B$12,Paramètres!$A$1:$I$89,3,0)*VLOOKUP('Données projet'!$B$12,Paramètres!$A$1:$I$89,5,0)</f>
        <v>#N/A</v>
      </c>
      <c r="CA88" s="13" t="e">
        <f t="shared" si="93"/>
        <v>#N/A</v>
      </c>
      <c r="CB88" s="20" t="e">
        <f t="shared" si="64"/>
        <v>#N/A</v>
      </c>
      <c r="CC88" s="59" t="e">
        <f t="shared" si="65"/>
        <v>#N/A</v>
      </c>
      <c r="CD88" s="59" t="e">
        <f ca="1">AVERAGE(OFFSET($CC$3,0,0,'Données projet'!$E$12+1,1))-AVERAGE(OFFSET($H$3,0,0,'Données projet'!$E$12+1,1))</f>
        <v>#N/A</v>
      </c>
      <c r="CE88" s="59" t="e">
        <f t="shared" si="94"/>
        <v>#N/A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 t="e">
        <f>EXP(-LN(2)/35)*CK87+(1-EXP(-LN(2)/35))/(LN(2)/35)*CG88*CH88*VLOOKUP('Données projet'!$B$12,Paramètres!$A$1:$I$89,3,0)*0.475*44/12</f>
        <v>#N/A</v>
      </c>
      <c r="CL88" s="21" t="e">
        <f>EXP(-LN(2)/25)*CL87+(1-EXP(-LN(2)/25))/(LN(2)/25)*Calculateur!CG88*Calculateur!CI88*VLOOKUP('Données projet'!$B$12,Paramètres!$A$1:$I$89,3,0)*0.475*44/12</f>
        <v>#N/A</v>
      </c>
      <c r="CM88" s="21" t="e">
        <f>EXP(-LN(2)/2)*CM87+(1-EXP(-LN(2)/2))/(LN(2)/2)*CG88*CJ88*VLOOKUP('Données projet'!$B$12,Paramètres!$A$1:$I$89,3,0)*0.475*44/12</f>
        <v>#N/A</v>
      </c>
      <c r="CN88" s="22" t="e">
        <f t="shared" si="66"/>
        <v>#N/A</v>
      </c>
      <c r="CO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0</v>
      </c>
      <c r="CT88" s="12">
        <f>IF('Données projet'!$A$140&gt;35,CT87+CS88-DB87,IF(A88&lt;'Données projet'!$A$140,$CQ$205^A88,IF(A88='Données projet'!$A$140,'Données projet'!$B$140,CT87+CS88-DB87)))</f>
        <v>0</v>
      </c>
      <c r="CU88" s="17" t="e">
        <f>CT88*VLOOKUP('Données projet'!$B$13,Paramètres!$A$1:$I$89,3,0)*VLOOKUP('Données projet'!$B$13,Paramètres!$A$1:$I$89,5,0)</f>
        <v>#N/A</v>
      </c>
      <c r="CV88" s="13" t="e">
        <f t="shared" si="95"/>
        <v>#N/A</v>
      </c>
      <c r="CW88" s="20" t="e">
        <f t="shared" si="67"/>
        <v>#N/A</v>
      </c>
      <c r="CX88" s="59" t="e">
        <f t="shared" si="68"/>
        <v>#N/A</v>
      </c>
      <c r="CY88" s="59" t="e">
        <f ca="1">AVERAGE(OFFSET($CX$3,0,0,'Données projet'!$E$13+1,1))-AVERAGE(OFFSET($H$3,0,0,'Données projet'!$E$13+1,1))</f>
        <v>#N/A</v>
      </c>
      <c r="CZ88" s="59" t="e">
        <f t="shared" si="96"/>
        <v>#N/A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 t="e">
        <f>EXP(-LN(2)/35)*DF87+(1-EXP(-LN(2)/35))/(LN(2)/35)*DB88*DC88*VLOOKUP('Données projet'!$B$13,Paramètres!$A$1:$I$89,3,0)*0.475*44/12</f>
        <v>#N/A</v>
      </c>
      <c r="DG88" s="21" t="e">
        <f>EXP(-LN(2)/25)*DG87+(1-EXP(-LN(2)/25))/(LN(2)/25)*Calculateur!DB88*Calculateur!DD88*VLOOKUP('Données projet'!$B$13,Paramètres!$A$1:$I$89,3,0)*0.475*44/12</f>
        <v>#N/A</v>
      </c>
      <c r="DH88" s="21" t="e">
        <f>EXP(-LN(2)/2)*DH87+(1-EXP(-LN(2)/2))/(LN(2)/2)*DB88*DE88*VLOOKUP('Données projet'!$B$13,Paramètres!$A$1:$I$89,3,0)*0.475*44/12</f>
        <v>#N/A</v>
      </c>
      <c r="DI88" s="22" t="e">
        <f t="shared" si="69"/>
        <v>#N/A</v>
      </c>
      <c r="DJ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0</v>
      </c>
      <c r="DP88" s="17" t="e">
        <f>DO88*VLOOKUP('Données projet'!$B$14,Paramètres!$A$1:$I$89,3,0)*VLOOKUP('Données projet'!$B$14,Paramètres!$A$1:$I$89,5,0)</f>
        <v>#N/A</v>
      </c>
      <c r="DQ88" s="13" t="e">
        <f t="shared" si="97"/>
        <v>#N/A</v>
      </c>
      <c r="DR88" s="20" t="e">
        <f t="shared" si="70"/>
        <v>#N/A</v>
      </c>
      <c r="DS88" s="59" t="e">
        <f t="shared" si="71"/>
        <v>#N/A</v>
      </c>
      <c r="DT88" s="59" t="e">
        <f ca="1">AVERAGE(OFFSET($DS$3,0,0,'Données projet'!$E$14+1,1))-AVERAGE(OFFSET($H$3,0,0,'Données projet'!$E$14+1,1))</f>
        <v>#N/A</v>
      </c>
      <c r="DU88" s="59" t="e">
        <f t="shared" si="98"/>
        <v>#N/A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 t="e">
        <f>EXP(-LN(2)/35)*EA87+(1-EXP(-LN(2)/35))/(LN(2)/35)*DW88*DX88*VLOOKUP('Données projet'!$B$14,Paramètres!$A$1:$I$89,3,0)*0.475*44/12</f>
        <v>#N/A</v>
      </c>
      <c r="EB88" s="21" t="e">
        <f>EXP(-LN(2)/25)*EB87+(1-EXP(-LN(2)/25))/(LN(2)/25)*Calculateur!DW88*Calculateur!DY88*VLOOKUP('Données projet'!$B$14,Paramètres!$A$1:$I$89,3,0)*0.475*44/12</f>
        <v>#N/A</v>
      </c>
      <c r="EC88" s="21" t="e">
        <f>EXP(-LN(2)/2)*EC87+(1-EXP(-LN(2)/2))/(LN(2)/2)*DW88*DZ88*VLOOKUP('Données projet'!$B$14,Paramètres!$A$1:$I$89,3,0)*0.475*44/12</f>
        <v>#N/A</v>
      </c>
      <c r="ED88" s="22" t="e">
        <f t="shared" si="72"/>
        <v>#N/A</v>
      </c>
      <c r="EE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0</v>
      </c>
      <c r="EK88" s="17" t="e">
        <f>EJ88*VLOOKUP('Données projet'!$B$15,Paramètres!$A$1:$I$89,3,0)*VLOOKUP('Données projet'!$B$15,Paramètres!$A$1:$I$89,5,0)</f>
        <v>#N/A</v>
      </c>
      <c r="EL88" s="13" t="e">
        <f t="shared" si="99"/>
        <v>#N/A</v>
      </c>
      <c r="EM88" s="20" t="e">
        <f t="shared" si="73"/>
        <v>#N/A</v>
      </c>
      <c r="EN88" s="59" t="e">
        <f t="shared" si="74"/>
        <v>#N/A</v>
      </c>
      <c r="EO88" s="59" t="e">
        <f ca="1">AVERAGE(OFFSET($EN$3,0,0,'Données projet'!$E$15+1,1))-AVERAGE(OFFSET($H$3,0,0,'Données projet'!$E$15+1,1))</f>
        <v>#N/A</v>
      </c>
      <c r="EP88" s="59" t="e">
        <f t="shared" si="100"/>
        <v>#N/A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 t="e">
        <f>EXP(-LN(2)/35)*EV87+(1-EXP(-LN(2)/35))/(LN(2)/35)*ER88*ES88*VLOOKUP('Données projet'!$B$15,Paramètres!$A$1:$I$89,3,0)*0.475*44/12</f>
        <v>#N/A</v>
      </c>
      <c r="EW88" s="21" t="e">
        <f>EXP(-LN(2)/25)*EW87+(1-EXP(-LN(2)/25))/(LN(2)/25)*Calculateur!ER88*Calculateur!ET88*VLOOKUP('Données projet'!$B$15,Paramètres!$A$1:$I$89,3,0)*0.475*44/12</f>
        <v>#N/A</v>
      </c>
      <c r="EX88" s="21" t="e">
        <f>EXP(-LN(2)/2)*EX87+(1-EXP(-LN(2)/2))/(LN(2)/2)*ER88*EU88*VLOOKUP('Données projet'!$B$15,Paramètres!$A$1:$I$89,3,0)*0.475*44/12</f>
        <v>#N/A</v>
      </c>
      <c r="EY88" s="22" t="e">
        <f t="shared" si="75"/>
        <v>#N/A</v>
      </c>
      <c r="EZ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9" t="e">
        <f t="shared" si="77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45">
      <c r="A89" s="10">
        <f t="shared" si="85"/>
        <v>86</v>
      </c>
      <c r="B89" s="73">
        <f>'Scénario référence'!$B$16*5+'Scénario référence'!$B$17*0+'Scénario référence'!$B$18*5</f>
        <v>0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76.47120000000011</v>
      </c>
      <c r="D89" s="11">
        <f t="shared" si="86"/>
        <v>21.272121944536373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">
        <f>IF(OR('Scénario référence'!$F$8&gt;0,'Scénario référence'!$F$9&gt;0),('Scénario référence'!$F$8+'Scénario référence'!$F$9)*10,0)</f>
        <v>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754.50985360694824</v>
      </c>
      <c r="H89" s="67">
        <f t="shared" si="56"/>
        <v>426.9029523867344</v>
      </c>
      <c r="I89" s="7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7.1416666666666657</v>
      </c>
      <c r="N89" s="13">
        <f>IF('Données projet'!$A$36&gt;35,N88+M89-V88,IF(A89&lt;'Données projet'!$A$36,$K$205^A89,IF(A89='Données projet'!$A$36,'Données projet'!$B$36,N88+M89-V88)))</f>
        <v>438.53333333333325</v>
      </c>
      <c r="O89" s="13">
        <f>N89*VLOOKUP('Données projet'!$B$9,Paramètres!$A$1:$I$89,3,0)*VLOOKUP('Données projet'!$B$9,Paramètres!$A$1:$I$89,5,0)</f>
        <v>245.1401333333333</v>
      </c>
      <c r="P89" s="13">
        <f t="shared" si="87"/>
        <v>59.544087556844332</v>
      </c>
      <c r="Q89" s="20">
        <f t="shared" si="54"/>
        <v>530.65835138372609</v>
      </c>
      <c r="R89" s="59">
        <f t="shared" si="55"/>
        <v>823.99168471705934</v>
      </c>
      <c r="S89" s="59">
        <f ca="1">AVERAGE(OFFSET($R$3,0,0,'Données projet'!$E$9+1,1))-AVERAGE(OFFSET($H$3,0,0,'Données projet'!$E$9+1,1))</f>
        <v>280.69347314340195</v>
      </c>
      <c r="T89" s="59">
        <f t="shared" si="88"/>
        <v>152.40533828556482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52.706449375790974</v>
      </c>
      <c r="AA89" s="21">
        <f>EXP(-LN(2)/25)*AA88+(1-EXP(-LN(2)/25))/(LN(2)/25)*Calculateur!V89*Calculateur!X89*VLOOKUP('Données projet'!$B$9,Paramètres!$A$1:$I$89,3,0)*0.475*44/12</f>
        <v>20.297447436808607</v>
      </c>
      <c r="AB89" s="21">
        <f>EXP(-LN(2)/2)*AB88+(1-EXP(-LN(2)/2))/(LN(2)/2)*V89*Y89*VLOOKUP('Données projet'!$B$9,Paramètres!$A$1:$I$89,3,0)*0.475*44/12</f>
        <v>4.5099543039069978</v>
      </c>
      <c r="AC89" s="22">
        <f t="shared" si="57"/>
        <v>77.513851116506572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0</v>
      </c>
      <c r="AI89" s="13">
        <f>IF('Données projet'!$A$62&gt;35,AI88+AH89-AQ88,IF(A89&lt;'Données projet'!$A$62,$AF$205^A89,IF(A89='Données projet'!$A$62,'Données projet'!$B$62,AI88+AH89-AQ88)))</f>
        <v>0</v>
      </c>
      <c r="AJ89" s="13">
        <f>AI89*VLOOKUP('Données projet'!$B$10,Paramètres!$A$1:$I$89,3,0)*VLOOKUP('Données projet'!$B$10,Paramètres!$A$1:$I$89,5,0)</f>
        <v>0</v>
      </c>
      <c r="AK89" s="13" t="e">
        <f t="shared" si="89"/>
        <v>#NUM!</v>
      </c>
      <c r="AL89" s="20" t="e">
        <f t="shared" si="58"/>
        <v>#NUM!</v>
      </c>
      <c r="AM89" s="59" t="e">
        <f t="shared" si="59"/>
        <v>#NUM!</v>
      </c>
      <c r="AN89" s="59">
        <f ca="1">AVERAGE(OFFSET($AM$3,0,0,'Données projet'!$E$10+1,1))-AVERAGE(OFFSET($H$3,0,0,'Données projet'!$E$10+1,1))</f>
        <v>179.4725256147085</v>
      </c>
      <c r="AO89" s="59">
        <f t="shared" si="90"/>
        <v>282.16750121151176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86.278721925411801</v>
      </c>
      <c r="AV89" s="21">
        <f>EXP(-LN(2)/25)*AV88+(1-EXP(-LN(2)/25))/(LN(2)/25)*Calculateur!AQ89*Calculateur!AS89*VLOOKUP('Données projet'!$B$10,Paramètres!$A$1:$I$89,3,0)*0.475*44/12</f>
        <v>23.763382637107412</v>
      </c>
      <c r="AW89" s="21">
        <f>EXP(-LN(2)/2)*AW88+(1-EXP(-LN(2)/2))/(LN(2)/2)*AQ89*AT89*VLOOKUP('Données projet'!$B$10,Paramètres!$A$1:$I$89,3,0)*0.475*44/12</f>
        <v>5.2637204436919117E-3</v>
      </c>
      <c r="AX89" s="21">
        <f t="shared" si="60"/>
        <v>110.04736828296291</v>
      </c>
      <c r="AY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9.92</v>
      </c>
      <c r="BD89" s="12">
        <f>IF('Données projet'!$A$88&gt;35,BD88+BC89-BL88,IF(A89&lt;'Données projet'!$A$88,$BA$205^A89,IF(A89='Données projet'!$A$88,'Données projet'!$B$88,BD88+BC89-BL88)))</f>
        <v>250.69000000000051</v>
      </c>
      <c r="BE89" s="13">
        <f>BD89*VLOOKUP('Données projet'!$B$11,Paramètres!$A$1:$I$89,3,0)*VLOOKUP('Données projet'!$B$11,Paramètres!$A$1:$I$89,5,0)</f>
        <v>215.09202000000047</v>
      </c>
      <c r="BF89" s="13">
        <f t="shared" si="91"/>
        <v>53.04676386229152</v>
      </c>
      <c r="BG89" s="20">
        <f t="shared" si="61"/>
        <v>467.00838189349179</v>
      </c>
      <c r="BH89" s="59">
        <f t="shared" si="62"/>
        <v>760.34171522682504</v>
      </c>
      <c r="BI89" s="59">
        <f ca="1">AVERAGE(OFFSET($BH$3,0,0,'Données projet'!$E$11+1,1))-AVERAGE(OFFSET($H$3,0,0,'Données projet'!$E$11+1,1))</f>
        <v>312.89478437044261</v>
      </c>
      <c r="BJ89" s="59">
        <f t="shared" si="92"/>
        <v>276.16555507854571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>
        <f>EXP(-LN(2)/35)*BP88+(1-EXP(-LN(2)/35))/(LN(2)/35)*BL89*BM89*VLOOKUP('Données projet'!$B$11,Paramètres!$A$1:$I$89,3,0)*0.475*44/12</f>
        <v>9.4147537224635069</v>
      </c>
      <c r="BQ89" s="21">
        <f>EXP(-LN(2)/25)*BQ88+(1-EXP(-LN(2)/25))/(LN(2)/25)*Calculateur!BL89*Calculateur!BN89*VLOOKUP('Données projet'!$B$11,Paramètres!$A$1:$I$89,3,0)*0.475*44/12</f>
        <v>47.184536731713024</v>
      </c>
      <c r="BR89" s="21">
        <f>EXP(-LN(2)/2)*BR88+(1-EXP(-LN(2)/2))/(LN(2)/2)*BL89*BO89*VLOOKUP('Données projet'!$B$11,Paramètres!$A$1:$I$89,3,0)*0.475*44/12</f>
        <v>5.9393562031530722</v>
      </c>
      <c r="BS89" s="22">
        <f t="shared" si="63"/>
        <v>62.538646657329608</v>
      </c>
      <c r="BT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0</v>
      </c>
      <c r="BY89" s="12">
        <f>IF('Données projet'!$A$114&gt;35,BY88+BX89-CG88,IF(A89&lt;'Données projet'!$A$114,$BV$205^A89,IF(A89='Données projet'!$A$114,'Données projet'!$B$114,BY88+BX89-CG88)))</f>
        <v>0</v>
      </c>
      <c r="BZ89" s="13" t="e">
        <f>BY89*VLOOKUP('Données projet'!$B$12,Paramètres!$A$1:$I$89,3,0)*VLOOKUP('Données projet'!$B$12,Paramètres!$A$1:$I$89,5,0)</f>
        <v>#N/A</v>
      </c>
      <c r="CA89" s="13" t="e">
        <f t="shared" si="93"/>
        <v>#N/A</v>
      </c>
      <c r="CB89" s="20" t="e">
        <f t="shared" si="64"/>
        <v>#N/A</v>
      </c>
      <c r="CC89" s="59" t="e">
        <f t="shared" si="65"/>
        <v>#N/A</v>
      </c>
      <c r="CD89" s="59" t="e">
        <f ca="1">AVERAGE(OFFSET($CC$3,0,0,'Données projet'!$E$12+1,1))-AVERAGE(OFFSET($H$3,0,0,'Données projet'!$E$12+1,1))</f>
        <v>#N/A</v>
      </c>
      <c r="CE89" s="59" t="e">
        <f t="shared" si="94"/>
        <v>#N/A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 t="e">
        <f>EXP(-LN(2)/35)*CK88+(1-EXP(-LN(2)/35))/(LN(2)/35)*CG89*CH89*VLOOKUP('Données projet'!$B$12,Paramètres!$A$1:$I$89,3,0)*0.475*44/12</f>
        <v>#N/A</v>
      </c>
      <c r="CL89" s="21" t="e">
        <f>EXP(-LN(2)/25)*CL88+(1-EXP(-LN(2)/25))/(LN(2)/25)*Calculateur!CG89*Calculateur!CI89*VLOOKUP('Données projet'!$B$12,Paramètres!$A$1:$I$89,3,0)*0.475*44/12</f>
        <v>#N/A</v>
      </c>
      <c r="CM89" s="21" t="e">
        <f>EXP(-LN(2)/2)*CM88+(1-EXP(-LN(2)/2))/(LN(2)/2)*CG89*CJ89*VLOOKUP('Données projet'!$B$12,Paramètres!$A$1:$I$89,3,0)*0.475*44/12</f>
        <v>#N/A</v>
      </c>
      <c r="CN89" s="22" t="e">
        <f t="shared" si="66"/>
        <v>#N/A</v>
      </c>
      <c r="CO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0</v>
      </c>
      <c r="CT89" s="12">
        <f>IF('Données projet'!$A$140&gt;35,CT88+CS89-DB88,IF(A89&lt;'Données projet'!$A$140,$CQ$205^A89,IF(A89='Données projet'!$A$140,'Données projet'!$B$140,CT88+CS89-DB88)))</f>
        <v>0</v>
      </c>
      <c r="CU89" s="17" t="e">
        <f>CT89*VLOOKUP('Données projet'!$B$13,Paramètres!$A$1:$I$89,3,0)*VLOOKUP('Données projet'!$B$13,Paramètres!$A$1:$I$89,5,0)</f>
        <v>#N/A</v>
      </c>
      <c r="CV89" s="13" t="e">
        <f t="shared" si="95"/>
        <v>#N/A</v>
      </c>
      <c r="CW89" s="20" t="e">
        <f t="shared" si="67"/>
        <v>#N/A</v>
      </c>
      <c r="CX89" s="59" t="e">
        <f t="shared" si="68"/>
        <v>#N/A</v>
      </c>
      <c r="CY89" s="59" t="e">
        <f ca="1">AVERAGE(OFFSET($CX$3,0,0,'Données projet'!$E$13+1,1))-AVERAGE(OFFSET($H$3,0,0,'Données projet'!$E$13+1,1))</f>
        <v>#N/A</v>
      </c>
      <c r="CZ89" s="59" t="e">
        <f t="shared" si="96"/>
        <v>#N/A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 t="e">
        <f>EXP(-LN(2)/35)*DF88+(1-EXP(-LN(2)/35))/(LN(2)/35)*DB89*DC89*VLOOKUP('Données projet'!$B$13,Paramètres!$A$1:$I$89,3,0)*0.475*44/12</f>
        <v>#N/A</v>
      </c>
      <c r="DG89" s="21" t="e">
        <f>EXP(-LN(2)/25)*DG88+(1-EXP(-LN(2)/25))/(LN(2)/25)*Calculateur!DB89*Calculateur!DD89*VLOOKUP('Données projet'!$B$13,Paramètres!$A$1:$I$89,3,0)*0.475*44/12</f>
        <v>#N/A</v>
      </c>
      <c r="DH89" s="21" t="e">
        <f>EXP(-LN(2)/2)*DH88+(1-EXP(-LN(2)/2))/(LN(2)/2)*DB89*DE89*VLOOKUP('Données projet'!$B$13,Paramètres!$A$1:$I$89,3,0)*0.475*44/12</f>
        <v>#N/A</v>
      </c>
      <c r="DI89" s="22" t="e">
        <f t="shared" si="69"/>
        <v>#N/A</v>
      </c>
      <c r="DJ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0</v>
      </c>
      <c r="DP89" s="17" t="e">
        <f>DO89*VLOOKUP('Données projet'!$B$14,Paramètres!$A$1:$I$89,3,0)*VLOOKUP('Données projet'!$B$14,Paramètres!$A$1:$I$89,5,0)</f>
        <v>#N/A</v>
      </c>
      <c r="DQ89" s="13" t="e">
        <f t="shared" si="97"/>
        <v>#N/A</v>
      </c>
      <c r="DR89" s="20" t="e">
        <f t="shared" si="70"/>
        <v>#N/A</v>
      </c>
      <c r="DS89" s="59" t="e">
        <f t="shared" si="71"/>
        <v>#N/A</v>
      </c>
      <c r="DT89" s="59" t="e">
        <f ca="1">AVERAGE(OFFSET($DS$3,0,0,'Données projet'!$E$14+1,1))-AVERAGE(OFFSET($H$3,0,0,'Données projet'!$E$14+1,1))</f>
        <v>#N/A</v>
      </c>
      <c r="DU89" s="59" t="e">
        <f t="shared" si="98"/>
        <v>#N/A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 t="e">
        <f>EXP(-LN(2)/35)*EA88+(1-EXP(-LN(2)/35))/(LN(2)/35)*DW89*DX89*VLOOKUP('Données projet'!$B$14,Paramètres!$A$1:$I$89,3,0)*0.475*44/12</f>
        <v>#N/A</v>
      </c>
      <c r="EB89" s="21" t="e">
        <f>EXP(-LN(2)/25)*EB88+(1-EXP(-LN(2)/25))/(LN(2)/25)*Calculateur!DW89*Calculateur!DY89*VLOOKUP('Données projet'!$B$14,Paramètres!$A$1:$I$89,3,0)*0.475*44/12</f>
        <v>#N/A</v>
      </c>
      <c r="EC89" s="21" t="e">
        <f>EXP(-LN(2)/2)*EC88+(1-EXP(-LN(2)/2))/(LN(2)/2)*DW89*DZ89*VLOOKUP('Données projet'!$B$14,Paramètres!$A$1:$I$89,3,0)*0.475*44/12</f>
        <v>#N/A</v>
      </c>
      <c r="ED89" s="22" t="e">
        <f t="shared" si="72"/>
        <v>#N/A</v>
      </c>
      <c r="EE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0</v>
      </c>
      <c r="EK89" s="17" t="e">
        <f>EJ89*VLOOKUP('Données projet'!$B$15,Paramètres!$A$1:$I$89,3,0)*VLOOKUP('Données projet'!$B$15,Paramètres!$A$1:$I$89,5,0)</f>
        <v>#N/A</v>
      </c>
      <c r="EL89" s="13" t="e">
        <f t="shared" si="99"/>
        <v>#N/A</v>
      </c>
      <c r="EM89" s="20" t="e">
        <f t="shared" si="73"/>
        <v>#N/A</v>
      </c>
      <c r="EN89" s="59" t="e">
        <f t="shared" si="74"/>
        <v>#N/A</v>
      </c>
      <c r="EO89" s="59" t="e">
        <f ca="1">AVERAGE(OFFSET($EN$3,0,0,'Données projet'!$E$15+1,1))-AVERAGE(OFFSET($H$3,0,0,'Données projet'!$E$15+1,1))</f>
        <v>#N/A</v>
      </c>
      <c r="EP89" s="59" t="e">
        <f t="shared" si="100"/>
        <v>#N/A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 t="e">
        <f>EXP(-LN(2)/35)*EV88+(1-EXP(-LN(2)/35))/(LN(2)/35)*ER89*ES89*VLOOKUP('Données projet'!$B$15,Paramètres!$A$1:$I$89,3,0)*0.475*44/12</f>
        <v>#N/A</v>
      </c>
      <c r="EW89" s="21" t="e">
        <f>EXP(-LN(2)/25)*EW88+(1-EXP(-LN(2)/25))/(LN(2)/25)*Calculateur!ER89*Calculateur!ET89*VLOOKUP('Données projet'!$B$15,Paramètres!$A$1:$I$89,3,0)*0.475*44/12</f>
        <v>#N/A</v>
      </c>
      <c r="EX89" s="21" t="e">
        <f>EXP(-LN(2)/2)*EX88+(1-EXP(-LN(2)/2))/(LN(2)/2)*ER89*EU89*VLOOKUP('Données projet'!$B$15,Paramètres!$A$1:$I$89,3,0)*0.475*44/12</f>
        <v>#N/A</v>
      </c>
      <c r="EY89" s="22" t="e">
        <f t="shared" si="75"/>
        <v>#N/A</v>
      </c>
      <c r="EZ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9" t="e">
        <f t="shared" si="77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45">
      <c r="A90" s="10">
        <f t="shared" si="85"/>
        <v>87</v>
      </c>
      <c r="B90" s="73">
        <f>'Scénario référence'!$B$16*5+'Scénario référence'!$B$17*0+'Scénario référence'!$B$18*5</f>
        <v>0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77.360400000000112</v>
      </c>
      <c r="D90" s="11">
        <f t="shared" si="86"/>
        <v>21.490533357793517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">
        <f>IF(OR('Scénario référence'!$F$8&gt;0,'Scénario référence'!$F$9&gt;0),('Scénario référence'!$F$8+'Scénario référence'!$F$9)*10,0)</f>
        <v>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763.05983644612627</v>
      </c>
      <c r="H90" s="67">
        <f t="shared" si="56"/>
        <v>428.83204226482388</v>
      </c>
      <c r="I90" s="7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7.1416666666666657</v>
      </c>
      <c r="N90" s="13">
        <f>IF('Données projet'!$A$36&gt;35,N89+M90-V89,IF(A90&lt;'Données projet'!$A$36,$K$205^A90,IF(A90='Données projet'!$A$36,'Données projet'!$B$36,N89+M90-V89)))</f>
        <v>445.6749999999999</v>
      </c>
      <c r="O90" s="13">
        <f>N90*VLOOKUP('Données projet'!$B$9,Paramètres!$A$1:$I$89,3,0)*VLOOKUP('Données projet'!$B$9,Paramètres!$A$1:$I$89,5,0)</f>
        <v>249.13232499999995</v>
      </c>
      <c r="P90" s="13">
        <f t="shared" si="87"/>
        <v>60.400103731076321</v>
      </c>
      <c r="Q90" s="20">
        <f t="shared" si="54"/>
        <v>539.10231337329117</v>
      </c>
      <c r="R90" s="59">
        <f t="shared" si="55"/>
        <v>832.43564670662454</v>
      </c>
      <c r="S90" s="59">
        <f ca="1">AVERAGE(OFFSET($R$3,0,0,'Données projet'!$E$9+1,1))-AVERAGE(OFFSET($H$3,0,0,'Données projet'!$E$9+1,1))</f>
        <v>280.69347314340195</v>
      </c>
      <c r="T90" s="59">
        <f t="shared" si="88"/>
        <v>152.40533828556482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51.672908051291508</v>
      </c>
      <c r="AA90" s="21">
        <f>EXP(-LN(2)/25)*AA89+(1-EXP(-LN(2)/25))/(LN(2)/25)*Calculateur!V90*Calculateur!X90*VLOOKUP('Données projet'!$B$9,Paramètres!$A$1:$I$89,3,0)*0.475*44/12</f>
        <v>19.742412669252705</v>
      </c>
      <c r="AB90" s="21">
        <f>EXP(-LN(2)/2)*AB89+(1-EXP(-LN(2)/2))/(LN(2)/2)*V90*Y90*VLOOKUP('Données projet'!$B$9,Paramètres!$A$1:$I$89,3,0)*0.475*44/12</f>
        <v>3.1890192711340939</v>
      </c>
      <c r="AC90" s="22">
        <f t="shared" si="57"/>
        <v>74.604339991678316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0</v>
      </c>
      <c r="AI90" s="13">
        <f>IF('Données projet'!$A$62&gt;35,AI89+AH90-AQ89,IF(A90&lt;'Données projet'!$A$62,$AF$205^A90,IF(A90='Données projet'!$A$62,'Données projet'!$B$62,AI89+AH90-AQ89)))</f>
        <v>0</v>
      </c>
      <c r="AJ90" s="13">
        <f>AI90*VLOOKUP('Données projet'!$B$10,Paramètres!$A$1:$I$89,3,0)*VLOOKUP('Données projet'!$B$10,Paramètres!$A$1:$I$89,5,0)</f>
        <v>0</v>
      </c>
      <c r="AK90" s="13" t="e">
        <f t="shared" si="89"/>
        <v>#NUM!</v>
      </c>
      <c r="AL90" s="20" t="e">
        <f t="shared" si="58"/>
        <v>#NUM!</v>
      </c>
      <c r="AM90" s="59" t="e">
        <f t="shared" si="59"/>
        <v>#NUM!</v>
      </c>
      <c r="AN90" s="59">
        <f ca="1">AVERAGE(OFFSET($AM$3,0,0,'Données projet'!$E$10+1,1))-AVERAGE(OFFSET($H$3,0,0,'Données projet'!$E$10+1,1))</f>
        <v>179.4725256147085</v>
      </c>
      <c r="AO90" s="59">
        <f t="shared" si="90"/>
        <v>282.16750121151176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84.586848813278579</v>
      </c>
      <c r="AV90" s="21">
        <f>EXP(-LN(2)/25)*AV89+(1-EXP(-LN(2)/25))/(LN(2)/25)*Calculateur!AQ90*Calculateur!AS90*VLOOKUP('Données projet'!$B$10,Paramètres!$A$1:$I$89,3,0)*0.475*44/12</f>
        <v>23.11357168923373</v>
      </c>
      <c r="AW90" s="21">
        <f>EXP(-LN(2)/2)*AW89+(1-EXP(-LN(2)/2))/(LN(2)/2)*AQ90*AT90*VLOOKUP('Données projet'!$B$10,Paramètres!$A$1:$I$89,3,0)*0.475*44/12</f>
        <v>3.7220124200048137E-3</v>
      </c>
      <c r="AX90" s="21">
        <f t="shared" si="60"/>
        <v>107.70414251493231</v>
      </c>
      <c r="AY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9.92</v>
      </c>
      <c r="BD90" s="12">
        <f>IF('Données projet'!$A$88&gt;35,BD89+BC90-BL89,IF(A90&lt;'Données projet'!$A$88,$BA$205^A90,IF(A90='Données projet'!$A$88,'Données projet'!$B$88,BD89+BC90-BL89)))</f>
        <v>260.61000000000053</v>
      </c>
      <c r="BE90" s="13">
        <f>BD90*VLOOKUP('Données projet'!$B$11,Paramètres!$A$1:$I$89,3,0)*VLOOKUP('Données projet'!$B$11,Paramètres!$A$1:$I$89,5,0)</f>
        <v>223.6033800000005</v>
      </c>
      <c r="BF90" s="13">
        <f t="shared" si="91"/>
        <v>54.897320501996425</v>
      </c>
      <c r="BG90" s="20">
        <f t="shared" si="61"/>
        <v>485.05538670764457</v>
      </c>
      <c r="BH90" s="59">
        <f t="shared" si="62"/>
        <v>778.38872004097789</v>
      </c>
      <c r="BI90" s="59">
        <f ca="1">AVERAGE(OFFSET($BH$3,0,0,'Données projet'!$E$11+1,1))-AVERAGE(OFFSET($H$3,0,0,'Données projet'!$E$11+1,1))</f>
        <v>312.89478437044261</v>
      </c>
      <c r="BJ90" s="59">
        <f t="shared" si="92"/>
        <v>276.16555507854571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>
        <f>EXP(-LN(2)/35)*BP89+(1-EXP(-LN(2)/35))/(LN(2)/35)*BL90*BM90*VLOOKUP('Données projet'!$B$11,Paramètres!$A$1:$I$89,3,0)*0.475*44/12</f>
        <v>9.2301361443987506</v>
      </c>
      <c r="BQ90" s="21">
        <f>EXP(-LN(2)/25)*BQ89+(1-EXP(-LN(2)/25))/(LN(2)/25)*Calculateur!BL90*Calculateur!BN90*VLOOKUP('Données projet'!$B$11,Paramètres!$A$1:$I$89,3,0)*0.475*44/12</f>
        <v>45.894273093457386</v>
      </c>
      <c r="BR90" s="21">
        <f>EXP(-LN(2)/2)*BR89+(1-EXP(-LN(2)/2))/(LN(2)/2)*BL90*BO90*VLOOKUP('Données projet'!$B$11,Paramètres!$A$1:$I$89,3,0)*0.475*44/12</f>
        <v>4.1997590471319235</v>
      </c>
      <c r="BS90" s="22">
        <f t="shared" si="63"/>
        <v>59.324168284988062</v>
      </c>
      <c r="BT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0</v>
      </c>
      <c r="BY90" s="12">
        <f>IF('Données projet'!$A$114&gt;35,BY89+BX90-CG89,IF(A90&lt;'Données projet'!$A$114,$BV$205^A90,IF(A90='Données projet'!$A$114,'Données projet'!$B$114,BY89+BX90-CG89)))</f>
        <v>0</v>
      </c>
      <c r="BZ90" s="13" t="e">
        <f>BY90*VLOOKUP('Données projet'!$B$12,Paramètres!$A$1:$I$89,3,0)*VLOOKUP('Données projet'!$B$12,Paramètres!$A$1:$I$89,5,0)</f>
        <v>#N/A</v>
      </c>
      <c r="CA90" s="13" t="e">
        <f t="shared" si="93"/>
        <v>#N/A</v>
      </c>
      <c r="CB90" s="20" t="e">
        <f t="shared" si="64"/>
        <v>#N/A</v>
      </c>
      <c r="CC90" s="59" t="e">
        <f t="shared" si="65"/>
        <v>#N/A</v>
      </c>
      <c r="CD90" s="59" t="e">
        <f ca="1">AVERAGE(OFFSET($CC$3,0,0,'Données projet'!$E$12+1,1))-AVERAGE(OFFSET($H$3,0,0,'Données projet'!$E$12+1,1))</f>
        <v>#N/A</v>
      </c>
      <c r="CE90" s="59" t="e">
        <f t="shared" si="94"/>
        <v>#N/A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 t="e">
        <f>EXP(-LN(2)/35)*CK89+(1-EXP(-LN(2)/35))/(LN(2)/35)*CG90*CH90*VLOOKUP('Données projet'!$B$12,Paramètres!$A$1:$I$89,3,0)*0.475*44/12</f>
        <v>#N/A</v>
      </c>
      <c r="CL90" s="21" t="e">
        <f>EXP(-LN(2)/25)*CL89+(1-EXP(-LN(2)/25))/(LN(2)/25)*Calculateur!CG90*Calculateur!CI90*VLOOKUP('Données projet'!$B$12,Paramètres!$A$1:$I$89,3,0)*0.475*44/12</f>
        <v>#N/A</v>
      </c>
      <c r="CM90" s="21" t="e">
        <f>EXP(-LN(2)/2)*CM89+(1-EXP(-LN(2)/2))/(LN(2)/2)*CG90*CJ90*VLOOKUP('Données projet'!$B$12,Paramètres!$A$1:$I$89,3,0)*0.475*44/12</f>
        <v>#N/A</v>
      </c>
      <c r="CN90" s="22" t="e">
        <f t="shared" si="66"/>
        <v>#N/A</v>
      </c>
      <c r="CO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0</v>
      </c>
      <c r="CT90" s="12">
        <f>IF('Données projet'!$A$140&gt;35,CT89+CS90-DB89,IF(A90&lt;'Données projet'!$A$140,$CQ$205^A90,IF(A90='Données projet'!$A$140,'Données projet'!$B$140,CT89+CS90-DB89)))</f>
        <v>0</v>
      </c>
      <c r="CU90" s="17" t="e">
        <f>CT90*VLOOKUP('Données projet'!$B$13,Paramètres!$A$1:$I$89,3,0)*VLOOKUP('Données projet'!$B$13,Paramètres!$A$1:$I$89,5,0)</f>
        <v>#N/A</v>
      </c>
      <c r="CV90" s="13" t="e">
        <f t="shared" si="95"/>
        <v>#N/A</v>
      </c>
      <c r="CW90" s="20" t="e">
        <f t="shared" si="67"/>
        <v>#N/A</v>
      </c>
      <c r="CX90" s="59" t="e">
        <f t="shared" si="68"/>
        <v>#N/A</v>
      </c>
      <c r="CY90" s="59" t="e">
        <f ca="1">AVERAGE(OFFSET($CX$3,0,0,'Données projet'!$E$13+1,1))-AVERAGE(OFFSET($H$3,0,0,'Données projet'!$E$13+1,1))</f>
        <v>#N/A</v>
      </c>
      <c r="CZ90" s="59" t="e">
        <f t="shared" si="96"/>
        <v>#N/A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 t="e">
        <f>EXP(-LN(2)/35)*DF89+(1-EXP(-LN(2)/35))/(LN(2)/35)*DB90*DC90*VLOOKUP('Données projet'!$B$13,Paramètres!$A$1:$I$89,3,0)*0.475*44/12</f>
        <v>#N/A</v>
      </c>
      <c r="DG90" s="21" t="e">
        <f>EXP(-LN(2)/25)*DG89+(1-EXP(-LN(2)/25))/(LN(2)/25)*Calculateur!DB90*Calculateur!DD90*VLOOKUP('Données projet'!$B$13,Paramètres!$A$1:$I$89,3,0)*0.475*44/12</f>
        <v>#N/A</v>
      </c>
      <c r="DH90" s="21" t="e">
        <f>EXP(-LN(2)/2)*DH89+(1-EXP(-LN(2)/2))/(LN(2)/2)*DB90*DE90*VLOOKUP('Données projet'!$B$13,Paramètres!$A$1:$I$89,3,0)*0.475*44/12</f>
        <v>#N/A</v>
      </c>
      <c r="DI90" s="22" t="e">
        <f t="shared" si="69"/>
        <v>#N/A</v>
      </c>
      <c r="DJ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0</v>
      </c>
      <c r="DP90" s="17" t="e">
        <f>DO90*VLOOKUP('Données projet'!$B$14,Paramètres!$A$1:$I$89,3,0)*VLOOKUP('Données projet'!$B$14,Paramètres!$A$1:$I$89,5,0)</f>
        <v>#N/A</v>
      </c>
      <c r="DQ90" s="13" t="e">
        <f t="shared" si="97"/>
        <v>#N/A</v>
      </c>
      <c r="DR90" s="20" t="e">
        <f t="shared" si="70"/>
        <v>#N/A</v>
      </c>
      <c r="DS90" s="59" t="e">
        <f t="shared" si="71"/>
        <v>#N/A</v>
      </c>
      <c r="DT90" s="59" t="e">
        <f ca="1">AVERAGE(OFFSET($DS$3,0,0,'Données projet'!$E$14+1,1))-AVERAGE(OFFSET($H$3,0,0,'Données projet'!$E$14+1,1))</f>
        <v>#N/A</v>
      </c>
      <c r="DU90" s="59" t="e">
        <f t="shared" si="98"/>
        <v>#N/A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 t="e">
        <f>EXP(-LN(2)/35)*EA89+(1-EXP(-LN(2)/35))/(LN(2)/35)*DW90*DX90*VLOOKUP('Données projet'!$B$14,Paramètres!$A$1:$I$89,3,0)*0.475*44/12</f>
        <v>#N/A</v>
      </c>
      <c r="EB90" s="21" t="e">
        <f>EXP(-LN(2)/25)*EB89+(1-EXP(-LN(2)/25))/(LN(2)/25)*Calculateur!DW90*Calculateur!DY90*VLOOKUP('Données projet'!$B$14,Paramètres!$A$1:$I$89,3,0)*0.475*44/12</f>
        <v>#N/A</v>
      </c>
      <c r="EC90" s="21" t="e">
        <f>EXP(-LN(2)/2)*EC89+(1-EXP(-LN(2)/2))/(LN(2)/2)*DW90*DZ90*VLOOKUP('Données projet'!$B$14,Paramètres!$A$1:$I$89,3,0)*0.475*44/12</f>
        <v>#N/A</v>
      </c>
      <c r="ED90" s="22" t="e">
        <f t="shared" si="72"/>
        <v>#N/A</v>
      </c>
      <c r="EE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0</v>
      </c>
      <c r="EK90" s="17" t="e">
        <f>EJ90*VLOOKUP('Données projet'!$B$15,Paramètres!$A$1:$I$89,3,0)*VLOOKUP('Données projet'!$B$15,Paramètres!$A$1:$I$89,5,0)</f>
        <v>#N/A</v>
      </c>
      <c r="EL90" s="13" t="e">
        <f t="shared" si="99"/>
        <v>#N/A</v>
      </c>
      <c r="EM90" s="20" t="e">
        <f t="shared" si="73"/>
        <v>#N/A</v>
      </c>
      <c r="EN90" s="59" t="e">
        <f t="shared" si="74"/>
        <v>#N/A</v>
      </c>
      <c r="EO90" s="59" t="e">
        <f ca="1">AVERAGE(OFFSET($EN$3,0,0,'Données projet'!$E$15+1,1))-AVERAGE(OFFSET($H$3,0,0,'Données projet'!$E$15+1,1))</f>
        <v>#N/A</v>
      </c>
      <c r="EP90" s="59" t="e">
        <f t="shared" si="100"/>
        <v>#N/A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 t="e">
        <f>EXP(-LN(2)/35)*EV89+(1-EXP(-LN(2)/35))/(LN(2)/35)*ER90*ES90*VLOOKUP('Données projet'!$B$15,Paramètres!$A$1:$I$89,3,0)*0.475*44/12</f>
        <v>#N/A</v>
      </c>
      <c r="EW90" s="21" t="e">
        <f>EXP(-LN(2)/25)*EW89+(1-EXP(-LN(2)/25))/(LN(2)/25)*Calculateur!ER90*Calculateur!ET90*VLOOKUP('Données projet'!$B$15,Paramètres!$A$1:$I$89,3,0)*0.475*44/12</f>
        <v>#N/A</v>
      </c>
      <c r="EX90" s="21" t="e">
        <f>EXP(-LN(2)/2)*EX89+(1-EXP(-LN(2)/2))/(LN(2)/2)*ER90*EU90*VLOOKUP('Données projet'!$B$15,Paramètres!$A$1:$I$89,3,0)*0.475*44/12</f>
        <v>#N/A</v>
      </c>
      <c r="EY90" s="22" t="e">
        <f t="shared" si="75"/>
        <v>#N/A</v>
      </c>
      <c r="EZ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9" t="e">
        <f t="shared" si="77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45">
      <c r="A91" s="10">
        <f t="shared" si="85"/>
        <v>88</v>
      </c>
      <c r="B91" s="73">
        <f>'Scénario référence'!$B$16*5+'Scénario référence'!$B$17*0+'Scénario référence'!$B$18*5</f>
        <v>0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78.249600000000115</v>
      </c>
      <c r="D91" s="11">
        <f t="shared" si="86"/>
        <v>21.70865274023982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">
        <f>IF(OR('Scénario référence'!$F$8&gt;0,'Scénario référence'!$F$9&gt;0),('Scénario référence'!$F$8+'Scénario référence'!$F$9)*10,0)</f>
        <v>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771.60756501237847</v>
      </c>
      <c r="H91" s="67">
        <f t="shared" si="56"/>
        <v>430.76062352258458</v>
      </c>
      <c r="I91" s="7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7.1416666666666657</v>
      </c>
      <c r="N91" s="13">
        <f>IF('Données projet'!$A$36&gt;35,N90+M91-V90,IF(A91&lt;'Données projet'!$A$36,$K$205^A91,IF(A91='Données projet'!$A$36,'Données projet'!$B$36,N90+M91-V90)))</f>
        <v>452.81666666666655</v>
      </c>
      <c r="O91" s="13">
        <f>N91*VLOOKUP('Données projet'!$B$9,Paramètres!$A$1:$I$89,3,0)*VLOOKUP('Données projet'!$B$9,Paramètres!$A$1:$I$89,5,0)</f>
        <v>253.12451666666658</v>
      </c>
      <c r="P91" s="13">
        <f t="shared" si="87"/>
        <v>61.254524647287759</v>
      </c>
      <c r="Q91" s="20">
        <f t="shared" si="54"/>
        <v>547.54349695513713</v>
      </c>
      <c r="R91" s="59">
        <f t="shared" si="55"/>
        <v>840.8768302884705</v>
      </c>
      <c r="S91" s="59">
        <f ca="1">AVERAGE(OFFSET($R$3,0,0,'Données projet'!$E$9+1,1))-AVERAGE(OFFSET($H$3,0,0,'Données projet'!$E$9+1,1))</f>
        <v>280.69347314340195</v>
      </c>
      <c r="T91" s="59">
        <f t="shared" si="88"/>
        <v>152.40533828556482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50.659633841767508</v>
      </c>
      <c r="AA91" s="21">
        <f>EXP(-LN(2)/25)*AA90+(1-EXP(-LN(2)/25))/(LN(2)/25)*Calculateur!V91*Calculateur!X91*VLOOKUP('Données projet'!$B$9,Paramètres!$A$1:$I$89,3,0)*0.475*44/12</f>
        <v>19.202555356603629</v>
      </c>
      <c r="AB91" s="21">
        <f>EXP(-LN(2)/2)*AB90+(1-EXP(-LN(2)/2))/(LN(2)/2)*V91*Y91*VLOOKUP('Données projet'!$B$9,Paramètres!$A$1:$I$89,3,0)*0.475*44/12</f>
        <v>2.2549771519534993</v>
      </c>
      <c r="AC91" s="22">
        <f t="shared" si="57"/>
        <v>72.117166350324638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0</v>
      </c>
      <c r="AI91" s="13">
        <f>IF('Données projet'!$A$62&gt;35,AI90+AH91-AQ90,IF(A91&lt;'Données projet'!$A$62,$AF$205^A91,IF(A91='Données projet'!$A$62,'Données projet'!$B$62,AI90+AH91-AQ90)))</f>
        <v>0</v>
      </c>
      <c r="AJ91" s="13">
        <f>AI91*VLOOKUP('Données projet'!$B$10,Paramètres!$A$1:$I$89,3,0)*VLOOKUP('Données projet'!$B$10,Paramètres!$A$1:$I$89,5,0)</f>
        <v>0</v>
      </c>
      <c r="AK91" s="13" t="e">
        <f t="shared" si="89"/>
        <v>#NUM!</v>
      </c>
      <c r="AL91" s="20" t="e">
        <f t="shared" si="58"/>
        <v>#NUM!</v>
      </c>
      <c r="AM91" s="59" t="e">
        <f t="shared" si="59"/>
        <v>#NUM!</v>
      </c>
      <c r="AN91" s="59">
        <f ca="1">AVERAGE(OFFSET($AM$3,0,0,'Données projet'!$E$10+1,1))-AVERAGE(OFFSET($H$3,0,0,'Données projet'!$E$10+1,1))</f>
        <v>179.4725256147085</v>
      </c>
      <c r="AO91" s="59">
        <f t="shared" si="90"/>
        <v>282.16750121151176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82.92815230093359</v>
      </c>
      <c r="AV91" s="21">
        <f>EXP(-LN(2)/25)*AV90+(1-EXP(-LN(2)/25))/(LN(2)/25)*Calculateur!AQ91*Calculateur!AS91*VLOOKUP('Données projet'!$B$10,Paramètres!$A$1:$I$89,3,0)*0.475*44/12</f>
        <v>22.481529855901726</v>
      </c>
      <c r="AW91" s="21">
        <f>EXP(-LN(2)/2)*AW90+(1-EXP(-LN(2)/2))/(LN(2)/2)*AQ91*AT91*VLOOKUP('Données projet'!$B$10,Paramètres!$A$1:$I$89,3,0)*0.475*44/12</f>
        <v>2.6318602218459563E-3</v>
      </c>
      <c r="AX91" s="21">
        <f t="shared" si="60"/>
        <v>105.41231401705716</v>
      </c>
      <c r="AY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9.92</v>
      </c>
      <c r="BD91" s="12">
        <f>IF('Données projet'!$A$88&gt;35,BD90+BC91-BL90,IF(A91&lt;'Données projet'!$A$88,$BA$205^A91,IF(A91='Données projet'!$A$88,'Données projet'!$B$88,BD90+BC91-BL90)))</f>
        <v>270.53000000000054</v>
      </c>
      <c r="BE91" s="13">
        <f>BD91*VLOOKUP('Données projet'!$B$11,Paramètres!$A$1:$I$89,3,0)*VLOOKUP('Données projet'!$B$11,Paramètres!$A$1:$I$89,5,0)</f>
        <v>232.11474000000047</v>
      </c>
      <c r="BF91" s="13">
        <f t="shared" si="91"/>
        <v>56.739693907453834</v>
      </c>
      <c r="BG91" s="20">
        <f t="shared" si="61"/>
        <v>503.08813905548283</v>
      </c>
      <c r="BH91" s="59">
        <f t="shared" si="62"/>
        <v>796.42147238881614</v>
      </c>
      <c r="BI91" s="59">
        <f ca="1">AVERAGE(OFFSET($BH$3,0,0,'Données projet'!$E$11+1,1))-AVERAGE(OFFSET($H$3,0,0,'Données projet'!$E$11+1,1))</f>
        <v>312.89478437044261</v>
      </c>
      <c r="BJ91" s="59">
        <f t="shared" si="92"/>
        <v>276.16555507854571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>
        <f>EXP(-LN(2)/35)*BP90+(1-EXP(-LN(2)/35))/(LN(2)/35)*BL91*BM91*VLOOKUP('Données projet'!$B$11,Paramètres!$A$1:$I$89,3,0)*0.475*44/12</f>
        <v>9.0491388044342393</v>
      </c>
      <c r="BQ91" s="21">
        <f>EXP(-LN(2)/25)*BQ90+(1-EXP(-LN(2)/25))/(LN(2)/25)*Calculateur!BL91*Calculateur!BN91*VLOOKUP('Données projet'!$B$11,Paramètres!$A$1:$I$89,3,0)*0.475*44/12</f>
        <v>44.639291782241862</v>
      </c>
      <c r="BR91" s="21">
        <f>EXP(-LN(2)/2)*BR90+(1-EXP(-LN(2)/2))/(LN(2)/2)*BL91*BO91*VLOOKUP('Données projet'!$B$11,Paramètres!$A$1:$I$89,3,0)*0.475*44/12</f>
        <v>2.9696781015765366</v>
      </c>
      <c r="BS91" s="22">
        <f t="shared" si="63"/>
        <v>56.658108688252639</v>
      </c>
      <c r="BT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0</v>
      </c>
      <c r="BY91" s="12">
        <f>IF('Données projet'!$A$114&gt;35,BY90+BX91-CG90,IF(A91&lt;'Données projet'!$A$114,$BV$205^A91,IF(A91='Données projet'!$A$114,'Données projet'!$B$114,BY90+BX91-CG90)))</f>
        <v>0</v>
      </c>
      <c r="BZ91" s="13" t="e">
        <f>BY91*VLOOKUP('Données projet'!$B$12,Paramètres!$A$1:$I$89,3,0)*VLOOKUP('Données projet'!$B$12,Paramètres!$A$1:$I$89,5,0)</f>
        <v>#N/A</v>
      </c>
      <c r="CA91" s="13" t="e">
        <f t="shared" si="93"/>
        <v>#N/A</v>
      </c>
      <c r="CB91" s="20" t="e">
        <f t="shared" si="64"/>
        <v>#N/A</v>
      </c>
      <c r="CC91" s="59" t="e">
        <f t="shared" si="65"/>
        <v>#N/A</v>
      </c>
      <c r="CD91" s="59" t="e">
        <f ca="1">AVERAGE(OFFSET($CC$3,0,0,'Données projet'!$E$12+1,1))-AVERAGE(OFFSET($H$3,0,0,'Données projet'!$E$12+1,1))</f>
        <v>#N/A</v>
      </c>
      <c r="CE91" s="59" t="e">
        <f t="shared" si="94"/>
        <v>#N/A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 t="e">
        <f>EXP(-LN(2)/35)*CK90+(1-EXP(-LN(2)/35))/(LN(2)/35)*CG91*CH91*VLOOKUP('Données projet'!$B$12,Paramètres!$A$1:$I$89,3,0)*0.475*44/12</f>
        <v>#N/A</v>
      </c>
      <c r="CL91" s="21" t="e">
        <f>EXP(-LN(2)/25)*CL90+(1-EXP(-LN(2)/25))/(LN(2)/25)*Calculateur!CG91*Calculateur!CI91*VLOOKUP('Données projet'!$B$12,Paramètres!$A$1:$I$89,3,0)*0.475*44/12</f>
        <v>#N/A</v>
      </c>
      <c r="CM91" s="21" t="e">
        <f>EXP(-LN(2)/2)*CM90+(1-EXP(-LN(2)/2))/(LN(2)/2)*CG91*CJ91*VLOOKUP('Données projet'!$B$12,Paramètres!$A$1:$I$89,3,0)*0.475*44/12</f>
        <v>#N/A</v>
      </c>
      <c r="CN91" s="22" t="e">
        <f t="shared" si="66"/>
        <v>#N/A</v>
      </c>
      <c r="CO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0</v>
      </c>
      <c r="CT91" s="12">
        <f>IF('Données projet'!$A$140&gt;35,CT90+CS91-DB90,IF(A91&lt;'Données projet'!$A$140,$CQ$205^A91,IF(A91='Données projet'!$A$140,'Données projet'!$B$140,CT90+CS91-DB90)))</f>
        <v>0</v>
      </c>
      <c r="CU91" s="17" t="e">
        <f>CT91*VLOOKUP('Données projet'!$B$13,Paramètres!$A$1:$I$89,3,0)*VLOOKUP('Données projet'!$B$13,Paramètres!$A$1:$I$89,5,0)</f>
        <v>#N/A</v>
      </c>
      <c r="CV91" s="13" t="e">
        <f t="shared" si="95"/>
        <v>#N/A</v>
      </c>
      <c r="CW91" s="20" t="e">
        <f t="shared" si="67"/>
        <v>#N/A</v>
      </c>
      <c r="CX91" s="59" t="e">
        <f t="shared" si="68"/>
        <v>#N/A</v>
      </c>
      <c r="CY91" s="59" t="e">
        <f ca="1">AVERAGE(OFFSET($CX$3,0,0,'Données projet'!$E$13+1,1))-AVERAGE(OFFSET($H$3,0,0,'Données projet'!$E$13+1,1))</f>
        <v>#N/A</v>
      </c>
      <c r="CZ91" s="59" t="e">
        <f t="shared" si="96"/>
        <v>#N/A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 t="e">
        <f>EXP(-LN(2)/35)*DF90+(1-EXP(-LN(2)/35))/(LN(2)/35)*DB91*DC91*VLOOKUP('Données projet'!$B$13,Paramètres!$A$1:$I$89,3,0)*0.475*44/12</f>
        <v>#N/A</v>
      </c>
      <c r="DG91" s="21" t="e">
        <f>EXP(-LN(2)/25)*DG90+(1-EXP(-LN(2)/25))/(LN(2)/25)*Calculateur!DB91*Calculateur!DD91*VLOOKUP('Données projet'!$B$13,Paramètres!$A$1:$I$89,3,0)*0.475*44/12</f>
        <v>#N/A</v>
      </c>
      <c r="DH91" s="21" t="e">
        <f>EXP(-LN(2)/2)*DH90+(1-EXP(-LN(2)/2))/(LN(2)/2)*DB91*DE91*VLOOKUP('Données projet'!$B$13,Paramètres!$A$1:$I$89,3,0)*0.475*44/12</f>
        <v>#N/A</v>
      </c>
      <c r="DI91" s="22" t="e">
        <f t="shared" si="69"/>
        <v>#N/A</v>
      </c>
      <c r="DJ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0</v>
      </c>
      <c r="DP91" s="17" t="e">
        <f>DO91*VLOOKUP('Données projet'!$B$14,Paramètres!$A$1:$I$89,3,0)*VLOOKUP('Données projet'!$B$14,Paramètres!$A$1:$I$89,5,0)</f>
        <v>#N/A</v>
      </c>
      <c r="DQ91" s="13" t="e">
        <f t="shared" si="97"/>
        <v>#N/A</v>
      </c>
      <c r="DR91" s="20" t="e">
        <f t="shared" si="70"/>
        <v>#N/A</v>
      </c>
      <c r="DS91" s="59" t="e">
        <f t="shared" si="71"/>
        <v>#N/A</v>
      </c>
      <c r="DT91" s="59" t="e">
        <f ca="1">AVERAGE(OFFSET($DS$3,0,0,'Données projet'!$E$14+1,1))-AVERAGE(OFFSET($H$3,0,0,'Données projet'!$E$14+1,1))</f>
        <v>#N/A</v>
      </c>
      <c r="DU91" s="59" t="e">
        <f t="shared" si="98"/>
        <v>#N/A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 t="e">
        <f>EXP(-LN(2)/35)*EA90+(1-EXP(-LN(2)/35))/(LN(2)/35)*DW91*DX91*VLOOKUP('Données projet'!$B$14,Paramètres!$A$1:$I$89,3,0)*0.475*44/12</f>
        <v>#N/A</v>
      </c>
      <c r="EB91" s="21" t="e">
        <f>EXP(-LN(2)/25)*EB90+(1-EXP(-LN(2)/25))/(LN(2)/25)*Calculateur!DW91*Calculateur!DY91*VLOOKUP('Données projet'!$B$14,Paramètres!$A$1:$I$89,3,0)*0.475*44/12</f>
        <v>#N/A</v>
      </c>
      <c r="EC91" s="21" t="e">
        <f>EXP(-LN(2)/2)*EC90+(1-EXP(-LN(2)/2))/(LN(2)/2)*DW91*DZ91*VLOOKUP('Données projet'!$B$14,Paramètres!$A$1:$I$89,3,0)*0.475*44/12</f>
        <v>#N/A</v>
      </c>
      <c r="ED91" s="22" t="e">
        <f t="shared" si="72"/>
        <v>#N/A</v>
      </c>
      <c r="EE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0</v>
      </c>
      <c r="EK91" s="17" t="e">
        <f>EJ91*VLOOKUP('Données projet'!$B$15,Paramètres!$A$1:$I$89,3,0)*VLOOKUP('Données projet'!$B$15,Paramètres!$A$1:$I$89,5,0)</f>
        <v>#N/A</v>
      </c>
      <c r="EL91" s="13" t="e">
        <f t="shared" si="99"/>
        <v>#N/A</v>
      </c>
      <c r="EM91" s="20" t="e">
        <f t="shared" si="73"/>
        <v>#N/A</v>
      </c>
      <c r="EN91" s="59" t="e">
        <f t="shared" si="74"/>
        <v>#N/A</v>
      </c>
      <c r="EO91" s="59" t="e">
        <f ca="1">AVERAGE(OFFSET($EN$3,0,0,'Données projet'!$E$15+1,1))-AVERAGE(OFFSET($H$3,0,0,'Données projet'!$E$15+1,1))</f>
        <v>#N/A</v>
      </c>
      <c r="EP91" s="59" t="e">
        <f t="shared" si="100"/>
        <v>#N/A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 t="e">
        <f>EXP(-LN(2)/35)*EV90+(1-EXP(-LN(2)/35))/(LN(2)/35)*ER91*ES91*VLOOKUP('Données projet'!$B$15,Paramètres!$A$1:$I$89,3,0)*0.475*44/12</f>
        <v>#N/A</v>
      </c>
      <c r="EW91" s="21" t="e">
        <f>EXP(-LN(2)/25)*EW90+(1-EXP(-LN(2)/25))/(LN(2)/25)*Calculateur!ER91*Calculateur!ET91*VLOOKUP('Données projet'!$B$15,Paramètres!$A$1:$I$89,3,0)*0.475*44/12</f>
        <v>#N/A</v>
      </c>
      <c r="EX91" s="21" t="e">
        <f>EXP(-LN(2)/2)*EX90+(1-EXP(-LN(2)/2))/(LN(2)/2)*ER91*EU91*VLOOKUP('Données projet'!$B$15,Paramètres!$A$1:$I$89,3,0)*0.475*44/12</f>
        <v>#N/A</v>
      </c>
      <c r="EY91" s="22" t="e">
        <f t="shared" si="75"/>
        <v>#N/A</v>
      </c>
      <c r="EZ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9" t="e">
        <f t="shared" si="77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45">
      <c r="A92" s="10">
        <f t="shared" si="85"/>
        <v>89</v>
      </c>
      <c r="B92" s="73">
        <f>'Scénario référence'!$B$16*5+'Scénario référence'!$B$17*0+'Scénario référence'!$B$18*5</f>
        <v>0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79.138800000000117</v>
      </c>
      <c r="D92" s="11">
        <f t="shared" si="86"/>
        <v>21.926483794395363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">
        <f>IF(OR('Scénario référence'!$F$8&gt;0,'Scénario référence'!$F$9&gt;0),('Scénario référence'!$F$8+'Scénario référence'!$F$9)*10,0)</f>
        <v>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780.15306788656164</v>
      </c>
      <c r="H92" s="67">
        <f t="shared" si="56"/>
        <v>432.68870260857216</v>
      </c>
      <c r="I92" s="7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7.1416666666666657</v>
      </c>
      <c r="N92" s="13">
        <f>IF('Données projet'!$A$36&gt;35,N91+M92-V91,IF(A92&lt;'Données projet'!$A$36,$K$205^A92,IF(A92='Données projet'!$A$36,'Données projet'!$B$36,N91+M92-V91)))</f>
        <v>459.9583333333332</v>
      </c>
      <c r="O92" s="13">
        <f>N92*VLOOKUP('Données projet'!$B$9,Paramètres!$A$1:$I$89,3,0)*VLOOKUP('Données projet'!$B$9,Paramètres!$A$1:$I$89,5,0)</f>
        <v>257.11670833333329</v>
      </c>
      <c r="P92" s="13">
        <f t="shared" si="87"/>
        <v>62.107378370515953</v>
      </c>
      <c r="Q92" s="20">
        <f t="shared" si="54"/>
        <v>555.98195100920418</v>
      </c>
      <c r="R92" s="59">
        <f t="shared" si="55"/>
        <v>849.31528434253755</v>
      </c>
      <c r="S92" s="59">
        <f ca="1">AVERAGE(OFFSET($R$3,0,0,'Données projet'!$E$9+1,1))-AVERAGE(OFFSET($H$3,0,0,'Données projet'!$E$9+1,1))</f>
        <v>280.69347314340195</v>
      </c>
      <c r="T92" s="59">
        <f t="shared" si="88"/>
        <v>152.40533828556482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49.666229321456036</v>
      </c>
      <c r="AA92" s="21">
        <f>EXP(-LN(2)/25)*AA91+(1-EXP(-LN(2)/25))/(LN(2)/25)*Calculateur!V92*Calculateur!X92*VLOOKUP('Données projet'!$B$9,Paramètres!$A$1:$I$89,3,0)*0.475*44/12</f>
        <v>18.677460470558803</v>
      </c>
      <c r="AB92" s="21">
        <f>EXP(-LN(2)/2)*AB91+(1-EXP(-LN(2)/2))/(LN(2)/2)*V92*Y92*VLOOKUP('Données projet'!$B$9,Paramètres!$A$1:$I$89,3,0)*0.475*44/12</f>
        <v>1.5945096355670474</v>
      </c>
      <c r="AC92" s="22">
        <f t="shared" si="57"/>
        <v>69.938199427581893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0</v>
      </c>
      <c r="AI92" s="13">
        <f>IF('Données projet'!$A$62&gt;35,AI91+AH92-AQ91,IF(A92&lt;'Données projet'!$A$62,$AF$205^A92,IF(A92='Données projet'!$A$62,'Données projet'!$B$62,AI91+AH92-AQ91)))</f>
        <v>0</v>
      </c>
      <c r="AJ92" s="13">
        <f>AI92*VLOOKUP('Données projet'!$B$10,Paramètres!$A$1:$I$89,3,0)*VLOOKUP('Données projet'!$B$10,Paramètres!$A$1:$I$89,5,0)</f>
        <v>0</v>
      </c>
      <c r="AK92" s="13" t="e">
        <f t="shared" si="89"/>
        <v>#NUM!</v>
      </c>
      <c r="AL92" s="20" t="e">
        <f t="shared" si="58"/>
        <v>#NUM!</v>
      </c>
      <c r="AM92" s="59" t="e">
        <f t="shared" si="59"/>
        <v>#NUM!</v>
      </c>
      <c r="AN92" s="59">
        <f ca="1">AVERAGE(OFFSET($AM$3,0,0,'Données projet'!$E$10+1,1))-AVERAGE(OFFSET($H$3,0,0,'Données projet'!$E$10+1,1))</f>
        <v>179.4725256147085</v>
      </c>
      <c r="AO92" s="59">
        <f t="shared" si="90"/>
        <v>282.16750121151176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81.301981815490706</v>
      </c>
      <c r="AV92" s="21">
        <f>EXP(-LN(2)/25)*AV91+(1-EXP(-LN(2)/25))/(LN(2)/25)*Calculateur!AQ92*Calculateur!AS92*VLOOKUP('Données projet'!$B$10,Paramètres!$A$1:$I$89,3,0)*0.475*44/12</f>
        <v>21.866771239739823</v>
      </c>
      <c r="AW92" s="21">
        <f>EXP(-LN(2)/2)*AW91+(1-EXP(-LN(2)/2))/(LN(2)/2)*AQ92*AT92*VLOOKUP('Données projet'!$B$10,Paramètres!$A$1:$I$89,3,0)*0.475*44/12</f>
        <v>1.8610062100024071E-3</v>
      </c>
      <c r="AX92" s="21">
        <f t="shared" si="60"/>
        <v>103.17061406144053</v>
      </c>
      <c r="AY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9.92</v>
      </c>
      <c r="BD92" s="12">
        <f>IF('Données projet'!$A$88&gt;35,BD91+BC92-BL91,IF(A92&lt;'Données projet'!$A$88,$BA$205^A92,IF(A92='Données projet'!$A$88,'Données projet'!$B$88,BD91+BC92-BL91)))</f>
        <v>280.45000000000056</v>
      </c>
      <c r="BE92" s="13">
        <f>BD92*VLOOKUP('Données projet'!$B$11,Paramètres!$A$1:$I$89,3,0)*VLOOKUP('Données projet'!$B$11,Paramètres!$A$1:$I$89,5,0)</f>
        <v>240.62610000000049</v>
      </c>
      <c r="BF92" s="13">
        <f t="shared" si="91"/>
        <v>58.574218514336131</v>
      </c>
      <c r="BG92" s="20">
        <f t="shared" si="61"/>
        <v>521.10722141246958</v>
      </c>
      <c r="BH92" s="59">
        <f t="shared" si="62"/>
        <v>814.44055474580296</v>
      </c>
      <c r="BI92" s="59">
        <f ca="1">AVERAGE(OFFSET($BH$3,0,0,'Données projet'!$E$11+1,1))-AVERAGE(OFFSET($H$3,0,0,'Données projet'!$E$11+1,1))</f>
        <v>312.89478437044261</v>
      </c>
      <c r="BJ92" s="59">
        <f t="shared" si="92"/>
        <v>276.16555507854571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>
        <f>EXP(-LN(2)/35)*BP91+(1-EXP(-LN(2)/35))/(LN(2)/35)*BL92*BM92*VLOOKUP('Données projet'!$B$11,Paramètres!$A$1:$I$89,3,0)*0.475*44/12</f>
        <v>8.8716907119089559</v>
      </c>
      <c r="BQ92" s="21">
        <f>EXP(-LN(2)/25)*BQ91+(1-EXP(-LN(2)/25))/(LN(2)/25)*Calculateur!BL92*Calculateur!BN92*VLOOKUP('Données projet'!$B$11,Paramètres!$A$1:$I$89,3,0)*0.475*44/12</f>
        <v>43.418628000978131</v>
      </c>
      <c r="BR92" s="21">
        <f>EXP(-LN(2)/2)*BR91+(1-EXP(-LN(2)/2))/(LN(2)/2)*BL92*BO92*VLOOKUP('Données projet'!$B$11,Paramètres!$A$1:$I$89,3,0)*0.475*44/12</f>
        <v>2.0998795235659622</v>
      </c>
      <c r="BS92" s="22">
        <f t="shared" si="63"/>
        <v>54.390198236453045</v>
      </c>
      <c r="BT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0</v>
      </c>
      <c r="BY92" s="12">
        <f>IF('Données projet'!$A$114&gt;35,BY91+BX92-CG91,IF(A92&lt;'Données projet'!$A$114,$BV$205^A92,IF(A92='Données projet'!$A$114,'Données projet'!$B$114,BY91+BX92-CG91)))</f>
        <v>0</v>
      </c>
      <c r="BZ92" s="13" t="e">
        <f>BY92*VLOOKUP('Données projet'!$B$12,Paramètres!$A$1:$I$89,3,0)*VLOOKUP('Données projet'!$B$12,Paramètres!$A$1:$I$89,5,0)</f>
        <v>#N/A</v>
      </c>
      <c r="CA92" s="13" t="e">
        <f t="shared" si="93"/>
        <v>#N/A</v>
      </c>
      <c r="CB92" s="20" t="e">
        <f t="shared" si="64"/>
        <v>#N/A</v>
      </c>
      <c r="CC92" s="59" t="e">
        <f t="shared" si="65"/>
        <v>#N/A</v>
      </c>
      <c r="CD92" s="59" t="e">
        <f ca="1">AVERAGE(OFFSET($CC$3,0,0,'Données projet'!$E$12+1,1))-AVERAGE(OFFSET($H$3,0,0,'Données projet'!$E$12+1,1))</f>
        <v>#N/A</v>
      </c>
      <c r="CE92" s="59" t="e">
        <f t="shared" si="94"/>
        <v>#N/A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 t="e">
        <f>EXP(-LN(2)/35)*CK91+(1-EXP(-LN(2)/35))/(LN(2)/35)*CG92*CH92*VLOOKUP('Données projet'!$B$12,Paramètres!$A$1:$I$89,3,0)*0.475*44/12</f>
        <v>#N/A</v>
      </c>
      <c r="CL92" s="21" t="e">
        <f>EXP(-LN(2)/25)*CL91+(1-EXP(-LN(2)/25))/(LN(2)/25)*Calculateur!CG92*Calculateur!CI92*VLOOKUP('Données projet'!$B$12,Paramètres!$A$1:$I$89,3,0)*0.475*44/12</f>
        <v>#N/A</v>
      </c>
      <c r="CM92" s="21" t="e">
        <f>EXP(-LN(2)/2)*CM91+(1-EXP(-LN(2)/2))/(LN(2)/2)*CG92*CJ92*VLOOKUP('Données projet'!$B$12,Paramètres!$A$1:$I$89,3,0)*0.475*44/12</f>
        <v>#N/A</v>
      </c>
      <c r="CN92" s="22" t="e">
        <f t="shared" si="66"/>
        <v>#N/A</v>
      </c>
      <c r="CO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0</v>
      </c>
      <c r="CT92" s="12">
        <f>IF('Données projet'!$A$140&gt;35,CT91+CS92-DB91,IF(A92&lt;'Données projet'!$A$140,$CQ$205^A92,IF(A92='Données projet'!$A$140,'Données projet'!$B$140,CT91+CS92-DB91)))</f>
        <v>0</v>
      </c>
      <c r="CU92" s="17" t="e">
        <f>CT92*VLOOKUP('Données projet'!$B$13,Paramètres!$A$1:$I$89,3,0)*VLOOKUP('Données projet'!$B$13,Paramètres!$A$1:$I$89,5,0)</f>
        <v>#N/A</v>
      </c>
      <c r="CV92" s="13" t="e">
        <f t="shared" si="95"/>
        <v>#N/A</v>
      </c>
      <c r="CW92" s="20" t="e">
        <f t="shared" si="67"/>
        <v>#N/A</v>
      </c>
      <c r="CX92" s="59" t="e">
        <f t="shared" si="68"/>
        <v>#N/A</v>
      </c>
      <c r="CY92" s="59" t="e">
        <f ca="1">AVERAGE(OFFSET($CX$3,0,0,'Données projet'!$E$13+1,1))-AVERAGE(OFFSET($H$3,0,0,'Données projet'!$E$13+1,1))</f>
        <v>#N/A</v>
      </c>
      <c r="CZ92" s="59" t="e">
        <f t="shared" si="96"/>
        <v>#N/A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 t="e">
        <f>EXP(-LN(2)/35)*DF91+(1-EXP(-LN(2)/35))/(LN(2)/35)*DB92*DC92*VLOOKUP('Données projet'!$B$13,Paramètres!$A$1:$I$89,3,0)*0.475*44/12</f>
        <v>#N/A</v>
      </c>
      <c r="DG92" s="21" t="e">
        <f>EXP(-LN(2)/25)*DG91+(1-EXP(-LN(2)/25))/(LN(2)/25)*Calculateur!DB92*Calculateur!DD92*VLOOKUP('Données projet'!$B$13,Paramètres!$A$1:$I$89,3,0)*0.475*44/12</f>
        <v>#N/A</v>
      </c>
      <c r="DH92" s="21" t="e">
        <f>EXP(-LN(2)/2)*DH91+(1-EXP(-LN(2)/2))/(LN(2)/2)*DB92*DE92*VLOOKUP('Données projet'!$B$13,Paramètres!$A$1:$I$89,3,0)*0.475*44/12</f>
        <v>#N/A</v>
      </c>
      <c r="DI92" s="22" t="e">
        <f t="shared" si="69"/>
        <v>#N/A</v>
      </c>
      <c r="DJ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0</v>
      </c>
      <c r="DP92" s="17" t="e">
        <f>DO92*VLOOKUP('Données projet'!$B$14,Paramètres!$A$1:$I$89,3,0)*VLOOKUP('Données projet'!$B$14,Paramètres!$A$1:$I$89,5,0)</f>
        <v>#N/A</v>
      </c>
      <c r="DQ92" s="13" t="e">
        <f t="shared" si="97"/>
        <v>#N/A</v>
      </c>
      <c r="DR92" s="20" t="e">
        <f t="shared" si="70"/>
        <v>#N/A</v>
      </c>
      <c r="DS92" s="59" t="e">
        <f t="shared" si="71"/>
        <v>#N/A</v>
      </c>
      <c r="DT92" s="59" t="e">
        <f ca="1">AVERAGE(OFFSET($DS$3,0,0,'Données projet'!$E$14+1,1))-AVERAGE(OFFSET($H$3,0,0,'Données projet'!$E$14+1,1))</f>
        <v>#N/A</v>
      </c>
      <c r="DU92" s="59" t="e">
        <f t="shared" si="98"/>
        <v>#N/A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 t="e">
        <f>EXP(-LN(2)/35)*EA91+(1-EXP(-LN(2)/35))/(LN(2)/35)*DW92*DX92*VLOOKUP('Données projet'!$B$14,Paramètres!$A$1:$I$89,3,0)*0.475*44/12</f>
        <v>#N/A</v>
      </c>
      <c r="EB92" s="21" t="e">
        <f>EXP(-LN(2)/25)*EB91+(1-EXP(-LN(2)/25))/(LN(2)/25)*Calculateur!DW92*Calculateur!DY92*VLOOKUP('Données projet'!$B$14,Paramètres!$A$1:$I$89,3,0)*0.475*44/12</f>
        <v>#N/A</v>
      </c>
      <c r="EC92" s="21" t="e">
        <f>EXP(-LN(2)/2)*EC91+(1-EXP(-LN(2)/2))/(LN(2)/2)*DW92*DZ92*VLOOKUP('Données projet'!$B$14,Paramètres!$A$1:$I$89,3,0)*0.475*44/12</f>
        <v>#N/A</v>
      </c>
      <c r="ED92" s="22" t="e">
        <f t="shared" si="72"/>
        <v>#N/A</v>
      </c>
      <c r="EE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0</v>
      </c>
      <c r="EK92" s="17" t="e">
        <f>EJ92*VLOOKUP('Données projet'!$B$15,Paramètres!$A$1:$I$89,3,0)*VLOOKUP('Données projet'!$B$15,Paramètres!$A$1:$I$89,5,0)</f>
        <v>#N/A</v>
      </c>
      <c r="EL92" s="13" t="e">
        <f t="shared" si="99"/>
        <v>#N/A</v>
      </c>
      <c r="EM92" s="20" t="e">
        <f t="shared" si="73"/>
        <v>#N/A</v>
      </c>
      <c r="EN92" s="59" t="e">
        <f t="shared" si="74"/>
        <v>#N/A</v>
      </c>
      <c r="EO92" s="59" t="e">
        <f ca="1">AVERAGE(OFFSET($EN$3,0,0,'Données projet'!$E$15+1,1))-AVERAGE(OFFSET($H$3,0,0,'Données projet'!$E$15+1,1))</f>
        <v>#N/A</v>
      </c>
      <c r="EP92" s="59" t="e">
        <f t="shared" si="100"/>
        <v>#N/A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 t="e">
        <f>EXP(-LN(2)/35)*EV91+(1-EXP(-LN(2)/35))/(LN(2)/35)*ER92*ES92*VLOOKUP('Données projet'!$B$15,Paramètres!$A$1:$I$89,3,0)*0.475*44/12</f>
        <v>#N/A</v>
      </c>
      <c r="EW92" s="21" t="e">
        <f>EXP(-LN(2)/25)*EW91+(1-EXP(-LN(2)/25))/(LN(2)/25)*Calculateur!ER92*Calculateur!ET92*VLOOKUP('Données projet'!$B$15,Paramètres!$A$1:$I$89,3,0)*0.475*44/12</f>
        <v>#N/A</v>
      </c>
      <c r="EX92" s="21" t="e">
        <f>EXP(-LN(2)/2)*EX91+(1-EXP(-LN(2)/2))/(LN(2)/2)*ER92*EU92*VLOOKUP('Données projet'!$B$15,Paramètres!$A$1:$I$89,3,0)*0.475*44/12</f>
        <v>#N/A</v>
      </c>
      <c r="EY92" s="22" t="e">
        <f t="shared" si="75"/>
        <v>#N/A</v>
      </c>
      <c r="EZ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9" t="e">
        <f t="shared" si="77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45">
      <c r="A93" s="10">
        <f t="shared" si="85"/>
        <v>90</v>
      </c>
      <c r="B93" s="73">
        <f>'Scénario référence'!$B$16*5+'Scénario référence'!$B$17*0+'Scénario référence'!$B$18*5</f>
        <v>0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80.028000000000119</v>
      </c>
      <c r="D93" s="11">
        <f t="shared" si="86"/>
        <v>22.144030134787187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">
        <f>IF(OR('Scénario référence'!$F$8&gt;0,'Scénario référence'!$F$9&gt;0),('Scénario référence'!$F$8+'Scénario référence'!$F$9)*10,0)</f>
        <v>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788.69637297028794</v>
      </c>
      <c r="H93" s="67">
        <f t="shared" si="56"/>
        <v>434.61628581808787</v>
      </c>
      <c r="I93" s="7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 t="e">
        <f>VLOOKUP(A93,'Données projet'!$A$35:$I$55,2,0)</f>
        <v>#N/A</v>
      </c>
      <c r="L93" s="12" t="e">
        <f>VLOOKUP(A93,'Données projet'!$A$35:$I$55,9,0)</f>
        <v>#N/A</v>
      </c>
      <c r="M93" s="12">
        <f t="array" ref="M93">INDEX(L:L,MIN(IF(ISNUMBER(L93:L289),ROW(L93:L289),"")))</f>
        <v>7.1416666666666657</v>
      </c>
      <c r="N93" s="13">
        <f>IF('Données projet'!$A$36&gt;35,N92+M93-V92,IF(A93&lt;'Données projet'!$A$36,$K$205^A93,IF(A93='Données projet'!$A$36,'Données projet'!$B$36,N92+M93-V92)))</f>
        <v>467.09999999999985</v>
      </c>
      <c r="O93" s="13">
        <f>N93*VLOOKUP('Données projet'!$B$9,Paramètres!$A$1:$I$89,3,0)*VLOOKUP('Données projet'!$B$9,Paramètres!$A$1:$I$89,5,0)</f>
        <v>261.10889999999989</v>
      </c>
      <c r="P93" s="13">
        <f t="shared" si="87"/>
        <v>62.958692044279395</v>
      </c>
      <c r="Q93" s="20">
        <f t="shared" si="54"/>
        <v>564.41772281045303</v>
      </c>
      <c r="R93" s="59">
        <f t="shared" si="55"/>
        <v>857.7510561437864</v>
      </c>
      <c r="S93" s="59">
        <f ca="1">AVERAGE(OFFSET($R$3,0,0,'Données projet'!$E$9+1,1))-AVERAGE(OFFSET($H$3,0,0,'Données projet'!$E$9+1,1))</f>
        <v>280.69347314340195</v>
      </c>
      <c r="T93" s="59">
        <f t="shared" si="88"/>
        <v>152.40533828556482</v>
      </c>
      <c r="U93" s="15">
        <f>IF(ISNA(VLOOKUP(A93,'Données projet'!$A$35:$I$55,3,0)),0,VLOOKUP(A93,'Données projet'!$A$35:$I$55,3,0))</f>
        <v>0</v>
      </c>
      <c r="V93" s="15">
        <f>IF(ISNA(VLOOKUP(A93,'Données projet'!$A$35:$I$55,4,0)),0,VLOOKUP(A93,'Données projet'!$A$35:$I$55,4,0))</f>
        <v>0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48.692304857870944</v>
      </c>
      <c r="AA93" s="21">
        <f>EXP(-LN(2)/25)*AA92+(1-EXP(-LN(2)/25))/(LN(2)/25)*Calculateur!V93*Calculateur!X93*VLOOKUP('Données projet'!$B$9,Paramètres!$A$1:$I$89,3,0)*0.475*44/12</f>
        <v>18.166724331786416</v>
      </c>
      <c r="AB93" s="21">
        <f>EXP(-LN(2)/2)*AB92+(1-EXP(-LN(2)/2))/(LN(2)/2)*V93*Y93*VLOOKUP('Données projet'!$B$9,Paramètres!$A$1:$I$89,3,0)*0.475*44/12</f>
        <v>1.1274885759767499</v>
      </c>
      <c r="AC93" s="22">
        <f t="shared" si="57"/>
        <v>67.986517765634119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 t="e">
        <f>VLOOKUP(A93,'Données projet'!$A$61:$I$81,2,0)</f>
        <v>#N/A</v>
      </c>
      <c r="AG93" s="12" t="e">
        <f>VLOOKUP(A93,'Données projet'!$A$61:$I$81,9,0)</f>
        <v>#N/A</v>
      </c>
      <c r="AH93" s="12">
        <f t="array" ref="AH93">INDEX(AG:AG,MIN(IF(ISNUMBER(AG93:AG289),ROW(AG93:AG289),"")))</f>
        <v>0</v>
      </c>
      <c r="AI93" s="13">
        <f>IF('Données projet'!$A$62&gt;35,AI92+AH93-AQ92,IF(A93&lt;'Données projet'!$A$62,$AF$205^A93,IF(A93='Données projet'!$A$62,'Données projet'!$B$62,AI92+AH93-AQ92)))</f>
        <v>0</v>
      </c>
      <c r="AJ93" s="13">
        <f>AI93*VLOOKUP('Données projet'!$B$10,Paramètres!$A$1:$I$89,3,0)*VLOOKUP('Données projet'!$B$10,Paramètres!$A$1:$I$89,5,0)</f>
        <v>0</v>
      </c>
      <c r="AK93" s="13" t="e">
        <f t="shared" si="89"/>
        <v>#NUM!</v>
      </c>
      <c r="AL93" s="20" t="e">
        <f t="shared" si="58"/>
        <v>#NUM!</v>
      </c>
      <c r="AM93" s="59" t="e">
        <f t="shared" si="59"/>
        <v>#NUM!</v>
      </c>
      <c r="AN93" s="59">
        <f ca="1">AVERAGE(OFFSET($AM$3,0,0,'Données projet'!$E$10+1,1))-AVERAGE(OFFSET($H$3,0,0,'Données projet'!$E$10+1,1))</f>
        <v>179.4725256147085</v>
      </c>
      <c r="AO93" s="59">
        <f t="shared" si="90"/>
        <v>282.16750121151176</v>
      </c>
      <c r="AP93" s="15">
        <f>IF(ISNA(VLOOKUP(A93,'Données projet'!$A$61:$I$81,3,0)),0,VLOOKUP(A93,'Données projet'!$A$61:$I$81,3,0))</f>
        <v>0</v>
      </c>
      <c r="AQ93" s="15">
        <f>IF(ISNA(VLOOKUP(A93,'Données projet'!$A$61:$I$81,4,0)),0,VLOOKUP(A93,'Données projet'!$A$61:$I$81,4,0))</f>
        <v>0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79.707699541401297</v>
      </c>
      <c r="AV93" s="21">
        <f>EXP(-LN(2)/25)*AV92+(1-EXP(-LN(2)/25))/(LN(2)/25)*Calculateur!AQ93*Calculateur!AS93*VLOOKUP('Données projet'!$B$10,Paramètres!$A$1:$I$89,3,0)*0.475*44/12</f>
        <v>21.268823230265614</v>
      </c>
      <c r="AW93" s="21">
        <f>EXP(-LN(2)/2)*AW92+(1-EXP(-LN(2)/2))/(LN(2)/2)*AQ93*AT93*VLOOKUP('Données projet'!$B$10,Paramètres!$A$1:$I$89,3,0)*0.475*44/12</f>
        <v>1.3159301109229784E-3</v>
      </c>
      <c r="AX93" s="21">
        <f t="shared" si="60"/>
        <v>100.97783870177783</v>
      </c>
      <c r="AY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 t="e">
        <f>VLOOKUP(A93,'Données projet'!$A$87:$I$107,2,0)</f>
        <v>#N/A</v>
      </c>
      <c r="BB93" s="12" t="e">
        <f>VLOOKUP(A93,'Données projet'!$A$87:$I$107,9,0)</f>
        <v>#N/A</v>
      </c>
      <c r="BC93" s="12">
        <f t="array" ref="BC93">INDEX(BB:BB,MIN(IF(ISNUMBER(BB93:BB289),ROW(BB93:BB289),"")))</f>
        <v>9.92</v>
      </c>
      <c r="BD93" s="12">
        <f>IF('Données projet'!$A$88&gt;35,BD92+BC93-BL92,IF(A93&lt;'Données projet'!$A$88,$BA$205^A93,IF(A93='Données projet'!$A$88,'Données projet'!$B$88,BD92+BC93-BL92)))</f>
        <v>290.37000000000057</v>
      </c>
      <c r="BE93" s="13">
        <f>BD93*VLOOKUP('Données projet'!$B$11,Paramètres!$A$1:$I$89,3,0)*VLOOKUP('Données projet'!$B$11,Paramètres!$A$1:$I$89,5,0)</f>
        <v>249.13746000000052</v>
      </c>
      <c r="BF93" s="13">
        <f t="shared" si="91"/>
        <v>60.401203757804403</v>
      </c>
      <c r="BG93" s="20">
        <f t="shared" si="61"/>
        <v>539.11317271151017</v>
      </c>
      <c r="BH93" s="59">
        <f t="shared" si="62"/>
        <v>832.44650604484355</v>
      </c>
      <c r="BI93" s="59">
        <f ca="1">AVERAGE(OFFSET($BH$3,0,0,'Données projet'!$E$11+1,1))-AVERAGE(OFFSET($H$3,0,0,'Données projet'!$E$11+1,1))</f>
        <v>312.89478437044261</v>
      </c>
      <c r="BJ93" s="59">
        <f t="shared" si="92"/>
        <v>276.16555507854571</v>
      </c>
      <c r="BK93" s="15">
        <f>IF(ISNA(VLOOKUP(A93,'Données projet'!$A$87:$I$107,3,0)),0,VLOOKUP(A93,'Données projet'!$A$87:$I$107,3,0))</f>
        <v>0</v>
      </c>
      <c r="BL93" s="15">
        <f>IF(ISNA(VLOOKUP(A93,'Données projet'!$A$87:$I$107,4,0)),0,VLOOKUP(A93,'Données projet'!$A$87:$I$107,4,0))</f>
        <v>0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>
        <f>EXP(-LN(2)/35)*BP92+(1-EXP(-LN(2)/35))/(LN(2)/35)*BL93*BM93*VLOOKUP('Données projet'!$B$11,Paramètres!$A$1:$I$89,3,0)*0.475*44/12</f>
        <v>8.6977222682454443</v>
      </c>
      <c r="BQ93" s="21">
        <f>EXP(-LN(2)/25)*BQ92+(1-EXP(-LN(2)/25))/(LN(2)/25)*Calculateur!BL93*Calculateur!BN93*VLOOKUP('Données projet'!$B$11,Paramètres!$A$1:$I$89,3,0)*0.475*44/12</f>
        <v>42.231343335004972</v>
      </c>
      <c r="BR93" s="21">
        <f>EXP(-LN(2)/2)*BR92+(1-EXP(-LN(2)/2))/(LN(2)/2)*BL93*BO93*VLOOKUP('Données projet'!$B$11,Paramètres!$A$1:$I$89,3,0)*0.475*44/12</f>
        <v>1.4848390507882685</v>
      </c>
      <c r="BS93" s="22">
        <f t="shared" si="63"/>
        <v>52.413904654038681</v>
      </c>
      <c r="BT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0</v>
      </c>
      <c r="BY93" s="12">
        <f>IF('Données projet'!$A$114&gt;35,BY92+BX93-CG92,IF(A93&lt;'Données projet'!$A$114,$BV$205^A93,IF(A93='Données projet'!$A$114,'Données projet'!$B$114,BY92+BX93-CG92)))</f>
        <v>0</v>
      </c>
      <c r="BZ93" s="13" t="e">
        <f>BY93*VLOOKUP('Données projet'!$B$12,Paramètres!$A$1:$I$89,3,0)*VLOOKUP('Données projet'!$B$12,Paramètres!$A$1:$I$89,5,0)</f>
        <v>#N/A</v>
      </c>
      <c r="CA93" s="13" t="e">
        <f t="shared" si="93"/>
        <v>#N/A</v>
      </c>
      <c r="CB93" s="20" t="e">
        <f t="shared" si="64"/>
        <v>#N/A</v>
      </c>
      <c r="CC93" s="59" t="e">
        <f t="shared" si="65"/>
        <v>#N/A</v>
      </c>
      <c r="CD93" s="59" t="e">
        <f ca="1">AVERAGE(OFFSET($CC$3,0,0,'Données projet'!$E$12+1,1))-AVERAGE(OFFSET($H$3,0,0,'Données projet'!$E$12+1,1))</f>
        <v>#N/A</v>
      </c>
      <c r="CE93" s="59" t="e">
        <f t="shared" si="94"/>
        <v>#N/A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 t="e">
        <f>EXP(-LN(2)/35)*CK92+(1-EXP(-LN(2)/35))/(LN(2)/35)*CG93*CH93*VLOOKUP('Données projet'!$B$12,Paramètres!$A$1:$I$89,3,0)*0.475*44/12</f>
        <v>#N/A</v>
      </c>
      <c r="CL93" s="21" t="e">
        <f>EXP(-LN(2)/25)*CL92+(1-EXP(-LN(2)/25))/(LN(2)/25)*Calculateur!CG93*Calculateur!CI93*VLOOKUP('Données projet'!$B$12,Paramètres!$A$1:$I$89,3,0)*0.475*44/12</f>
        <v>#N/A</v>
      </c>
      <c r="CM93" s="21" t="e">
        <f>EXP(-LN(2)/2)*CM92+(1-EXP(-LN(2)/2))/(LN(2)/2)*CG93*CJ93*VLOOKUP('Données projet'!$B$12,Paramètres!$A$1:$I$89,3,0)*0.475*44/12</f>
        <v>#N/A</v>
      </c>
      <c r="CN93" s="22" t="e">
        <f t="shared" si="66"/>
        <v>#N/A</v>
      </c>
      <c r="CO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0</v>
      </c>
      <c r="CT93" s="12">
        <f>IF('Données projet'!$A$140&gt;35,CT92+CS93-DB92,IF(A93&lt;'Données projet'!$A$140,$CQ$205^A93,IF(A93='Données projet'!$A$140,'Données projet'!$B$140,CT92+CS93-DB92)))</f>
        <v>0</v>
      </c>
      <c r="CU93" s="17" t="e">
        <f>CT93*VLOOKUP('Données projet'!$B$13,Paramètres!$A$1:$I$89,3,0)*VLOOKUP('Données projet'!$B$13,Paramètres!$A$1:$I$89,5,0)</f>
        <v>#N/A</v>
      </c>
      <c r="CV93" s="13" t="e">
        <f t="shared" si="95"/>
        <v>#N/A</v>
      </c>
      <c r="CW93" s="20" t="e">
        <f t="shared" si="67"/>
        <v>#N/A</v>
      </c>
      <c r="CX93" s="59" t="e">
        <f t="shared" si="68"/>
        <v>#N/A</v>
      </c>
      <c r="CY93" s="59" t="e">
        <f ca="1">AVERAGE(OFFSET($CX$3,0,0,'Données projet'!$E$13+1,1))-AVERAGE(OFFSET($H$3,0,0,'Données projet'!$E$13+1,1))</f>
        <v>#N/A</v>
      </c>
      <c r="CZ93" s="59" t="e">
        <f t="shared" si="96"/>
        <v>#N/A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 t="e">
        <f>EXP(-LN(2)/35)*DF92+(1-EXP(-LN(2)/35))/(LN(2)/35)*DB93*DC93*VLOOKUP('Données projet'!$B$13,Paramètres!$A$1:$I$89,3,0)*0.475*44/12</f>
        <v>#N/A</v>
      </c>
      <c r="DG93" s="21" t="e">
        <f>EXP(-LN(2)/25)*DG92+(1-EXP(-LN(2)/25))/(LN(2)/25)*Calculateur!DB93*Calculateur!DD93*VLOOKUP('Données projet'!$B$13,Paramètres!$A$1:$I$89,3,0)*0.475*44/12</f>
        <v>#N/A</v>
      </c>
      <c r="DH93" s="21" t="e">
        <f>EXP(-LN(2)/2)*DH92+(1-EXP(-LN(2)/2))/(LN(2)/2)*DB93*DE93*VLOOKUP('Données projet'!$B$13,Paramètres!$A$1:$I$89,3,0)*0.475*44/12</f>
        <v>#N/A</v>
      </c>
      <c r="DI93" s="22" t="e">
        <f t="shared" si="69"/>
        <v>#N/A</v>
      </c>
      <c r="DJ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0</v>
      </c>
      <c r="DP93" s="17" t="e">
        <f>DO93*VLOOKUP('Données projet'!$B$14,Paramètres!$A$1:$I$89,3,0)*VLOOKUP('Données projet'!$B$14,Paramètres!$A$1:$I$89,5,0)</f>
        <v>#N/A</v>
      </c>
      <c r="DQ93" s="13" t="e">
        <f t="shared" si="97"/>
        <v>#N/A</v>
      </c>
      <c r="DR93" s="20" t="e">
        <f t="shared" si="70"/>
        <v>#N/A</v>
      </c>
      <c r="DS93" s="59" t="e">
        <f t="shared" si="71"/>
        <v>#N/A</v>
      </c>
      <c r="DT93" s="59" t="e">
        <f ca="1">AVERAGE(OFFSET($DS$3,0,0,'Données projet'!$E$14+1,1))-AVERAGE(OFFSET($H$3,0,0,'Données projet'!$E$14+1,1))</f>
        <v>#N/A</v>
      </c>
      <c r="DU93" s="59" t="e">
        <f t="shared" si="98"/>
        <v>#N/A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 t="e">
        <f>EXP(-LN(2)/35)*EA92+(1-EXP(-LN(2)/35))/(LN(2)/35)*DW93*DX93*VLOOKUP('Données projet'!$B$14,Paramètres!$A$1:$I$89,3,0)*0.475*44/12</f>
        <v>#N/A</v>
      </c>
      <c r="EB93" s="21" t="e">
        <f>EXP(-LN(2)/25)*EB92+(1-EXP(-LN(2)/25))/(LN(2)/25)*Calculateur!DW93*Calculateur!DY93*VLOOKUP('Données projet'!$B$14,Paramètres!$A$1:$I$89,3,0)*0.475*44/12</f>
        <v>#N/A</v>
      </c>
      <c r="EC93" s="21" t="e">
        <f>EXP(-LN(2)/2)*EC92+(1-EXP(-LN(2)/2))/(LN(2)/2)*DW93*DZ93*VLOOKUP('Données projet'!$B$14,Paramètres!$A$1:$I$89,3,0)*0.475*44/12</f>
        <v>#N/A</v>
      </c>
      <c r="ED93" s="22" t="e">
        <f t="shared" si="72"/>
        <v>#N/A</v>
      </c>
      <c r="EE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0</v>
      </c>
      <c r="EK93" s="17" t="e">
        <f>EJ93*VLOOKUP('Données projet'!$B$15,Paramètres!$A$1:$I$89,3,0)*VLOOKUP('Données projet'!$B$15,Paramètres!$A$1:$I$89,5,0)</f>
        <v>#N/A</v>
      </c>
      <c r="EL93" s="13" t="e">
        <f t="shared" si="99"/>
        <v>#N/A</v>
      </c>
      <c r="EM93" s="20" t="e">
        <f t="shared" si="73"/>
        <v>#N/A</v>
      </c>
      <c r="EN93" s="59" t="e">
        <f t="shared" si="74"/>
        <v>#N/A</v>
      </c>
      <c r="EO93" s="59" t="e">
        <f ca="1">AVERAGE(OFFSET($EN$3,0,0,'Données projet'!$E$15+1,1))-AVERAGE(OFFSET($H$3,0,0,'Données projet'!$E$15+1,1))</f>
        <v>#N/A</v>
      </c>
      <c r="EP93" s="59" t="e">
        <f t="shared" si="100"/>
        <v>#N/A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 t="e">
        <f>EXP(-LN(2)/35)*EV92+(1-EXP(-LN(2)/35))/(LN(2)/35)*ER93*ES93*VLOOKUP('Données projet'!$B$15,Paramètres!$A$1:$I$89,3,0)*0.475*44/12</f>
        <v>#N/A</v>
      </c>
      <c r="EW93" s="21" t="e">
        <f>EXP(-LN(2)/25)*EW92+(1-EXP(-LN(2)/25))/(LN(2)/25)*Calculateur!ER93*Calculateur!ET93*VLOOKUP('Données projet'!$B$15,Paramètres!$A$1:$I$89,3,0)*0.475*44/12</f>
        <v>#N/A</v>
      </c>
      <c r="EX93" s="21" t="e">
        <f>EXP(-LN(2)/2)*EX92+(1-EXP(-LN(2)/2))/(LN(2)/2)*ER93*EU93*VLOOKUP('Données projet'!$B$15,Paramètres!$A$1:$I$89,3,0)*0.475*44/12</f>
        <v>#N/A</v>
      </c>
      <c r="EY93" s="22" t="e">
        <f t="shared" si="75"/>
        <v>#N/A</v>
      </c>
      <c r="EZ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9" t="e">
        <f t="shared" si="77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45">
      <c r="A94" s="10">
        <f t="shared" si="85"/>
        <v>91</v>
      </c>
      <c r="B94" s="73">
        <f>'Scénario référence'!$B$16*5+'Scénario référence'!$B$17*0+'Scénario référence'!$B$18*5</f>
        <v>0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80.917200000000122</v>
      </c>
      <c r="D94" s="11">
        <f t="shared" si="86"/>
        <v>22.361295290994477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">
        <f>IF(OR('Scénario référence'!$F$8&gt;0,'Scénario référence'!$F$9&gt;0),('Scénario référence'!$F$8+'Scénario référence'!$F$9)*10,0)</f>
        <v>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797.23750750943202</v>
      </c>
      <c r="H94" s="67">
        <f t="shared" si="56"/>
        <v>436.54337929848225</v>
      </c>
      <c r="I94" s="7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7.1416666666666657</v>
      </c>
      <c r="N94" s="13">
        <f>IF('Données projet'!$A$36&gt;35,N93+M94-V93,IF(A94&lt;'Données projet'!$A$36,$K$205^A94,IF(A94='Données projet'!$A$36,'Données projet'!$B$36,N93+M94-V93)))</f>
        <v>474.2416666666665</v>
      </c>
      <c r="O94" s="13">
        <f>N94*VLOOKUP('Données projet'!$B$9,Paramètres!$A$1:$I$89,3,0)*VLOOKUP('Données projet'!$B$9,Paramètres!$A$1:$I$89,5,0)</f>
        <v>265.1010916666666</v>
      </c>
      <c r="P94" s="13">
        <f t="shared" si="87"/>
        <v>63.808491934453961</v>
      </c>
      <c r="Q94" s="20">
        <f t="shared" si="54"/>
        <v>572.85085810528494</v>
      </c>
      <c r="R94" s="59">
        <f t="shared" si="55"/>
        <v>866.1841914386182</v>
      </c>
      <c r="S94" s="59">
        <f ca="1">AVERAGE(OFFSET($R$3,0,0,'Données projet'!$E$9+1,1))-AVERAGE(OFFSET($H$3,0,0,'Données projet'!$E$9+1,1))</f>
        <v>280.69347314340195</v>
      </c>
      <c r="T94" s="59">
        <f t="shared" si="88"/>
        <v>152.40533828556482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47.737478458981485</v>
      </c>
      <c r="AA94" s="21">
        <f>EXP(-LN(2)/25)*AA93+(1-EXP(-LN(2)/25))/(LN(2)/25)*Calculateur!V94*Calculateur!X94*VLOOKUP('Données projet'!$B$9,Paramètres!$A$1:$I$89,3,0)*0.475*44/12</f>
        <v>17.669954299587204</v>
      </c>
      <c r="AB94" s="21">
        <f>EXP(-LN(2)/2)*AB93+(1-EXP(-LN(2)/2))/(LN(2)/2)*V94*Y94*VLOOKUP('Données projet'!$B$9,Paramètres!$A$1:$I$89,3,0)*0.475*44/12</f>
        <v>0.79725481778352381</v>
      </c>
      <c r="AC94" s="22">
        <f t="shared" si="57"/>
        <v>66.204687576352214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0</v>
      </c>
      <c r="AI94" s="13">
        <f>IF('Données projet'!$A$62&gt;35,AI93+AH94-AQ93,IF(A94&lt;'Données projet'!$A$62,$AF$205^A94,IF(A94='Données projet'!$A$62,'Données projet'!$B$62,AI93+AH94-AQ93)))</f>
        <v>0</v>
      </c>
      <c r="AJ94" s="13">
        <f>AI94*VLOOKUP('Données projet'!$B$10,Paramètres!$A$1:$I$89,3,0)*VLOOKUP('Données projet'!$B$10,Paramètres!$A$1:$I$89,5,0)</f>
        <v>0</v>
      </c>
      <c r="AK94" s="13" t="e">
        <f t="shared" si="89"/>
        <v>#NUM!</v>
      </c>
      <c r="AL94" s="20" t="e">
        <f t="shared" si="58"/>
        <v>#NUM!</v>
      </c>
      <c r="AM94" s="59" t="e">
        <f t="shared" si="59"/>
        <v>#NUM!</v>
      </c>
      <c r="AN94" s="59">
        <f ca="1">AVERAGE(OFFSET($AM$3,0,0,'Données projet'!$E$10+1,1))-AVERAGE(OFFSET($H$3,0,0,'Données projet'!$E$10+1,1))</f>
        <v>179.4725256147085</v>
      </c>
      <c r="AO94" s="59">
        <f t="shared" si="90"/>
        <v>282.16750121151176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78.144680170290613</v>
      </c>
      <c r="AV94" s="21">
        <f>EXP(-LN(2)/25)*AV93+(1-EXP(-LN(2)/25))/(LN(2)/25)*Calculateur!AQ94*Calculateur!AS94*VLOOKUP('Données projet'!$B$10,Paramètres!$A$1:$I$89,3,0)*0.475*44/12</f>
        <v>20.687226140555197</v>
      </c>
      <c r="AW94" s="21">
        <f>EXP(-LN(2)/2)*AW93+(1-EXP(-LN(2)/2))/(LN(2)/2)*AQ94*AT94*VLOOKUP('Données projet'!$B$10,Paramètres!$A$1:$I$89,3,0)*0.475*44/12</f>
        <v>9.3050310500120375E-4</v>
      </c>
      <c r="AX94" s="21">
        <f t="shared" si="60"/>
        <v>98.832836813950806</v>
      </c>
      <c r="AY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9.92</v>
      </c>
      <c r="BD94" s="12">
        <f>IF('Données projet'!$A$88&gt;35,BD93+BC94-BL93,IF(A94&lt;'Données projet'!$A$88,$BA$205^A94,IF(A94='Données projet'!$A$88,'Données projet'!$B$88,BD93+BC94-BL93)))</f>
        <v>300.29000000000059</v>
      </c>
      <c r="BE94" s="13">
        <f>BD94*VLOOKUP('Données projet'!$B$11,Paramètres!$A$1:$I$89,3,0)*VLOOKUP('Données projet'!$B$11,Paramètres!$A$1:$I$89,5,0)</f>
        <v>257.64882000000057</v>
      </c>
      <c r="BF94" s="13">
        <f t="shared" si="91"/>
        <v>62.220936731058053</v>
      </c>
      <c r="BG94" s="20">
        <f t="shared" si="61"/>
        <v>557.10649297326029</v>
      </c>
      <c r="BH94" s="59">
        <f t="shared" si="62"/>
        <v>850.43982630659366</v>
      </c>
      <c r="BI94" s="59">
        <f ca="1">AVERAGE(OFFSET($BH$3,0,0,'Données projet'!$E$11+1,1))-AVERAGE(OFFSET($H$3,0,0,'Données projet'!$E$11+1,1))</f>
        <v>312.89478437044261</v>
      </c>
      <c r="BJ94" s="59">
        <f t="shared" si="92"/>
        <v>276.16555507854571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>
        <f>EXP(-LN(2)/35)*BP93+(1-EXP(-LN(2)/35))/(LN(2)/35)*BL94*BM94*VLOOKUP('Données projet'!$B$11,Paramètres!$A$1:$I$89,3,0)*0.475*44/12</f>
        <v>8.5271652396519002</v>
      </c>
      <c r="BQ94" s="21">
        <f>EXP(-LN(2)/25)*BQ93+(1-EXP(-LN(2)/25))/(LN(2)/25)*Calculateur!BL94*Calculateur!BN94*VLOOKUP('Données projet'!$B$11,Paramètres!$A$1:$I$89,3,0)*0.475*44/12</f>
        <v>41.07652503065944</v>
      </c>
      <c r="BR94" s="21">
        <f>EXP(-LN(2)/2)*BR93+(1-EXP(-LN(2)/2))/(LN(2)/2)*BL94*BO94*VLOOKUP('Données projet'!$B$11,Paramètres!$A$1:$I$89,3,0)*0.475*44/12</f>
        <v>1.0499397617829811</v>
      </c>
      <c r="BS94" s="22">
        <f t="shared" si="63"/>
        <v>50.65363003209432</v>
      </c>
      <c r="BT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0</v>
      </c>
      <c r="BY94" s="12">
        <f>IF('Données projet'!$A$114&gt;35,BY93+BX94-CG93,IF(A94&lt;'Données projet'!$A$114,$BV$205^A94,IF(A94='Données projet'!$A$114,'Données projet'!$B$114,BY93+BX94-CG93)))</f>
        <v>0</v>
      </c>
      <c r="BZ94" s="13" t="e">
        <f>BY94*VLOOKUP('Données projet'!$B$12,Paramètres!$A$1:$I$89,3,0)*VLOOKUP('Données projet'!$B$12,Paramètres!$A$1:$I$89,5,0)</f>
        <v>#N/A</v>
      </c>
      <c r="CA94" s="13" t="e">
        <f t="shared" si="93"/>
        <v>#N/A</v>
      </c>
      <c r="CB94" s="20" t="e">
        <f t="shared" si="64"/>
        <v>#N/A</v>
      </c>
      <c r="CC94" s="59" t="e">
        <f t="shared" si="65"/>
        <v>#N/A</v>
      </c>
      <c r="CD94" s="59" t="e">
        <f ca="1">AVERAGE(OFFSET($CC$3,0,0,'Données projet'!$E$12+1,1))-AVERAGE(OFFSET($H$3,0,0,'Données projet'!$E$12+1,1))</f>
        <v>#N/A</v>
      </c>
      <c r="CE94" s="59" t="e">
        <f t="shared" si="94"/>
        <v>#N/A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 t="e">
        <f>EXP(-LN(2)/35)*CK93+(1-EXP(-LN(2)/35))/(LN(2)/35)*CG94*CH94*VLOOKUP('Données projet'!$B$12,Paramètres!$A$1:$I$89,3,0)*0.475*44/12</f>
        <v>#N/A</v>
      </c>
      <c r="CL94" s="21" t="e">
        <f>EXP(-LN(2)/25)*CL93+(1-EXP(-LN(2)/25))/(LN(2)/25)*Calculateur!CG94*Calculateur!CI94*VLOOKUP('Données projet'!$B$12,Paramètres!$A$1:$I$89,3,0)*0.475*44/12</f>
        <v>#N/A</v>
      </c>
      <c r="CM94" s="21" t="e">
        <f>EXP(-LN(2)/2)*CM93+(1-EXP(-LN(2)/2))/(LN(2)/2)*CG94*CJ94*VLOOKUP('Données projet'!$B$12,Paramètres!$A$1:$I$89,3,0)*0.475*44/12</f>
        <v>#N/A</v>
      </c>
      <c r="CN94" s="22" t="e">
        <f t="shared" si="66"/>
        <v>#N/A</v>
      </c>
      <c r="CO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0</v>
      </c>
      <c r="CU94" s="17" t="e">
        <f>CT94*VLOOKUP('Données projet'!$B$13,Paramètres!$A$1:$I$89,3,0)*VLOOKUP('Données projet'!$B$13,Paramètres!$A$1:$I$89,5,0)</f>
        <v>#N/A</v>
      </c>
      <c r="CV94" s="13" t="e">
        <f t="shared" si="95"/>
        <v>#N/A</v>
      </c>
      <c r="CW94" s="20" t="e">
        <f t="shared" si="67"/>
        <v>#N/A</v>
      </c>
      <c r="CX94" s="59" t="e">
        <f t="shared" si="68"/>
        <v>#N/A</v>
      </c>
      <c r="CY94" s="59" t="e">
        <f ca="1">AVERAGE(OFFSET($CX$3,0,0,'Données projet'!$E$13+1,1))-AVERAGE(OFFSET($H$3,0,0,'Données projet'!$E$13+1,1))</f>
        <v>#N/A</v>
      </c>
      <c r="CZ94" s="59" t="e">
        <f t="shared" si="96"/>
        <v>#N/A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 t="e">
        <f>EXP(-LN(2)/35)*DF93+(1-EXP(-LN(2)/35))/(LN(2)/35)*DB94*DC94*VLOOKUP('Données projet'!$B$13,Paramètres!$A$1:$I$89,3,0)*0.475*44/12</f>
        <v>#N/A</v>
      </c>
      <c r="DG94" s="21" t="e">
        <f>EXP(-LN(2)/25)*DG93+(1-EXP(-LN(2)/25))/(LN(2)/25)*Calculateur!DB94*Calculateur!DD94*VLOOKUP('Données projet'!$B$13,Paramètres!$A$1:$I$89,3,0)*0.475*44/12</f>
        <v>#N/A</v>
      </c>
      <c r="DH94" s="21" t="e">
        <f>EXP(-LN(2)/2)*DH93+(1-EXP(-LN(2)/2))/(LN(2)/2)*DB94*DE94*VLOOKUP('Données projet'!$B$13,Paramètres!$A$1:$I$89,3,0)*0.475*44/12</f>
        <v>#N/A</v>
      </c>
      <c r="DI94" s="22" t="e">
        <f t="shared" si="69"/>
        <v>#N/A</v>
      </c>
      <c r="DJ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0</v>
      </c>
      <c r="DP94" s="17" t="e">
        <f>DO94*VLOOKUP('Données projet'!$B$14,Paramètres!$A$1:$I$89,3,0)*VLOOKUP('Données projet'!$B$14,Paramètres!$A$1:$I$89,5,0)</f>
        <v>#N/A</v>
      </c>
      <c r="DQ94" s="13" t="e">
        <f t="shared" si="97"/>
        <v>#N/A</v>
      </c>
      <c r="DR94" s="20" t="e">
        <f t="shared" si="70"/>
        <v>#N/A</v>
      </c>
      <c r="DS94" s="59" t="e">
        <f t="shared" si="71"/>
        <v>#N/A</v>
      </c>
      <c r="DT94" s="59" t="e">
        <f ca="1">AVERAGE(OFFSET($DS$3,0,0,'Données projet'!$E$14+1,1))-AVERAGE(OFFSET($H$3,0,0,'Données projet'!$E$14+1,1))</f>
        <v>#N/A</v>
      </c>
      <c r="DU94" s="59" t="e">
        <f t="shared" si="98"/>
        <v>#N/A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 t="e">
        <f>EXP(-LN(2)/35)*EA93+(1-EXP(-LN(2)/35))/(LN(2)/35)*DW94*DX94*VLOOKUP('Données projet'!$B$14,Paramètres!$A$1:$I$89,3,0)*0.475*44/12</f>
        <v>#N/A</v>
      </c>
      <c r="EB94" s="21" t="e">
        <f>EXP(-LN(2)/25)*EB93+(1-EXP(-LN(2)/25))/(LN(2)/25)*Calculateur!DW94*Calculateur!DY94*VLOOKUP('Données projet'!$B$14,Paramètres!$A$1:$I$89,3,0)*0.475*44/12</f>
        <v>#N/A</v>
      </c>
      <c r="EC94" s="21" t="e">
        <f>EXP(-LN(2)/2)*EC93+(1-EXP(-LN(2)/2))/(LN(2)/2)*DW94*DZ94*VLOOKUP('Données projet'!$B$14,Paramètres!$A$1:$I$89,3,0)*0.475*44/12</f>
        <v>#N/A</v>
      </c>
      <c r="ED94" s="22" t="e">
        <f t="shared" si="72"/>
        <v>#N/A</v>
      </c>
      <c r="EE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0</v>
      </c>
      <c r="EK94" s="17" t="e">
        <f>EJ94*VLOOKUP('Données projet'!$B$15,Paramètres!$A$1:$I$89,3,0)*VLOOKUP('Données projet'!$B$15,Paramètres!$A$1:$I$89,5,0)</f>
        <v>#N/A</v>
      </c>
      <c r="EL94" s="13" t="e">
        <f t="shared" si="99"/>
        <v>#N/A</v>
      </c>
      <c r="EM94" s="20" t="e">
        <f t="shared" si="73"/>
        <v>#N/A</v>
      </c>
      <c r="EN94" s="59" t="e">
        <f t="shared" si="74"/>
        <v>#N/A</v>
      </c>
      <c r="EO94" s="59" t="e">
        <f ca="1">AVERAGE(OFFSET($EN$3,0,0,'Données projet'!$E$15+1,1))-AVERAGE(OFFSET($H$3,0,0,'Données projet'!$E$15+1,1))</f>
        <v>#N/A</v>
      </c>
      <c r="EP94" s="59" t="e">
        <f t="shared" si="100"/>
        <v>#N/A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 t="e">
        <f>EXP(-LN(2)/35)*EV93+(1-EXP(-LN(2)/35))/(LN(2)/35)*ER94*ES94*VLOOKUP('Données projet'!$B$15,Paramètres!$A$1:$I$89,3,0)*0.475*44/12</f>
        <v>#N/A</v>
      </c>
      <c r="EW94" s="21" t="e">
        <f>EXP(-LN(2)/25)*EW93+(1-EXP(-LN(2)/25))/(LN(2)/25)*Calculateur!ER94*Calculateur!ET94*VLOOKUP('Données projet'!$B$15,Paramètres!$A$1:$I$89,3,0)*0.475*44/12</f>
        <v>#N/A</v>
      </c>
      <c r="EX94" s="21" t="e">
        <f>EXP(-LN(2)/2)*EX93+(1-EXP(-LN(2)/2))/(LN(2)/2)*ER94*EU94*VLOOKUP('Données projet'!$B$15,Paramètres!$A$1:$I$89,3,0)*0.475*44/12</f>
        <v>#N/A</v>
      </c>
      <c r="EY94" s="22" t="e">
        <f t="shared" si="75"/>
        <v>#N/A</v>
      </c>
      <c r="EZ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9" t="e">
        <f t="shared" si="77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45">
      <c r="A95" s="10">
        <f t="shared" si="85"/>
        <v>92</v>
      </c>
      <c r="B95" s="73">
        <f>'Scénario référence'!$B$16*5+'Scénario référence'!$B$17*0+'Scénario référence'!$B$18*5</f>
        <v>0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81.806400000000124</v>
      </c>
      <c r="D95" s="11">
        <f t="shared" si="86"/>
        <v>22.578282710556053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">
        <f>IF(OR('Scénario référence'!$F$8&gt;0,'Scénario référence'!$F$9&gt;0),('Scénario référence'!$F$8+'Scénario référence'!$F$9)*10,0)</f>
        <v>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805.77649811657409</v>
      </c>
      <c r="H95" s="67">
        <f t="shared" si="56"/>
        <v>438.46998905421867</v>
      </c>
      <c r="I95" s="7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7.1416666666666657</v>
      </c>
      <c r="N95" s="13">
        <f>IF('Données projet'!$A$36&gt;35,N94+M95-V94,IF(A95&lt;'Données projet'!$A$36,$K$205^A95,IF(A95='Données projet'!$A$36,'Données projet'!$B$36,N94+M95-V94)))</f>
        <v>481.38333333333316</v>
      </c>
      <c r="O95" s="13">
        <f>N95*VLOOKUP('Données projet'!$B$9,Paramètres!$A$1:$I$89,3,0)*VLOOKUP('Données projet'!$B$9,Paramètres!$A$1:$I$89,5,0)</f>
        <v>269.0932833333332</v>
      </c>
      <c r="P95" s="13">
        <f t="shared" si="87"/>
        <v>64.656803470430887</v>
      </c>
      <c r="Q95" s="20">
        <f t="shared" si="54"/>
        <v>581.28140118322233</v>
      </c>
      <c r="R95" s="59">
        <f t="shared" si="55"/>
        <v>874.6147345165557</v>
      </c>
      <c r="S95" s="59">
        <f ca="1">AVERAGE(OFFSET($R$3,0,0,'Données projet'!$E$9+1,1))-AVERAGE(OFFSET($H$3,0,0,'Données projet'!$E$9+1,1))</f>
        <v>280.69347314340195</v>
      </c>
      <c r="T95" s="59">
        <f t="shared" si="88"/>
        <v>152.40533828556482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46.801375623387656</v>
      </c>
      <c r="AA95" s="21">
        <f>EXP(-LN(2)/25)*AA94+(1-EXP(-LN(2)/25))/(LN(2)/25)*Calculateur!V95*Calculateur!X95*VLOOKUP('Données projet'!$B$9,Paramètres!$A$1:$I$89,3,0)*0.475*44/12</f>
        <v>17.18676847004248</v>
      </c>
      <c r="AB95" s="21">
        <f>EXP(-LN(2)/2)*AB94+(1-EXP(-LN(2)/2))/(LN(2)/2)*V95*Y95*VLOOKUP('Données projet'!$B$9,Paramètres!$A$1:$I$89,3,0)*0.475*44/12</f>
        <v>0.56374428798837506</v>
      </c>
      <c r="AC95" s="22">
        <f t="shared" si="57"/>
        <v>64.551888381418507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0</v>
      </c>
      <c r="AI95" s="13">
        <f>IF('Données projet'!$A$62&gt;35,AI94+AH95-AQ94,IF(A95&lt;'Données projet'!$A$62,$AF$205^A95,IF(A95='Données projet'!$A$62,'Données projet'!$B$62,AI94+AH95-AQ94)))</f>
        <v>0</v>
      </c>
      <c r="AJ95" s="13">
        <f>AI95*VLOOKUP('Données projet'!$B$10,Paramètres!$A$1:$I$89,3,0)*VLOOKUP('Données projet'!$B$10,Paramètres!$A$1:$I$89,5,0)</f>
        <v>0</v>
      </c>
      <c r="AK95" s="13" t="e">
        <f t="shared" si="89"/>
        <v>#NUM!</v>
      </c>
      <c r="AL95" s="20" t="e">
        <f t="shared" si="58"/>
        <v>#NUM!</v>
      </c>
      <c r="AM95" s="59" t="e">
        <f t="shared" si="59"/>
        <v>#NUM!</v>
      </c>
      <c r="AN95" s="59">
        <f ca="1">AVERAGE(OFFSET($AM$3,0,0,'Données projet'!$E$10+1,1))-AVERAGE(OFFSET($H$3,0,0,'Données projet'!$E$10+1,1))</f>
        <v>179.4725256147085</v>
      </c>
      <c r="AO95" s="59">
        <f t="shared" si="90"/>
        <v>282.16750121151176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76.61231065569973</v>
      </c>
      <c r="AV95" s="21">
        <f>EXP(-LN(2)/25)*AV94+(1-EXP(-LN(2)/25))/(LN(2)/25)*Calculateur!AQ95*Calculateur!AS95*VLOOKUP('Données projet'!$B$10,Paramètres!$A$1:$I$89,3,0)*0.475*44/12</f>
        <v>20.121532853847775</v>
      </c>
      <c r="AW95" s="21">
        <f>EXP(-LN(2)/2)*AW94+(1-EXP(-LN(2)/2))/(LN(2)/2)*AQ95*AT95*VLOOKUP('Données projet'!$B$10,Paramètres!$A$1:$I$89,3,0)*0.475*44/12</f>
        <v>6.5796505546148929E-4</v>
      </c>
      <c r="AX95" s="21">
        <f t="shared" si="60"/>
        <v>96.734501474602979</v>
      </c>
      <c r="AY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9.92</v>
      </c>
      <c r="BD95" s="12">
        <f>IF('Données projet'!$A$88&gt;35,BD94+BC95-BL94,IF(A95&lt;'Données projet'!$A$88,$BA$205^A95,IF(A95='Données projet'!$A$88,'Données projet'!$B$88,BD94+BC95-BL94)))</f>
        <v>310.2100000000006</v>
      </c>
      <c r="BE95" s="13">
        <f>BD95*VLOOKUP('Données projet'!$B$11,Paramètres!$A$1:$I$89,3,0)*VLOOKUP('Données projet'!$B$11,Paramètres!$A$1:$I$89,5,0)</f>
        <v>266.16018000000054</v>
      </c>
      <c r="BF95" s="13">
        <f t="shared" si="91"/>
        <v>64.033684482717945</v>
      </c>
      <c r="BG95" s="20">
        <f t="shared" si="61"/>
        <v>575.08764730740131</v>
      </c>
      <c r="BH95" s="59">
        <f t="shared" si="62"/>
        <v>868.42098064073457</v>
      </c>
      <c r="BI95" s="59">
        <f ca="1">AVERAGE(OFFSET($BH$3,0,0,'Données projet'!$E$11+1,1))-AVERAGE(OFFSET($H$3,0,0,'Données projet'!$E$11+1,1))</f>
        <v>312.89478437044261</v>
      </c>
      <c r="BJ95" s="59">
        <f t="shared" si="92"/>
        <v>276.16555507854571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>
        <f>EXP(-LN(2)/35)*BP94+(1-EXP(-LN(2)/35))/(LN(2)/35)*BL95*BM95*VLOOKUP('Données projet'!$B$11,Paramètres!$A$1:$I$89,3,0)*0.475*44/12</f>
        <v>8.3599527303595611</v>
      </c>
      <c r="BQ95" s="21">
        <f>EXP(-LN(2)/25)*BQ94+(1-EXP(-LN(2)/25))/(LN(2)/25)*Calculateur!BL95*Calculateur!BN95*VLOOKUP('Données projet'!$B$11,Paramètres!$A$1:$I$89,3,0)*0.475*44/12</f>
        <v>39.95328529357549</v>
      </c>
      <c r="BR95" s="21">
        <f>EXP(-LN(2)/2)*BR94+(1-EXP(-LN(2)/2))/(LN(2)/2)*BL95*BO95*VLOOKUP('Données projet'!$B$11,Paramètres!$A$1:$I$89,3,0)*0.475*44/12</f>
        <v>0.74241952539413425</v>
      </c>
      <c r="BS95" s="22">
        <f t="shared" si="63"/>
        <v>49.055657549329183</v>
      </c>
      <c r="BT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0</v>
      </c>
      <c r="BY95" s="12">
        <f>IF('Données projet'!$A$114&gt;35,BY94+BX95-CG94,IF(A95&lt;'Données projet'!$A$114,$BV$205^A95,IF(A95='Données projet'!$A$114,'Données projet'!$B$114,BY94+BX95-CG94)))</f>
        <v>0</v>
      </c>
      <c r="BZ95" s="13" t="e">
        <f>BY95*VLOOKUP('Données projet'!$B$12,Paramètres!$A$1:$I$89,3,0)*VLOOKUP('Données projet'!$B$12,Paramètres!$A$1:$I$89,5,0)</f>
        <v>#N/A</v>
      </c>
      <c r="CA95" s="13" t="e">
        <f t="shared" si="93"/>
        <v>#N/A</v>
      </c>
      <c r="CB95" s="20" t="e">
        <f t="shared" si="64"/>
        <v>#N/A</v>
      </c>
      <c r="CC95" s="59" t="e">
        <f t="shared" si="65"/>
        <v>#N/A</v>
      </c>
      <c r="CD95" s="59" t="e">
        <f ca="1">AVERAGE(OFFSET($CC$3,0,0,'Données projet'!$E$12+1,1))-AVERAGE(OFFSET($H$3,0,0,'Données projet'!$E$12+1,1))</f>
        <v>#N/A</v>
      </c>
      <c r="CE95" s="59" t="e">
        <f t="shared" si="94"/>
        <v>#N/A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 t="e">
        <f>EXP(-LN(2)/35)*CK94+(1-EXP(-LN(2)/35))/(LN(2)/35)*CG95*CH95*VLOOKUP('Données projet'!$B$12,Paramètres!$A$1:$I$89,3,0)*0.475*44/12</f>
        <v>#N/A</v>
      </c>
      <c r="CL95" s="21" t="e">
        <f>EXP(-LN(2)/25)*CL94+(1-EXP(-LN(2)/25))/(LN(2)/25)*Calculateur!CG95*Calculateur!CI95*VLOOKUP('Données projet'!$B$12,Paramètres!$A$1:$I$89,3,0)*0.475*44/12</f>
        <v>#N/A</v>
      </c>
      <c r="CM95" s="21" t="e">
        <f>EXP(-LN(2)/2)*CM94+(1-EXP(-LN(2)/2))/(LN(2)/2)*CG95*CJ95*VLOOKUP('Données projet'!$B$12,Paramètres!$A$1:$I$89,3,0)*0.475*44/12</f>
        <v>#N/A</v>
      </c>
      <c r="CN95" s="22" t="e">
        <f t="shared" si="66"/>
        <v>#N/A</v>
      </c>
      <c r="CO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0</v>
      </c>
      <c r="CU95" s="17" t="e">
        <f>CT95*VLOOKUP('Données projet'!$B$13,Paramètres!$A$1:$I$89,3,0)*VLOOKUP('Données projet'!$B$13,Paramètres!$A$1:$I$89,5,0)</f>
        <v>#N/A</v>
      </c>
      <c r="CV95" s="13" t="e">
        <f t="shared" si="95"/>
        <v>#N/A</v>
      </c>
      <c r="CW95" s="20" t="e">
        <f t="shared" si="67"/>
        <v>#N/A</v>
      </c>
      <c r="CX95" s="59" t="e">
        <f t="shared" si="68"/>
        <v>#N/A</v>
      </c>
      <c r="CY95" s="59" t="e">
        <f ca="1">AVERAGE(OFFSET($CX$3,0,0,'Données projet'!$E$13+1,1))-AVERAGE(OFFSET($H$3,0,0,'Données projet'!$E$13+1,1))</f>
        <v>#N/A</v>
      </c>
      <c r="CZ95" s="59" t="e">
        <f t="shared" si="96"/>
        <v>#N/A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 t="e">
        <f>EXP(-LN(2)/35)*DF94+(1-EXP(-LN(2)/35))/(LN(2)/35)*DB95*DC95*VLOOKUP('Données projet'!$B$13,Paramètres!$A$1:$I$89,3,0)*0.475*44/12</f>
        <v>#N/A</v>
      </c>
      <c r="DG95" s="21" t="e">
        <f>EXP(-LN(2)/25)*DG94+(1-EXP(-LN(2)/25))/(LN(2)/25)*Calculateur!DB95*Calculateur!DD95*VLOOKUP('Données projet'!$B$13,Paramètres!$A$1:$I$89,3,0)*0.475*44/12</f>
        <v>#N/A</v>
      </c>
      <c r="DH95" s="21" t="e">
        <f>EXP(-LN(2)/2)*DH94+(1-EXP(-LN(2)/2))/(LN(2)/2)*DB95*DE95*VLOOKUP('Données projet'!$B$13,Paramètres!$A$1:$I$89,3,0)*0.475*44/12</f>
        <v>#N/A</v>
      </c>
      <c r="DI95" s="22" t="e">
        <f t="shared" si="69"/>
        <v>#N/A</v>
      </c>
      <c r="DJ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0</v>
      </c>
      <c r="DP95" s="17" t="e">
        <f>DO95*VLOOKUP('Données projet'!$B$14,Paramètres!$A$1:$I$89,3,0)*VLOOKUP('Données projet'!$B$14,Paramètres!$A$1:$I$89,5,0)</f>
        <v>#N/A</v>
      </c>
      <c r="DQ95" s="13" t="e">
        <f t="shared" si="97"/>
        <v>#N/A</v>
      </c>
      <c r="DR95" s="20" t="e">
        <f t="shared" si="70"/>
        <v>#N/A</v>
      </c>
      <c r="DS95" s="59" t="e">
        <f t="shared" si="71"/>
        <v>#N/A</v>
      </c>
      <c r="DT95" s="59" t="e">
        <f ca="1">AVERAGE(OFFSET($DS$3,0,0,'Données projet'!$E$14+1,1))-AVERAGE(OFFSET($H$3,0,0,'Données projet'!$E$14+1,1))</f>
        <v>#N/A</v>
      </c>
      <c r="DU95" s="59" t="e">
        <f t="shared" si="98"/>
        <v>#N/A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 t="e">
        <f>EXP(-LN(2)/35)*EA94+(1-EXP(-LN(2)/35))/(LN(2)/35)*DW95*DX95*VLOOKUP('Données projet'!$B$14,Paramètres!$A$1:$I$89,3,0)*0.475*44/12</f>
        <v>#N/A</v>
      </c>
      <c r="EB95" s="21" t="e">
        <f>EXP(-LN(2)/25)*EB94+(1-EXP(-LN(2)/25))/(LN(2)/25)*Calculateur!DW95*Calculateur!DY95*VLOOKUP('Données projet'!$B$14,Paramètres!$A$1:$I$89,3,0)*0.475*44/12</f>
        <v>#N/A</v>
      </c>
      <c r="EC95" s="21" t="e">
        <f>EXP(-LN(2)/2)*EC94+(1-EXP(-LN(2)/2))/(LN(2)/2)*DW95*DZ95*VLOOKUP('Données projet'!$B$14,Paramètres!$A$1:$I$89,3,0)*0.475*44/12</f>
        <v>#N/A</v>
      </c>
      <c r="ED95" s="22" t="e">
        <f t="shared" si="72"/>
        <v>#N/A</v>
      </c>
      <c r="EE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0</v>
      </c>
      <c r="EK95" s="17" t="e">
        <f>EJ95*VLOOKUP('Données projet'!$B$15,Paramètres!$A$1:$I$89,3,0)*VLOOKUP('Données projet'!$B$15,Paramètres!$A$1:$I$89,5,0)</f>
        <v>#N/A</v>
      </c>
      <c r="EL95" s="13" t="e">
        <f t="shared" si="99"/>
        <v>#N/A</v>
      </c>
      <c r="EM95" s="20" t="e">
        <f t="shared" si="73"/>
        <v>#N/A</v>
      </c>
      <c r="EN95" s="59" t="e">
        <f t="shared" si="74"/>
        <v>#N/A</v>
      </c>
      <c r="EO95" s="59" t="e">
        <f ca="1">AVERAGE(OFFSET($EN$3,0,0,'Données projet'!$E$15+1,1))-AVERAGE(OFFSET($H$3,0,0,'Données projet'!$E$15+1,1))</f>
        <v>#N/A</v>
      </c>
      <c r="EP95" s="59" t="e">
        <f t="shared" si="100"/>
        <v>#N/A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 t="e">
        <f>EXP(-LN(2)/35)*EV94+(1-EXP(-LN(2)/35))/(LN(2)/35)*ER95*ES95*VLOOKUP('Données projet'!$B$15,Paramètres!$A$1:$I$89,3,0)*0.475*44/12</f>
        <v>#N/A</v>
      </c>
      <c r="EW95" s="21" t="e">
        <f>EXP(-LN(2)/25)*EW94+(1-EXP(-LN(2)/25))/(LN(2)/25)*Calculateur!ER95*Calculateur!ET95*VLOOKUP('Données projet'!$B$15,Paramètres!$A$1:$I$89,3,0)*0.475*44/12</f>
        <v>#N/A</v>
      </c>
      <c r="EX95" s="21" t="e">
        <f>EXP(-LN(2)/2)*EX94+(1-EXP(-LN(2)/2))/(LN(2)/2)*ER95*EU95*VLOOKUP('Données projet'!$B$15,Paramètres!$A$1:$I$89,3,0)*0.475*44/12</f>
        <v>#N/A</v>
      </c>
      <c r="EY95" s="22" t="e">
        <f t="shared" si="75"/>
        <v>#N/A</v>
      </c>
      <c r="EZ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9" t="e">
        <f t="shared" si="77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45">
      <c r="A96" s="10">
        <f t="shared" si="85"/>
        <v>93</v>
      </c>
      <c r="B96" s="73">
        <f>'Scénario référence'!$B$16*5+'Scénario référence'!$B$17*0+'Scénario référence'!$B$18*5</f>
        <v>0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82.695600000000127</v>
      </c>
      <c r="D96" s="11">
        <f t="shared" si="86"/>
        <v>22.794995761747877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">
        <f>IF(OR('Scénario référence'!$F$8&gt;0,'Scénario référence'!$F$9&gt;0),('Scénario référence'!$F$8+'Scénario référence'!$F$9)*10,0)</f>
        <v>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814.31337079244076</v>
      </c>
      <c r="H96" s="67">
        <f t="shared" si="56"/>
        <v>440.39612095171111</v>
      </c>
      <c r="I96" s="7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7.1416666666666657</v>
      </c>
      <c r="N96" s="13">
        <f>IF('Données projet'!$A$36&gt;35,N95+M96-V95,IF(A96&lt;'Données projet'!$A$36,$K$205^A96,IF(A96='Données projet'!$A$36,'Données projet'!$B$36,N95+M96-V95)))</f>
        <v>488.52499999999981</v>
      </c>
      <c r="O96" s="13">
        <f>N96*VLOOKUP('Données projet'!$B$9,Paramètres!$A$1:$I$89,3,0)*VLOOKUP('Données projet'!$B$9,Paramètres!$A$1:$I$89,5,0)</f>
        <v>273.08547499999992</v>
      </c>
      <c r="P96" s="13">
        <f t="shared" si="87"/>
        <v>65.503651283763162</v>
      </c>
      <c r="Q96" s="20">
        <f t="shared" si="54"/>
        <v>589.70939494422078</v>
      </c>
      <c r="R96" s="59">
        <f t="shared" si="55"/>
        <v>883.04272827755403</v>
      </c>
      <c r="S96" s="59">
        <f ca="1">AVERAGE(OFFSET($R$3,0,0,'Données projet'!$E$9+1,1))-AVERAGE(OFFSET($H$3,0,0,'Données projet'!$E$9+1,1))</f>
        <v>280.69347314340195</v>
      </c>
      <c r="T96" s="59">
        <f t="shared" si="88"/>
        <v>152.40533828556482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45.883629193433471</v>
      </c>
      <c r="AA96" s="21">
        <f>EXP(-LN(2)/25)*AA95+(1-EXP(-LN(2)/25))/(LN(2)/25)*Calculateur!V96*Calculateur!X96*VLOOKUP('Données projet'!$B$9,Paramètres!$A$1:$I$89,3,0)*0.475*44/12</f>
        <v>16.716795382416297</v>
      </c>
      <c r="AB96" s="21">
        <f>EXP(-LN(2)/2)*AB95+(1-EXP(-LN(2)/2))/(LN(2)/2)*V96*Y96*VLOOKUP('Données projet'!$B$9,Paramètres!$A$1:$I$89,3,0)*0.475*44/12</f>
        <v>0.39862740889176196</v>
      </c>
      <c r="AC96" s="22">
        <f t="shared" si="57"/>
        <v>62.999051984741534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0</v>
      </c>
      <c r="AI96" s="13">
        <f>IF('Données projet'!$A$62&gt;35,AI95+AH96-AQ95,IF(A96&lt;'Données projet'!$A$62,$AF$205^A96,IF(A96='Données projet'!$A$62,'Données projet'!$B$62,AI95+AH96-AQ95)))</f>
        <v>0</v>
      </c>
      <c r="AJ96" s="13">
        <f>AI96*VLOOKUP('Données projet'!$B$10,Paramètres!$A$1:$I$89,3,0)*VLOOKUP('Données projet'!$B$10,Paramètres!$A$1:$I$89,5,0)</f>
        <v>0</v>
      </c>
      <c r="AK96" s="13" t="e">
        <f t="shared" si="89"/>
        <v>#NUM!</v>
      </c>
      <c r="AL96" s="20" t="e">
        <f t="shared" si="58"/>
        <v>#NUM!</v>
      </c>
      <c r="AM96" s="59" t="e">
        <f t="shared" si="59"/>
        <v>#NUM!</v>
      </c>
      <c r="AN96" s="59">
        <f ca="1">AVERAGE(OFFSET($AM$3,0,0,'Données projet'!$E$10+1,1))-AVERAGE(OFFSET($H$3,0,0,'Données projet'!$E$10+1,1))</f>
        <v>179.4725256147085</v>
      </c>
      <c r="AO96" s="59">
        <f t="shared" si="90"/>
        <v>282.16750121151176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75.109989972636868</v>
      </c>
      <c r="AV96" s="21">
        <f>EXP(-LN(2)/25)*AV95+(1-EXP(-LN(2)/25))/(LN(2)/25)*Calculateur!AQ96*Calculateur!AS96*VLOOKUP('Données projet'!$B$10,Paramètres!$A$1:$I$89,3,0)*0.475*44/12</f>
        <v>19.571308479813883</v>
      </c>
      <c r="AW96" s="21">
        <f>EXP(-LN(2)/2)*AW95+(1-EXP(-LN(2)/2))/(LN(2)/2)*AQ96*AT96*VLOOKUP('Données projet'!$B$10,Paramètres!$A$1:$I$89,3,0)*0.475*44/12</f>
        <v>4.6525155250060193E-4</v>
      </c>
      <c r="AX96" s="21">
        <f t="shared" si="60"/>
        <v>94.681763704003245</v>
      </c>
      <c r="AY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>
        <f>VLOOKUP(A96,'Données projet'!$A$87:$I$107,2,0)</f>
        <v>320.13</v>
      </c>
      <c r="BB96" s="12">
        <f>VLOOKUP(A96,'Données projet'!$A$87:$I$107,9,0)</f>
        <v>9.92</v>
      </c>
      <c r="BC96" s="12">
        <f t="array" ref="BC96">INDEX(BB:BB,MIN(IF(ISNUMBER(BB96:BB292),ROW(BB96:BB292),"")))</f>
        <v>9.92</v>
      </c>
      <c r="BD96" s="12">
        <f>IF('Données projet'!$A$88&gt;35,BD95+BC96-BL95,IF(A96&lt;'Données projet'!$A$88,$BA$205^A96,IF(A96='Données projet'!$A$88,'Données projet'!$B$88,BD95+BC96-BL95)))</f>
        <v>320.13000000000062</v>
      </c>
      <c r="BE96" s="13">
        <f>BD96*VLOOKUP('Données projet'!$B$11,Paramètres!$A$1:$I$89,3,0)*VLOOKUP('Données projet'!$B$11,Paramètres!$A$1:$I$89,5,0)</f>
        <v>274.67154000000056</v>
      </c>
      <c r="BF96" s="13">
        <f t="shared" si="91"/>
        <v>65.839696012088467</v>
      </c>
      <c r="BG96" s="20">
        <f t="shared" si="61"/>
        <v>593.05706938772175</v>
      </c>
      <c r="BH96" s="59">
        <f t="shared" si="62"/>
        <v>886.39040272105512</v>
      </c>
      <c r="BI96" s="59">
        <f ca="1">AVERAGE(OFFSET($BH$3,0,0,'Données projet'!$E$11+1,1))-AVERAGE(OFFSET($H$3,0,0,'Données projet'!$E$11+1,1))</f>
        <v>312.89478437044261</v>
      </c>
      <c r="BJ96" s="59">
        <f t="shared" si="92"/>
        <v>276.16555507854571</v>
      </c>
      <c r="BK96" s="15">
        <f>IF(ISNA(VLOOKUP(A96,'Données projet'!$A$87:$I$107,3,0)),0,VLOOKUP(A96,'Données projet'!$A$87:$I$107,3,0))</f>
        <v>5</v>
      </c>
      <c r="BL96" s="15">
        <f>IF(ISNA(VLOOKUP(A96,'Données projet'!$A$87:$I$107,4,0)),0,VLOOKUP(A96,'Données projet'!$A$87:$I$107,4,0))</f>
        <v>67.269999999999982</v>
      </c>
      <c r="BM96" s="16">
        <f>IF(ISNA(VLOOKUP(A96,'Données projet'!$A$87:$I$107,5,0)),0%,VLOOKUP(A96,'Données projet'!$A$87:$I$107,5,0)*VLOOKUP('Données projet'!$B$11,Paramètres!$A$1:$I$89,7,0))</f>
        <v>0.159</v>
      </c>
      <c r="BN96" s="16">
        <f>IF(ISNA(VLOOKUP(A96,'Données projet'!$A$87:$I$107,6,0)),0%,VLOOKUP(A96,'Données projet'!$A$87:$I$107,6,0)*VLOOKUP('Données projet'!$B$11,Paramètres!$A$1:$I$89,7,0))</f>
        <v>0.10600000000000001</v>
      </c>
      <c r="BO96" s="16">
        <f>IF(ISNA(VLOOKUP(A96,'Données projet'!$A$87:$I$107,7,0)),0%,VLOOKUP(A96,'Données projet'!$A$87:$I$107,7,0))</f>
        <v>0.2</v>
      </c>
      <c r="BP96" s="21">
        <f>EXP(-LN(2)/35)*BP95+(1-EXP(-LN(2)/35))/(LN(2)/35)*BL96*BM96*VLOOKUP('Données projet'!$B$11,Paramètres!$A$1:$I$89,3,0)*0.475*44/12</f>
        <v>18.341040153831536</v>
      </c>
      <c r="BQ96" s="21">
        <f>EXP(-LN(2)/25)*BQ95+(1-EXP(-LN(2)/25))/(LN(2)/25)*Calculateur!BL96*Calculateur!BN96*VLOOKUP('Données projet'!$B$11,Paramètres!$A$1:$I$89,3,0)*0.475*44/12</f>
        <v>45.597478062319809</v>
      </c>
      <c r="BR96" s="21">
        <f>EXP(-LN(2)/2)*BR95+(1-EXP(-LN(2)/2))/(LN(2)/2)*BL96*BO96*VLOOKUP('Données projet'!$B$11,Paramètres!$A$1:$I$89,3,0)*0.475*44/12</f>
        <v>11.416603012500055</v>
      </c>
      <c r="BS96" s="22">
        <f t="shared" si="63"/>
        <v>75.355121228651399</v>
      </c>
      <c r="BT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0</v>
      </c>
      <c r="BY96" s="12">
        <f>IF('Données projet'!$A$114&gt;35,BY95+BX96-CG95,IF(A96&lt;'Données projet'!$A$114,$BV$205^A96,IF(A96='Données projet'!$A$114,'Données projet'!$B$114,BY95+BX96-CG95)))</f>
        <v>0</v>
      </c>
      <c r="BZ96" s="13" t="e">
        <f>BY96*VLOOKUP('Données projet'!$B$12,Paramètres!$A$1:$I$89,3,0)*VLOOKUP('Données projet'!$B$12,Paramètres!$A$1:$I$89,5,0)</f>
        <v>#N/A</v>
      </c>
      <c r="CA96" s="13" t="e">
        <f t="shared" si="93"/>
        <v>#N/A</v>
      </c>
      <c r="CB96" s="20" t="e">
        <f t="shared" si="64"/>
        <v>#N/A</v>
      </c>
      <c r="CC96" s="59" t="e">
        <f t="shared" si="65"/>
        <v>#N/A</v>
      </c>
      <c r="CD96" s="59" t="e">
        <f ca="1">AVERAGE(OFFSET($CC$3,0,0,'Données projet'!$E$12+1,1))-AVERAGE(OFFSET($H$3,0,0,'Données projet'!$E$12+1,1))</f>
        <v>#N/A</v>
      </c>
      <c r="CE96" s="59" t="e">
        <f t="shared" si="94"/>
        <v>#N/A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 t="e">
        <f>EXP(-LN(2)/35)*CK95+(1-EXP(-LN(2)/35))/(LN(2)/35)*CG96*CH96*VLOOKUP('Données projet'!$B$12,Paramètres!$A$1:$I$89,3,0)*0.475*44/12</f>
        <v>#N/A</v>
      </c>
      <c r="CL96" s="21" t="e">
        <f>EXP(-LN(2)/25)*CL95+(1-EXP(-LN(2)/25))/(LN(2)/25)*Calculateur!CG96*Calculateur!CI96*VLOOKUP('Données projet'!$B$12,Paramètres!$A$1:$I$89,3,0)*0.475*44/12</f>
        <v>#N/A</v>
      </c>
      <c r="CM96" s="21" t="e">
        <f>EXP(-LN(2)/2)*CM95+(1-EXP(-LN(2)/2))/(LN(2)/2)*CG96*CJ96*VLOOKUP('Données projet'!$B$12,Paramètres!$A$1:$I$89,3,0)*0.475*44/12</f>
        <v>#N/A</v>
      </c>
      <c r="CN96" s="22" t="e">
        <f t="shared" si="66"/>
        <v>#N/A</v>
      </c>
      <c r="CO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0</v>
      </c>
      <c r="CU96" s="17" t="e">
        <f>CT96*VLOOKUP('Données projet'!$B$13,Paramètres!$A$1:$I$89,3,0)*VLOOKUP('Données projet'!$B$13,Paramètres!$A$1:$I$89,5,0)</f>
        <v>#N/A</v>
      </c>
      <c r="CV96" s="13" t="e">
        <f t="shared" si="95"/>
        <v>#N/A</v>
      </c>
      <c r="CW96" s="20" t="e">
        <f t="shared" si="67"/>
        <v>#N/A</v>
      </c>
      <c r="CX96" s="59" t="e">
        <f t="shared" si="68"/>
        <v>#N/A</v>
      </c>
      <c r="CY96" s="59" t="e">
        <f ca="1">AVERAGE(OFFSET($CX$3,0,0,'Données projet'!$E$13+1,1))-AVERAGE(OFFSET($H$3,0,0,'Données projet'!$E$13+1,1))</f>
        <v>#N/A</v>
      </c>
      <c r="CZ96" s="59" t="e">
        <f t="shared" si="96"/>
        <v>#N/A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 t="e">
        <f>EXP(-LN(2)/35)*DF95+(1-EXP(-LN(2)/35))/(LN(2)/35)*DB96*DC96*VLOOKUP('Données projet'!$B$13,Paramètres!$A$1:$I$89,3,0)*0.475*44/12</f>
        <v>#N/A</v>
      </c>
      <c r="DG96" s="21" t="e">
        <f>EXP(-LN(2)/25)*DG95+(1-EXP(-LN(2)/25))/(LN(2)/25)*Calculateur!DB96*Calculateur!DD96*VLOOKUP('Données projet'!$B$13,Paramètres!$A$1:$I$89,3,0)*0.475*44/12</f>
        <v>#N/A</v>
      </c>
      <c r="DH96" s="21" t="e">
        <f>EXP(-LN(2)/2)*DH95+(1-EXP(-LN(2)/2))/(LN(2)/2)*DB96*DE96*VLOOKUP('Données projet'!$B$13,Paramètres!$A$1:$I$89,3,0)*0.475*44/12</f>
        <v>#N/A</v>
      </c>
      <c r="DI96" s="22" t="e">
        <f t="shared" si="69"/>
        <v>#N/A</v>
      </c>
      <c r="DJ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0</v>
      </c>
      <c r="DP96" s="17" t="e">
        <f>DO96*VLOOKUP('Données projet'!$B$14,Paramètres!$A$1:$I$89,3,0)*VLOOKUP('Données projet'!$B$14,Paramètres!$A$1:$I$89,5,0)</f>
        <v>#N/A</v>
      </c>
      <c r="DQ96" s="13" t="e">
        <f t="shared" si="97"/>
        <v>#N/A</v>
      </c>
      <c r="DR96" s="20" t="e">
        <f t="shared" si="70"/>
        <v>#N/A</v>
      </c>
      <c r="DS96" s="59" t="e">
        <f t="shared" si="71"/>
        <v>#N/A</v>
      </c>
      <c r="DT96" s="59" t="e">
        <f ca="1">AVERAGE(OFFSET($DS$3,0,0,'Données projet'!$E$14+1,1))-AVERAGE(OFFSET($H$3,0,0,'Données projet'!$E$14+1,1))</f>
        <v>#N/A</v>
      </c>
      <c r="DU96" s="59" t="e">
        <f t="shared" si="98"/>
        <v>#N/A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 t="e">
        <f>EXP(-LN(2)/35)*EA95+(1-EXP(-LN(2)/35))/(LN(2)/35)*DW96*DX96*VLOOKUP('Données projet'!$B$14,Paramètres!$A$1:$I$89,3,0)*0.475*44/12</f>
        <v>#N/A</v>
      </c>
      <c r="EB96" s="21" t="e">
        <f>EXP(-LN(2)/25)*EB95+(1-EXP(-LN(2)/25))/(LN(2)/25)*Calculateur!DW96*Calculateur!DY96*VLOOKUP('Données projet'!$B$14,Paramètres!$A$1:$I$89,3,0)*0.475*44/12</f>
        <v>#N/A</v>
      </c>
      <c r="EC96" s="21" t="e">
        <f>EXP(-LN(2)/2)*EC95+(1-EXP(-LN(2)/2))/(LN(2)/2)*DW96*DZ96*VLOOKUP('Données projet'!$B$14,Paramètres!$A$1:$I$89,3,0)*0.475*44/12</f>
        <v>#N/A</v>
      </c>
      <c r="ED96" s="22" t="e">
        <f t="shared" si="72"/>
        <v>#N/A</v>
      </c>
      <c r="EE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0</v>
      </c>
      <c r="EK96" s="17" t="e">
        <f>EJ96*VLOOKUP('Données projet'!$B$15,Paramètres!$A$1:$I$89,3,0)*VLOOKUP('Données projet'!$B$15,Paramètres!$A$1:$I$89,5,0)</f>
        <v>#N/A</v>
      </c>
      <c r="EL96" s="13" t="e">
        <f t="shared" si="99"/>
        <v>#N/A</v>
      </c>
      <c r="EM96" s="20" t="e">
        <f t="shared" si="73"/>
        <v>#N/A</v>
      </c>
      <c r="EN96" s="59" t="e">
        <f t="shared" si="74"/>
        <v>#N/A</v>
      </c>
      <c r="EO96" s="59" t="e">
        <f ca="1">AVERAGE(OFFSET($EN$3,0,0,'Données projet'!$E$15+1,1))-AVERAGE(OFFSET($H$3,0,0,'Données projet'!$E$15+1,1))</f>
        <v>#N/A</v>
      </c>
      <c r="EP96" s="59" t="e">
        <f t="shared" si="100"/>
        <v>#N/A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 t="e">
        <f>EXP(-LN(2)/35)*EV95+(1-EXP(-LN(2)/35))/(LN(2)/35)*ER96*ES96*VLOOKUP('Données projet'!$B$15,Paramètres!$A$1:$I$89,3,0)*0.475*44/12</f>
        <v>#N/A</v>
      </c>
      <c r="EW96" s="21" t="e">
        <f>EXP(-LN(2)/25)*EW95+(1-EXP(-LN(2)/25))/(LN(2)/25)*Calculateur!ER96*Calculateur!ET96*VLOOKUP('Données projet'!$B$15,Paramètres!$A$1:$I$89,3,0)*0.475*44/12</f>
        <v>#N/A</v>
      </c>
      <c r="EX96" s="21" t="e">
        <f>EXP(-LN(2)/2)*EX95+(1-EXP(-LN(2)/2))/(LN(2)/2)*ER96*EU96*VLOOKUP('Données projet'!$B$15,Paramètres!$A$1:$I$89,3,0)*0.475*44/12</f>
        <v>#N/A</v>
      </c>
      <c r="EY96" s="22" t="e">
        <f t="shared" si="75"/>
        <v>#N/A</v>
      </c>
      <c r="EZ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9" t="e">
        <f t="shared" si="77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45">
      <c r="A97" s="10">
        <f t="shared" si="85"/>
        <v>94</v>
      </c>
      <c r="B97" s="73">
        <f>'Scénario référence'!$B$16*5+'Scénario référence'!$B$17*0+'Scénario référence'!$B$18*5</f>
        <v>0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83.584800000000129</v>
      </c>
      <c r="D97" s="11">
        <f t="shared" si="86"/>
        <v>23.011437736237649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">
        <f>IF(OR('Scénario référence'!$F$8&gt;0,'Scénario référence'!$F$9&gt;0),('Scénario référence'!$F$8+'Scénario référence'!$F$9)*10,0)</f>
        <v>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822.84815094639691</v>
      </c>
      <c r="H97" s="67">
        <f t="shared" si="56"/>
        <v>442.32178072394748</v>
      </c>
      <c r="I97" s="7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7.1416666666666657</v>
      </c>
      <c r="N97" s="13">
        <f>IF('Données projet'!$A$36&gt;35,N96+M97-V96,IF(A97&lt;'Données projet'!$A$36,$K$205^A97,IF(A97='Données projet'!$A$36,'Données projet'!$B$36,N96+M97-V96)))</f>
        <v>495.66666666666646</v>
      </c>
      <c r="O97" s="13">
        <f>N97*VLOOKUP('Données projet'!$B$9,Paramètres!$A$1:$I$89,3,0)*VLOOKUP('Données projet'!$B$9,Paramètres!$A$1:$I$89,5,0)</f>
        <v>277.07766666666657</v>
      </c>
      <c r="P97" s="13">
        <f t="shared" si="87"/>
        <v>66.349059244487947</v>
      </c>
      <c r="Q97" s="20">
        <f t="shared" si="54"/>
        <v>598.13488096192737</v>
      </c>
      <c r="R97" s="59">
        <f t="shared" si="55"/>
        <v>891.46821429526062</v>
      </c>
      <c r="S97" s="59">
        <f ca="1">AVERAGE(OFFSET($R$3,0,0,'Données projet'!$E$9+1,1))-AVERAGE(OFFSET($H$3,0,0,'Données projet'!$E$9+1,1))</f>
        <v>280.69347314340195</v>
      </c>
      <c r="T97" s="59">
        <f t="shared" si="88"/>
        <v>152.40533828556482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44.983879211200637</v>
      </c>
      <c r="AA97" s="21">
        <f>EXP(-LN(2)/25)*AA96+(1-EXP(-LN(2)/25))/(LN(2)/25)*Calculateur!V97*Calculateur!X97*VLOOKUP('Données projet'!$B$9,Paramètres!$A$1:$I$89,3,0)*0.475*44/12</f>
        <v>16.259673733586062</v>
      </c>
      <c r="AB97" s="21">
        <f>EXP(-LN(2)/2)*AB96+(1-EXP(-LN(2)/2))/(LN(2)/2)*V97*Y97*VLOOKUP('Données projet'!$B$9,Paramètres!$A$1:$I$89,3,0)*0.475*44/12</f>
        <v>0.28187214399418753</v>
      </c>
      <c r="AC97" s="22">
        <f t="shared" si="57"/>
        <v>61.525425088780885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0</v>
      </c>
      <c r="AI97" s="13">
        <f>IF('Données projet'!$A$62&gt;35,AI96+AH97-AQ96,IF(A97&lt;'Données projet'!$A$62,$AF$205^A97,IF(A97='Données projet'!$A$62,'Données projet'!$B$62,AI96+AH97-AQ96)))</f>
        <v>0</v>
      </c>
      <c r="AJ97" s="13">
        <f>AI97*VLOOKUP('Données projet'!$B$10,Paramètres!$A$1:$I$89,3,0)*VLOOKUP('Données projet'!$B$10,Paramètres!$A$1:$I$89,5,0)</f>
        <v>0</v>
      </c>
      <c r="AK97" s="13" t="e">
        <f t="shared" si="89"/>
        <v>#NUM!</v>
      </c>
      <c r="AL97" s="20" t="e">
        <f t="shared" si="58"/>
        <v>#NUM!</v>
      </c>
      <c r="AM97" s="59" t="e">
        <f t="shared" si="59"/>
        <v>#NUM!</v>
      </c>
      <c r="AN97" s="59">
        <f ca="1">AVERAGE(OFFSET($AM$3,0,0,'Données projet'!$E$10+1,1))-AVERAGE(OFFSET($H$3,0,0,'Données projet'!$E$10+1,1))</f>
        <v>179.4725256147085</v>
      </c>
      <c r="AO97" s="59">
        <f t="shared" si="90"/>
        <v>282.16750121151176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73.637128881843722</v>
      </c>
      <c r="AV97" s="21">
        <f>EXP(-LN(2)/25)*AV96+(1-EXP(-LN(2)/25))/(LN(2)/25)*Calculateur!AQ97*Calculateur!AS97*VLOOKUP('Données projet'!$B$10,Paramètres!$A$1:$I$89,3,0)*0.475*44/12</f>
        <v>19.036130020222991</v>
      </c>
      <c r="AW97" s="21">
        <f>EXP(-LN(2)/2)*AW96+(1-EXP(-LN(2)/2))/(LN(2)/2)*AQ97*AT97*VLOOKUP('Données projet'!$B$10,Paramètres!$A$1:$I$89,3,0)*0.475*44/12</f>
        <v>3.289825277307447E-4</v>
      </c>
      <c r="AX97" s="21">
        <f t="shared" si="60"/>
        <v>92.673587884594454</v>
      </c>
      <c r="AY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9.2583333333333311</v>
      </c>
      <c r="BD97" s="12">
        <f>IF('Données projet'!$A$88&gt;35,BD96+BC97-BL96,IF(A97&lt;'Données projet'!$A$88,$BA$205^A97,IF(A97='Données projet'!$A$88,'Données projet'!$B$88,BD96+BC97-BL96)))</f>
        <v>262.11833333333396</v>
      </c>
      <c r="BE97" s="13">
        <f>BD97*VLOOKUP('Données projet'!$B$11,Paramètres!$A$1:$I$89,3,0)*VLOOKUP('Données projet'!$B$11,Paramètres!$A$1:$I$89,5,0)</f>
        <v>224.89753000000056</v>
      </c>
      <c r="BF97" s="13">
        <f t="shared" si="91"/>
        <v>55.177971833569686</v>
      </c>
      <c r="BG97" s="20">
        <f t="shared" si="61"/>
        <v>487.79816569346821</v>
      </c>
      <c r="BH97" s="59">
        <f t="shared" si="62"/>
        <v>781.13149902680152</v>
      </c>
      <c r="BI97" s="59">
        <f ca="1">AVERAGE(OFFSET($BH$3,0,0,'Données projet'!$E$11+1,1))-AVERAGE(OFFSET($H$3,0,0,'Données projet'!$E$11+1,1))</f>
        <v>312.89478437044261</v>
      </c>
      <c r="BJ97" s="59">
        <f t="shared" si="92"/>
        <v>276.16555507854571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>
        <f>EXP(-LN(2)/35)*BP96+(1-EXP(-LN(2)/35))/(LN(2)/35)*BL97*BM97*VLOOKUP('Données projet'!$B$11,Paramètres!$A$1:$I$89,3,0)*0.475*44/12</f>
        <v>17.981383543344776</v>
      </c>
      <c r="BQ97" s="21">
        <f>EXP(-LN(2)/25)*BQ96+(1-EXP(-LN(2)/25))/(LN(2)/25)*Calculateur!BL97*Calculateur!BN97*VLOOKUP('Données projet'!$B$11,Paramètres!$A$1:$I$89,3,0)*0.475*44/12</f>
        <v>44.350612626838519</v>
      </c>
      <c r="BR97" s="21">
        <f>EXP(-LN(2)/2)*BR96+(1-EXP(-LN(2)/2))/(LN(2)/2)*BL97*BO97*VLOOKUP('Données projet'!$B$11,Paramètres!$A$1:$I$89,3,0)*0.475*44/12</f>
        <v>8.0727574082535565</v>
      </c>
      <c r="BS97" s="22">
        <f t="shared" si="63"/>
        <v>70.404753578436853</v>
      </c>
      <c r="BT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0</v>
      </c>
      <c r="BY97" s="12">
        <f>IF('Données projet'!$A$114&gt;35,BY96+BX97-CG96,IF(A97&lt;'Données projet'!$A$114,$BV$205^A97,IF(A97='Données projet'!$A$114,'Données projet'!$B$114,BY96+BX97-CG96)))</f>
        <v>0</v>
      </c>
      <c r="BZ97" s="13" t="e">
        <f>BY97*VLOOKUP('Données projet'!$B$12,Paramètres!$A$1:$I$89,3,0)*VLOOKUP('Données projet'!$B$12,Paramètres!$A$1:$I$89,5,0)</f>
        <v>#N/A</v>
      </c>
      <c r="CA97" s="13" t="e">
        <f t="shared" si="93"/>
        <v>#N/A</v>
      </c>
      <c r="CB97" s="20" t="e">
        <f t="shared" si="64"/>
        <v>#N/A</v>
      </c>
      <c r="CC97" s="59" t="e">
        <f t="shared" si="65"/>
        <v>#N/A</v>
      </c>
      <c r="CD97" s="59" t="e">
        <f ca="1">AVERAGE(OFFSET($CC$3,0,0,'Données projet'!$E$12+1,1))-AVERAGE(OFFSET($H$3,0,0,'Données projet'!$E$12+1,1))</f>
        <v>#N/A</v>
      </c>
      <c r="CE97" s="59" t="e">
        <f t="shared" si="94"/>
        <v>#N/A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 t="e">
        <f>EXP(-LN(2)/35)*CK96+(1-EXP(-LN(2)/35))/(LN(2)/35)*CG97*CH97*VLOOKUP('Données projet'!$B$12,Paramètres!$A$1:$I$89,3,0)*0.475*44/12</f>
        <v>#N/A</v>
      </c>
      <c r="CL97" s="21" t="e">
        <f>EXP(-LN(2)/25)*CL96+(1-EXP(-LN(2)/25))/(LN(2)/25)*Calculateur!CG97*Calculateur!CI97*VLOOKUP('Données projet'!$B$12,Paramètres!$A$1:$I$89,3,0)*0.475*44/12</f>
        <v>#N/A</v>
      </c>
      <c r="CM97" s="21" t="e">
        <f>EXP(-LN(2)/2)*CM96+(1-EXP(-LN(2)/2))/(LN(2)/2)*CG97*CJ97*VLOOKUP('Données projet'!$B$12,Paramètres!$A$1:$I$89,3,0)*0.475*44/12</f>
        <v>#N/A</v>
      </c>
      <c r="CN97" s="22" t="e">
        <f t="shared" si="66"/>
        <v>#N/A</v>
      </c>
      <c r="CO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0</v>
      </c>
      <c r="CU97" s="17" t="e">
        <f>CT97*VLOOKUP('Données projet'!$B$13,Paramètres!$A$1:$I$89,3,0)*VLOOKUP('Données projet'!$B$13,Paramètres!$A$1:$I$89,5,0)</f>
        <v>#N/A</v>
      </c>
      <c r="CV97" s="13" t="e">
        <f t="shared" si="95"/>
        <v>#N/A</v>
      </c>
      <c r="CW97" s="20" t="e">
        <f t="shared" si="67"/>
        <v>#N/A</v>
      </c>
      <c r="CX97" s="59" t="e">
        <f t="shared" si="68"/>
        <v>#N/A</v>
      </c>
      <c r="CY97" s="59" t="e">
        <f ca="1">AVERAGE(OFFSET($CX$3,0,0,'Données projet'!$E$13+1,1))-AVERAGE(OFFSET($H$3,0,0,'Données projet'!$E$13+1,1))</f>
        <v>#N/A</v>
      </c>
      <c r="CZ97" s="59" t="e">
        <f t="shared" si="96"/>
        <v>#N/A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 t="e">
        <f>EXP(-LN(2)/35)*DF96+(1-EXP(-LN(2)/35))/(LN(2)/35)*DB97*DC97*VLOOKUP('Données projet'!$B$13,Paramètres!$A$1:$I$89,3,0)*0.475*44/12</f>
        <v>#N/A</v>
      </c>
      <c r="DG97" s="21" t="e">
        <f>EXP(-LN(2)/25)*DG96+(1-EXP(-LN(2)/25))/(LN(2)/25)*Calculateur!DB97*Calculateur!DD97*VLOOKUP('Données projet'!$B$13,Paramètres!$A$1:$I$89,3,0)*0.475*44/12</f>
        <v>#N/A</v>
      </c>
      <c r="DH97" s="21" t="e">
        <f>EXP(-LN(2)/2)*DH96+(1-EXP(-LN(2)/2))/(LN(2)/2)*DB97*DE97*VLOOKUP('Données projet'!$B$13,Paramètres!$A$1:$I$89,3,0)*0.475*44/12</f>
        <v>#N/A</v>
      </c>
      <c r="DI97" s="22" t="e">
        <f t="shared" si="69"/>
        <v>#N/A</v>
      </c>
      <c r="DJ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0</v>
      </c>
      <c r="DP97" s="17" t="e">
        <f>DO97*VLOOKUP('Données projet'!$B$14,Paramètres!$A$1:$I$89,3,0)*VLOOKUP('Données projet'!$B$14,Paramètres!$A$1:$I$89,5,0)</f>
        <v>#N/A</v>
      </c>
      <c r="DQ97" s="13" t="e">
        <f t="shared" si="97"/>
        <v>#N/A</v>
      </c>
      <c r="DR97" s="20" t="e">
        <f t="shared" si="70"/>
        <v>#N/A</v>
      </c>
      <c r="DS97" s="59" t="e">
        <f t="shared" si="71"/>
        <v>#N/A</v>
      </c>
      <c r="DT97" s="59" t="e">
        <f ca="1">AVERAGE(OFFSET($DS$3,0,0,'Données projet'!$E$14+1,1))-AVERAGE(OFFSET($H$3,0,0,'Données projet'!$E$14+1,1))</f>
        <v>#N/A</v>
      </c>
      <c r="DU97" s="59" t="e">
        <f t="shared" si="98"/>
        <v>#N/A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 t="e">
        <f>EXP(-LN(2)/35)*EA96+(1-EXP(-LN(2)/35))/(LN(2)/35)*DW97*DX97*VLOOKUP('Données projet'!$B$14,Paramètres!$A$1:$I$89,3,0)*0.475*44/12</f>
        <v>#N/A</v>
      </c>
      <c r="EB97" s="21" t="e">
        <f>EXP(-LN(2)/25)*EB96+(1-EXP(-LN(2)/25))/(LN(2)/25)*Calculateur!DW97*Calculateur!DY97*VLOOKUP('Données projet'!$B$14,Paramètres!$A$1:$I$89,3,0)*0.475*44/12</f>
        <v>#N/A</v>
      </c>
      <c r="EC97" s="21" t="e">
        <f>EXP(-LN(2)/2)*EC96+(1-EXP(-LN(2)/2))/(LN(2)/2)*DW97*DZ97*VLOOKUP('Données projet'!$B$14,Paramètres!$A$1:$I$89,3,0)*0.475*44/12</f>
        <v>#N/A</v>
      </c>
      <c r="ED97" s="22" t="e">
        <f t="shared" si="72"/>
        <v>#N/A</v>
      </c>
      <c r="EE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0</v>
      </c>
      <c r="EK97" s="17" t="e">
        <f>EJ97*VLOOKUP('Données projet'!$B$15,Paramètres!$A$1:$I$89,3,0)*VLOOKUP('Données projet'!$B$15,Paramètres!$A$1:$I$89,5,0)</f>
        <v>#N/A</v>
      </c>
      <c r="EL97" s="13" t="e">
        <f t="shared" si="99"/>
        <v>#N/A</v>
      </c>
      <c r="EM97" s="20" t="e">
        <f t="shared" si="73"/>
        <v>#N/A</v>
      </c>
      <c r="EN97" s="59" t="e">
        <f t="shared" si="74"/>
        <v>#N/A</v>
      </c>
      <c r="EO97" s="59" t="e">
        <f ca="1">AVERAGE(OFFSET($EN$3,0,0,'Données projet'!$E$15+1,1))-AVERAGE(OFFSET($H$3,0,0,'Données projet'!$E$15+1,1))</f>
        <v>#N/A</v>
      </c>
      <c r="EP97" s="59" t="e">
        <f t="shared" si="100"/>
        <v>#N/A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 t="e">
        <f>EXP(-LN(2)/35)*EV96+(1-EXP(-LN(2)/35))/(LN(2)/35)*ER97*ES97*VLOOKUP('Données projet'!$B$15,Paramètres!$A$1:$I$89,3,0)*0.475*44/12</f>
        <v>#N/A</v>
      </c>
      <c r="EW97" s="21" t="e">
        <f>EXP(-LN(2)/25)*EW96+(1-EXP(-LN(2)/25))/(LN(2)/25)*Calculateur!ER97*Calculateur!ET97*VLOOKUP('Données projet'!$B$15,Paramètres!$A$1:$I$89,3,0)*0.475*44/12</f>
        <v>#N/A</v>
      </c>
      <c r="EX97" s="21" t="e">
        <f>EXP(-LN(2)/2)*EX96+(1-EXP(-LN(2)/2))/(LN(2)/2)*ER97*EU97*VLOOKUP('Données projet'!$B$15,Paramètres!$A$1:$I$89,3,0)*0.475*44/12</f>
        <v>#N/A</v>
      </c>
      <c r="EY97" s="22" t="e">
        <f t="shared" si="75"/>
        <v>#N/A</v>
      </c>
      <c r="EZ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9" t="e">
        <f t="shared" si="77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45">
      <c r="A98" s="10">
        <f t="shared" si="85"/>
        <v>95</v>
      </c>
      <c r="B98" s="73">
        <f>'Scénario référence'!$B$16*5+'Scénario référence'!$B$17*0+'Scénario référence'!$B$18*5</f>
        <v>0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84.474000000000132</v>
      </c>
      <c r="D98" s="11">
        <f t="shared" si="86"/>
        <v>23.227611851623202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">
        <f>IF(OR('Scénario référence'!$F$8&gt;0,'Scénario référence'!$F$9&gt;0),('Scénario référence'!$F$8+'Scénario référence'!$F$9)*10,0)</f>
        <v>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831.38086341603992</v>
      </c>
      <c r="H98" s="67">
        <f t="shared" si="56"/>
        <v>444.24697397491065</v>
      </c>
      <c r="I98" s="7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7.1416666666666657</v>
      </c>
      <c r="N98" s="13">
        <f>IF('Données projet'!$A$36&gt;35,N97+M98-V97,IF(A98&lt;'Données projet'!$A$36,$K$205^A98,IF(A98='Données projet'!$A$36,'Données projet'!$B$36,N97+M98-V97)))</f>
        <v>502.80833333333311</v>
      </c>
      <c r="O98" s="13">
        <f>N98*VLOOKUP('Données projet'!$B$9,Paramètres!$A$1:$I$89,3,0)*VLOOKUP('Données projet'!$B$9,Paramètres!$A$1:$I$89,5,0)</f>
        <v>281.06985833333323</v>
      </c>
      <c r="P98" s="13">
        <f t="shared" si="87"/>
        <v>67.193050495295523</v>
      </c>
      <c r="Q98" s="20">
        <f t="shared" si="54"/>
        <v>606.55789954319505</v>
      </c>
      <c r="R98" s="59">
        <f t="shared" si="55"/>
        <v>899.89123287652842</v>
      </c>
      <c r="S98" s="59">
        <f ca="1">AVERAGE(OFFSET($R$3,0,0,'Données projet'!$E$9+1,1))-AVERAGE(OFFSET($H$3,0,0,'Données projet'!$E$9+1,1))</f>
        <v>280.69347314340195</v>
      </c>
      <c r="T98" s="59">
        <f t="shared" si="88"/>
        <v>152.40533828556482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44.10177277732609</v>
      </c>
      <c r="AA98" s="21">
        <f>EXP(-LN(2)/25)*AA97+(1-EXP(-LN(2)/25))/(LN(2)/25)*Calculateur!V98*Calculateur!X98*VLOOKUP('Données projet'!$B$9,Paramètres!$A$1:$I$89,3,0)*0.475*44/12</f>
        <v>15.815052100282072</v>
      </c>
      <c r="AB98" s="21">
        <f>EXP(-LN(2)/2)*AB97+(1-EXP(-LN(2)/2))/(LN(2)/2)*V98*Y98*VLOOKUP('Données projet'!$B$9,Paramètres!$A$1:$I$89,3,0)*0.475*44/12</f>
        <v>0.19931370444588098</v>
      </c>
      <c r="AC98" s="22">
        <f t="shared" si="57"/>
        <v>60.116138582054042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0</v>
      </c>
      <c r="AI98" s="13">
        <f>IF('Données projet'!$A$62&gt;35,AI97+AH98-AQ97,IF(A98&lt;'Données projet'!$A$62,$AF$205^A98,IF(A98='Données projet'!$A$62,'Données projet'!$B$62,AI97+AH98-AQ97)))</f>
        <v>0</v>
      </c>
      <c r="AJ98" s="13">
        <f>AI98*VLOOKUP('Données projet'!$B$10,Paramètres!$A$1:$I$89,3,0)*VLOOKUP('Données projet'!$B$10,Paramètres!$A$1:$I$89,5,0)</f>
        <v>0</v>
      </c>
      <c r="AK98" s="13" t="e">
        <f t="shared" si="89"/>
        <v>#NUM!</v>
      </c>
      <c r="AL98" s="20" t="e">
        <f t="shared" si="58"/>
        <v>#NUM!</v>
      </c>
      <c r="AM98" s="59" t="e">
        <f t="shared" si="59"/>
        <v>#NUM!</v>
      </c>
      <c r="AN98" s="59">
        <f ca="1">AVERAGE(OFFSET($AM$3,0,0,'Données projet'!$E$10+1,1))-AVERAGE(OFFSET($H$3,0,0,'Données projet'!$E$10+1,1))</f>
        <v>179.4725256147085</v>
      </c>
      <c r="AO98" s="59">
        <f t="shared" si="90"/>
        <v>282.16750121151176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72.193149698684479</v>
      </c>
      <c r="AV98" s="21">
        <f>EXP(-LN(2)/25)*AV97+(1-EXP(-LN(2)/25))/(LN(2)/25)*Calculateur!AQ98*Calculateur!AS98*VLOOKUP('Données projet'!$B$10,Paramètres!$A$1:$I$89,3,0)*0.475*44/12</f>
        <v>18.515586043753423</v>
      </c>
      <c r="AW98" s="21">
        <f>EXP(-LN(2)/2)*AW97+(1-EXP(-LN(2)/2))/(LN(2)/2)*AQ98*AT98*VLOOKUP('Données projet'!$B$10,Paramètres!$A$1:$I$89,3,0)*0.475*44/12</f>
        <v>2.3262577625030102E-4</v>
      </c>
      <c r="AX98" s="21">
        <f t="shared" si="60"/>
        <v>90.708968368214158</v>
      </c>
      <c r="AY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9.2583333333333311</v>
      </c>
      <c r="BD98" s="12">
        <f>IF('Données projet'!$A$88&gt;35,BD97+BC98-BL97,IF(A98&lt;'Données projet'!$A$88,$BA$205^A98,IF(A98='Données projet'!$A$88,'Données projet'!$B$88,BD97+BC98-BL97)))</f>
        <v>271.37666666666729</v>
      </c>
      <c r="BE98" s="13">
        <f>BD98*VLOOKUP('Données projet'!$B$11,Paramètres!$A$1:$I$89,3,0)*VLOOKUP('Données projet'!$B$11,Paramètres!$A$1:$I$89,5,0)</f>
        <v>232.84118000000055</v>
      </c>
      <c r="BF98" s="13">
        <f t="shared" si="91"/>
        <v>56.896571423740554</v>
      </c>
      <c r="BG98" s="20">
        <f t="shared" si="61"/>
        <v>504.62658372968235</v>
      </c>
      <c r="BH98" s="59">
        <f t="shared" si="62"/>
        <v>797.95991706301561</v>
      </c>
      <c r="BI98" s="59">
        <f ca="1">AVERAGE(OFFSET($BH$3,0,0,'Données projet'!$E$11+1,1))-AVERAGE(OFFSET($H$3,0,0,'Données projet'!$E$11+1,1))</f>
        <v>312.89478437044261</v>
      </c>
      <c r="BJ98" s="59">
        <f t="shared" si="92"/>
        <v>276.16555507854571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>
        <f>EXP(-LN(2)/35)*BP97+(1-EXP(-LN(2)/35))/(LN(2)/35)*BL98*BM98*VLOOKUP('Données projet'!$B$11,Paramètres!$A$1:$I$89,3,0)*0.475*44/12</f>
        <v>17.62877957962079</v>
      </c>
      <c r="BQ98" s="21">
        <f>EXP(-LN(2)/25)*BQ97+(1-EXP(-LN(2)/25))/(LN(2)/25)*Calculateur!BL98*Calculateur!BN98*VLOOKUP('Données projet'!$B$11,Paramètres!$A$1:$I$89,3,0)*0.475*44/12</f>
        <v>43.137842792260265</v>
      </c>
      <c r="BR98" s="21">
        <f>EXP(-LN(2)/2)*BR97+(1-EXP(-LN(2)/2))/(LN(2)/2)*BL98*BO98*VLOOKUP('Données projet'!$B$11,Paramètres!$A$1:$I$89,3,0)*0.475*44/12</f>
        <v>5.7083015062500282</v>
      </c>
      <c r="BS98" s="22">
        <f t="shared" si="63"/>
        <v>66.474923878131079</v>
      </c>
      <c r="BT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0</v>
      </c>
      <c r="BY98" s="12">
        <f>IF('Données projet'!$A$114&gt;35,BY97+BX98-CG97,IF(A98&lt;'Données projet'!$A$114,$BV$205^A98,IF(A98='Données projet'!$A$114,'Données projet'!$B$114,BY97+BX98-CG97)))</f>
        <v>0</v>
      </c>
      <c r="BZ98" s="13" t="e">
        <f>BY98*VLOOKUP('Données projet'!$B$12,Paramètres!$A$1:$I$89,3,0)*VLOOKUP('Données projet'!$B$12,Paramètres!$A$1:$I$89,5,0)</f>
        <v>#N/A</v>
      </c>
      <c r="CA98" s="13" t="e">
        <f t="shared" si="93"/>
        <v>#N/A</v>
      </c>
      <c r="CB98" s="20" t="e">
        <f t="shared" si="64"/>
        <v>#N/A</v>
      </c>
      <c r="CC98" s="59" t="e">
        <f t="shared" si="65"/>
        <v>#N/A</v>
      </c>
      <c r="CD98" s="59" t="e">
        <f ca="1">AVERAGE(OFFSET($CC$3,0,0,'Données projet'!$E$12+1,1))-AVERAGE(OFFSET($H$3,0,0,'Données projet'!$E$12+1,1))</f>
        <v>#N/A</v>
      </c>
      <c r="CE98" s="59" t="e">
        <f t="shared" si="94"/>
        <v>#N/A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 t="e">
        <f>EXP(-LN(2)/35)*CK97+(1-EXP(-LN(2)/35))/(LN(2)/35)*CG98*CH98*VLOOKUP('Données projet'!$B$12,Paramètres!$A$1:$I$89,3,0)*0.475*44/12</f>
        <v>#N/A</v>
      </c>
      <c r="CL98" s="21" t="e">
        <f>EXP(-LN(2)/25)*CL97+(1-EXP(-LN(2)/25))/(LN(2)/25)*Calculateur!CG98*Calculateur!CI98*VLOOKUP('Données projet'!$B$12,Paramètres!$A$1:$I$89,3,0)*0.475*44/12</f>
        <v>#N/A</v>
      </c>
      <c r="CM98" s="21" t="e">
        <f>EXP(-LN(2)/2)*CM97+(1-EXP(-LN(2)/2))/(LN(2)/2)*CG98*CJ98*VLOOKUP('Données projet'!$B$12,Paramètres!$A$1:$I$89,3,0)*0.475*44/12</f>
        <v>#N/A</v>
      </c>
      <c r="CN98" s="22" t="e">
        <f t="shared" si="66"/>
        <v>#N/A</v>
      </c>
      <c r="CO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0</v>
      </c>
      <c r="CU98" s="17" t="e">
        <f>CT98*VLOOKUP('Données projet'!$B$13,Paramètres!$A$1:$I$89,3,0)*VLOOKUP('Données projet'!$B$13,Paramètres!$A$1:$I$89,5,0)</f>
        <v>#N/A</v>
      </c>
      <c r="CV98" s="13" t="e">
        <f t="shared" si="95"/>
        <v>#N/A</v>
      </c>
      <c r="CW98" s="20" t="e">
        <f t="shared" si="67"/>
        <v>#N/A</v>
      </c>
      <c r="CX98" s="59" t="e">
        <f t="shared" si="68"/>
        <v>#N/A</v>
      </c>
      <c r="CY98" s="59" t="e">
        <f ca="1">AVERAGE(OFFSET($CX$3,0,0,'Données projet'!$E$13+1,1))-AVERAGE(OFFSET($H$3,0,0,'Données projet'!$E$13+1,1))</f>
        <v>#N/A</v>
      </c>
      <c r="CZ98" s="59" t="e">
        <f t="shared" si="96"/>
        <v>#N/A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 t="e">
        <f>EXP(-LN(2)/35)*DF97+(1-EXP(-LN(2)/35))/(LN(2)/35)*DB98*DC98*VLOOKUP('Données projet'!$B$13,Paramètres!$A$1:$I$89,3,0)*0.475*44/12</f>
        <v>#N/A</v>
      </c>
      <c r="DG98" s="21" t="e">
        <f>EXP(-LN(2)/25)*DG97+(1-EXP(-LN(2)/25))/(LN(2)/25)*Calculateur!DB98*Calculateur!DD98*VLOOKUP('Données projet'!$B$13,Paramètres!$A$1:$I$89,3,0)*0.475*44/12</f>
        <v>#N/A</v>
      </c>
      <c r="DH98" s="21" t="e">
        <f>EXP(-LN(2)/2)*DH97+(1-EXP(-LN(2)/2))/(LN(2)/2)*DB98*DE98*VLOOKUP('Données projet'!$B$13,Paramètres!$A$1:$I$89,3,0)*0.475*44/12</f>
        <v>#N/A</v>
      </c>
      <c r="DI98" s="22" t="e">
        <f t="shared" si="69"/>
        <v>#N/A</v>
      </c>
      <c r="DJ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0</v>
      </c>
      <c r="DP98" s="17" t="e">
        <f>DO98*VLOOKUP('Données projet'!$B$14,Paramètres!$A$1:$I$89,3,0)*VLOOKUP('Données projet'!$B$14,Paramètres!$A$1:$I$89,5,0)</f>
        <v>#N/A</v>
      </c>
      <c r="DQ98" s="13" t="e">
        <f t="shared" si="97"/>
        <v>#N/A</v>
      </c>
      <c r="DR98" s="20" t="e">
        <f t="shared" si="70"/>
        <v>#N/A</v>
      </c>
      <c r="DS98" s="59" t="e">
        <f t="shared" si="71"/>
        <v>#N/A</v>
      </c>
      <c r="DT98" s="59" t="e">
        <f ca="1">AVERAGE(OFFSET($DS$3,0,0,'Données projet'!$E$14+1,1))-AVERAGE(OFFSET($H$3,0,0,'Données projet'!$E$14+1,1))</f>
        <v>#N/A</v>
      </c>
      <c r="DU98" s="59" t="e">
        <f t="shared" si="98"/>
        <v>#N/A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 t="e">
        <f>EXP(-LN(2)/35)*EA97+(1-EXP(-LN(2)/35))/(LN(2)/35)*DW98*DX98*VLOOKUP('Données projet'!$B$14,Paramètres!$A$1:$I$89,3,0)*0.475*44/12</f>
        <v>#N/A</v>
      </c>
      <c r="EB98" s="21" t="e">
        <f>EXP(-LN(2)/25)*EB97+(1-EXP(-LN(2)/25))/(LN(2)/25)*Calculateur!DW98*Calculateur!DY98*VLOOKUP('Données projet'!$B$14,Paramètres!$A$1:$I$89,3,0)*0.475*44/12</f>
        <v>#N/A</v>
      </c>
      <c r="EC98" s="21" t="e">
        <f>EXP(-LN(2)/2)*EC97+(1-EXP(-LN(2)/2))/(LN(2)/2)*DW98*DZ98*VLOOKUP('Données projet'!$B$14,Paramètres!$A$1:$I$89,3,0)*0.475*44/12</f>
        <v>#N/A</v>
      </c>
      <c r="ED98" s="22" t="e">
        <f t="shared" si="72"/>
        <v>#N/A</v>
      </c>
      <c r="EE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0</v>
      </c>
      <c r="EK98" s="17" t="e">
        <f>EJ98*VLOOKUP('Données projet'!$B$15,Paramètres!$A$1:$I$89,3,0)*VLOOKUP('Données projet'!$B$15,Paramètres!$A$1:$I$89,5,0)</f>
        <v>#N/A</v>
      </c>
      <c r="EL98" s="13" t="e">
        <f t="shared" si="99"/>
        <v>#N/A</v>
      </c>
      <c r="EM98" s="20" t="e">
        <f t="shared" si="73"/>
        <v>#N/A</v>
      </c>
      <c r="EN98" s="59" t="e">
        <f t="shared" si="74"/>
        <v>#N/A</v>
      </c>
      <c r="EO98" s="59" t="e">
        <f ca="1">AVERAGE(OFFSET($EN$3,0,0,'Données projet'!$E$15+1,1))-AVERAGE(OFFSET($H$3,0,0,'Données projet'!$E$15+1,1))</f>
        <v>#N/A</v>
      </c>
      <c r="EP98" s="59" t="e">
        <f t="shared" si="100"/>
        <v>#N/A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 t="e">
        <f>EXP(-LN(2)/35)*EV97+(1-EXP(-LN(2)/35))/(LN(2)/35)*ER98*ES98*VLOOKUP('Données projet'!$B$15,Paramètres!$A$1:$I$89,3,0)*0.475*44/12</f>
        <v>#N/A</v>
      </c>
      <c r="EW98" s="21" t="e">
        <f>EXP(-LN(2)/25)*EW97+(1-EXP(-LN(2)/25))/(LN(2)/25)*Calculateur!ER98*Calculateur!ET98*VLOOKUP('Données projet'!$B$15,Paramètres!$A$1:$I$89,3,0)*0.475*44/12</f>
        <v>#N/A</v>
      </c>
      <c r="EX98" s="21" t="e">
        <f>EXP(-LN(2)/2)*EX97+(1-EXP(-LN(2)/2))/(LN(2)/2)*ER98*EU98*VLOOKUP('Données projet'!$B$15,Paramètres!$A$1:$I$89,3,0)*0.475*44/12</f>
        <v>#N/A</v>
      </c>
      <c r="EY98" s="22" t="e">
        <f t="shared" si="75"/>
        <v>#N/A</v>
      </c>
      <c r="EZ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9" t="e">
        <f t="shared" si="77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45">
      <c r="A99" s="10">
        <f t="shared" si="85"/>
        <v>96</v>
      </c>
      <c r="B99" s="73">
        <f>'Scénario référence'!$B$16*5+'Scénario référence'!$B$17*0+'Scénario référence'!$B$18*5</f>
        <v>0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85.363200000000134</v>
      </c>
      <c r="D99" s="11">
        <f t="shared" si="86"/>
        <v>23.443521253861071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">
        <f>IF(OR('Scénario référence'!$F$8&gt;0,'Scénario référence'!$F$9&gt;0),('Scénario référence'!$F$8+'Scénario référence'!$F$9)*10,0)</f>
        <v>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839.91153248594617</v>
      </c>
      <c r="H99" s="67">
        <f t="shared" si="56"/>
        <v>446.17170618380828</v>
      </c>
      <c r="I99" s="7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>
        <f>VLOOKUP(A99,'Données projet'!$A$35:$I$55,2,0)</f>
        <v>509.95</v>
      </c>
      <c r="L99" s="12">
        <f>VLOOKUP(A99,'Données projet'!$A$35:$I$55,9,0)</f>
        <v>7.1416666666666657</v>
      </c>
      <c r="M99" s="12">
        <f t="array" ref="M99">INDEX(L:L,MIN(IF(ISNUMBER(L99:L295),ROW(L99:L295),"")))</f>
        <v>7.1416666666666657</v>
      </c>
      <c r="N99" s="13">
        <f>IF('Données projet'!$A$36&gt;35,N98+M99-V98,IF(A99&lt;'Données projet'!$A$36,$K$205^A99,IF(A99='Données projet'!$A$36,'Données projet'!$B$36,N98+M99-V98)))</f>
        <v>509.94999999999976</v>
      </c>
      <c r="O99" s="13">
        <f>N99*VLOOKUP('Données projet'!$B$9,Paramètres!$A$1:$I$89,3,0)*VLOOKUP('Données projet'!$B$9,Paramètres!$A$1:$I$89,5,0)</f>
        <v>285.06204999999989</v>
      </c>
      <c r="P99" s="13">
        <f t="shared" si="87"/>
        <v>68.035647483702888</v>
      </c>
      <c r="Q99" s="20">
        <f t="shared" ref="Q99:Q130" si="107">(O99+P99)*0.475*44/12</f>
        <v>614.9784897841156</v>
      </c>
      <c r="R99" s="59">
        <f t="shared" si="55"/>
        <v>908.31182311744897</v>
      </c>
      <c r="S99" s="59">
        <f ca="1">AVERAGE(OFFSET($R$3,0,0,'Données projet'!$E$9+1,1))-AVERAGE(OFFSET($H$3,0,0,'Données projet'!$E$9+1,1))</f>
        <v>280.69347314340195</v>
      </c>
      <c r="T99" s="59">
        <f t="shared" si="88"/>
        <v>152.40533828556482</v>
      </c>
      <c r="U99" s="15">
        <f>IF(ISNA(VLOOKUP(A99,'Données projet'!$A$35:$I$55,3,0)),0,VLOOKUP(A99,'Données projet'!$A$35:$I$55,3,0))</f>
        <v>7</v>
      </c>
      <c r="V99" s="15">
        <f>IF(ISNA(VLOOKUP(A99,'Données projet'!$A$35:$I$55,4,0)),0,VLOOKUP(A99,'Données projet'!$A$35:$I$55,4,0))</f>
        <v>74.37</v>
      </c>
      <c r="W99" s="16">
        <f>IF(ISNA(VLOOKUP(A99,'Données projet'!$A$35:$I$55,5,0)),0%,VLOOKUP(A99,'Données projet'!$A$35:$I$55,5,0)*VLOOKUP('Données projet'!$B$9,Paramètres!$A$1:$I$89,7,0))</f>
        <v>0.33</v>
      </c>
      <c r="X99" s="16">
        <f>IF(ISNA(VLOOKUP(A99,'Données projet'!$A$35:$I$55,6,0)),0%,VLOOKUP(A99,'Données projet'!$A$35:$I$55,6,0)*VLOOKUP('Données projet'!$B$9,Paramètres!$A$1:$I$89,7,0))</f>
        <v>0.11000000000000001</v>
      </c>
      <c r="Y99" s="16">
        <f>IF(ISNA(VLOOKUP(A99,'Données projet'!$A$35:$I$55,7,0)),0%,VLOOKUP(A99,'Données projet'!$A$35:$I$55,7,0))</f>
        <v>0.2</v>
      </c>
      <c r="Z99" s="21">
        <f>EXP(-LN(2)/35)*Z98+(1-EXP(-LN(2)/35))/(LN(2)/35)*V99*W99*VLOOKUP('Données projet'!$B$9,Paramètres!$A$1:$I$89,3,0)*0.475*44/12</f>
        <v>61.436146647298116</v>
      </c>
      <c r="AA99" s="21">
        <f>EXP(-LN(2)/25)*AA98+(1-EXP(-LN(2)/25))/(LN(2)/25)*Calculateur!V99*Calculateur!X99*VLOOKUP('Données projet'!$B$9,Paramètres!$A$1:$I$89,3,0)*0.475*44/12</f>
        <v>21.425097208206168</v>
      </c>
      <c r="AB99" s="21">
        <f>EXP(-LN(2)/2)*AB98+(1-EXP(-LN(2)/2))/(LN(2)/2)*V99*Y99*VLOOKUP('Données projet'!$B$9,Paramètres!$A$1:$I$89,3,0)*0.475*44/12</f>
        <v>9.5549562371125329</v>
      </c>
      <c r="AC99" s="22">
        <f t="shared" si="57"/>
        <v>92.416200092616819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0</v>
      </c>
      <c r="AI99" s="13">
        <f>IF('Données projet'!$A$62&gt;35,AI98+AH99-AQ98,IF(A99&lt;'Données projet'!$A$62,$AF$205^A99,IF(A99='Données projet'!$A$62,'Données projet'!$B$62,AI98+AH99-AQ98)))</f>
        <v>0</v>
      </c>
      <c r="AJ99" s="13">
        <f>AI99*VLOOKUP('Données projet'!$B$10,Paramètres!$A$1:$I$89,3,0)*VLOOKUP('Données projet'!$B$10,Paramètres!$A$1:$I$89,5,0)</f>
        <v>0</v>
      </c>
      <c r="AK99" s="13" t="e">
        <f t="shared" si="89"/>
        <v>#NUM!</v>
      </c>
      <c r="AL99" s="20" t="e">
        <f t="shared" si="58"/>
        <v>#NUM!</v>
      </c>
      <c r="AM99" s="59" t="e">
        <f t="shared" si="59"/>
        <v>#NUM!</v>
      </c>
      <c r="AN99" s="59">
        <f ca="1">AVERAGE(OFFSET($AM$3,0,0,'Données projet'!$E$10+1,1))-AVERAGE(OFFSET($H$3,0,0,'Données projet'!$E$10+1,1))</f>
        <v>179.4725256147085</v>
      </c>
      <c r="AO99" s="59">
        <f t="shared" si="90"/>
        <v>282.16750121151176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70.777486066566652</v>
      </c>
      <c r="AV99" s="21">
        <f>EXP(-LN(2)/25)*AV98+(1-EXP(-LN(2)/25))/(LN(2)/25)*Calculateur!AQ99*Calculateur!AS99*VLOOKUP('Données projet'!$B$10,Paramètres!$A$1:$I$89,3,0)*0.475*44/12</f>
        <v>18.009276369694632</v>
      </c>
      <c r="AW99" s="21">
        <f>EXP(-LN(2)/2)*AW98+(1-EXP(-LN(2)/2))/(LN(2)/2)*AQ99*AT99*VLOOKUP('Données projet'!$B$10,Paramètres!$A$1:$I$89,3,0)*0.475*44/12</f>
        <v>1.6449126386537238E-4</v>
      </c>
      <c r="AX99" s="21">
        <f t="shared" si="60"/>
        <v>88.786926927525144</v>
      </c>
      <c r="AY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9.2583333333333311</v>
      </c>
      <c r="BD99" s="12">
        <f>IF('Données projet'!$A$88&gt;35,BD98+BC99-BL98,IF(A99&lt;'Données projet'!$A$88,$BA$205^A99,IF(A99='Données projet'!$A$88,'Données projet'!$B$88,BD98+BC99-BL98)))</f>
        <v>280.63500000000062</v>
      </c>
      <c r="BE99" s="13">
        <f>BD99*VLOOKUP('Données projet'!$B$11,Paramètres!$A$1:$I$89,3,0)*VLOOKUP('Données projet'!$B$11,Paramètres!$A$1:$I$89,5,0)</f>
        <v>240.78483000000057</v>
      </c>
      <c r="BF99" s="13">
        <f t="shared" si="91"/>
        <v>58.608358381320663</v>
      </c>
      <c r="BG99" s="20">
        <f t="shared" si="61"/>
        <v>521.44313643080113</v>
      </c>
      <c r="BH99" s="59">
        <f t="shared" si="62"/>
        <v>814.77646976413439</v>
      </c>
      <c r="BI99" s="59">
        <f ca="1">AVERAGE(OFFSET($BH$3,0,0,'Données projet'!$E$11+1,1))-AVERAGE(OFFSET($H$3,0,0,'Données projet'!$E$11+1,1))</f>
        <v>312.89478437044261</v>
      </c>
      <c r="BJ99" s="59">
        <f t="shared" si="92"/>
        <v>276.16555507854571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>
        <f>EXP(-LN(2)/35)*BP98+(1-EXP(-LN(2)/35))/(LN(2)/35)*BL99*BM99*VLOOKUP('Données projet'!$B$11,Paramètres!$A$1:$I$89,3,0)*0.475*44/12</f>
        <v>17.283089964558251</v>
      </c>
      <c r="BQ99" s="21">
        <f>EXP(-LN(2)/25)*BQ98+(1-EXP(-LN(2)/25))/(LN(2)/25)*Calculateur!BL99*Calculateur!BN99*VLOOKUP('Données projet'!$B$11,Paramètres!$A$1:$I$89,3,0)*0.475*44/12</f>
        <v>41.958236212585348</v>
      </c>
      <c r="BR99" s="21">
        <f>EXP(-LN(2)/2)*BR98+(1-EXP(-LN(2)/2))/(LN(2)/2)*BL99*BO99*VLOOKUP('Données projet'!$B$11,Paramètres!$A$1:$I$89,3,0)*0.475*44/12</f>
        <v>4.0363787041267782</v>
      </c>
      <c r="BS99" s="22">
        <f t="shared" si="63"/>
        <v>63.277704881270374</v>
      </c>
      <c r="BT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0</v>
      </c>
      <c r="BY99" s="12">
        <f>IF('Données projet'!$A$114&gt;35,BY98+BX99-CG98,IF(A99&lt;'Données projet'!$A$114,$BV$205^A99,IF(A99='Données projet'!$A$114,'Données projet'!$B$114,BY98+BX99-CG98)))</f>
        <v>0</v>
      </c>
      <c r="BZ99" s="13" t="e">
        <f>BY99*VLOOKUP('Données projet'!$B$12,Paramètres!$A$1:$I$89,3,0)*VLOOKUP('Données projet'!$B$12,Paramètres!$A$1:$I$89,5,0)</f>
        <v>#N/A</v>
      </c>
      <c r="CA99" s="13" t="e">
        <f t="shared" si="93"/>
        <v>#N/A</v>
      </c>
      <c r="CB99" s="20" t="e">
        <f t="shared" si="64"/>
        <v>#N/A</v>
      </c>
      <c r="CC99" s="59" t="e">
        <f t="shared" si="65"/>
        <v>#N/A</v>
      </c>
      <c r="CD99" s="59" t="e">
        <f ca="1">AVERAGE(OFFSET($CC$3,0,0,'Données projet'!$E$12+1,1))-AVERAGE(OFFSET($H$3,0,0,'Données projet'!$E$12+1,1))</f>
        <v>#N/A</v>
      </c>
      <c r="CE99" s="59" t="e">
        <f t="shared" si="94"/>
        <v>#N/A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 t="e">
        <f>EXP(-LN(2)/35)*CK98+(1-EXP(-LN(2)/35))/(LN(2)/35)*CG99*CH99*VLOOKUP('Données projet'!$B$12,Paramètres!$A$1:$I$89,3,0)*0.475*44/12</f>
        <v>#N/A</v>
      </c>
      <c r="CL99" s="21" t="e">
        <f>EXP(-LN(2)/25)*CL98+(1-EXP(-LN(2)/25))/(LN(2)/25)*Calculateur!CG99*Calculateur!CI99*VLOOKUP('Données projet'!$B$12,Paramètres!$A$1:$I$89,3,0)*0.475*44/12</f>
        <v>#N/A</v>
      </c>
      <c r="CM99" s="21" t="e">
        <f>EXP(-LN(2)/2)*CM98+(1-EXP(-LN(2)/2))/(LN(2)/2)*CG99*CJ99*VLOOKUP('Données projet'!$B$12,Paramètres!$A$1:$I$89,3,0)*0.475*44/12</f>
        <v>#N/A</v>
      </c>
      <c r="CN99" s="22" t="e">
        <f t="shared" si="66"/>
        <v>#N/A</v>
      </c>
      <c r="CO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0</v>
      </c>
      <c r="CU99" s="17" t="e">
        <f>CT99*VLOOKUP('Données projet'!$B$13,Paramètres!$A$1:$I$89,3,0)*VLOOKUP('Données projet'!$B$13,Paramètres!$A$1:$I$89,5,0)</f>
        <v>#N/A</v>
      </c>
      <c r="CV99" s="13" t="e">
        <f t="shared" si="95"/>
        <v>#N/A</v>
      </c>
      <c r="CW99" s="20" t="e">
        <f t="shared" si="67"/>
        <v>#N/A</v>
      </c>
      <c r="CX99" s="59" t="e">
        <f t="shared" si="68"/>
        <v>#N/A</v>
      </c>
      <c r="CY99" s="59" t="e">
        <f ca="1">AVERAGE(OFFSET($CX$3,0,0,'Données projet'!$E$13+1,1))-AVERAGE(OFFSET($H$3,0,0,'Données projet'!$E$13+1,1))</f>
        <v>#N/A</v>
      </c>
      <c r="CZ99" s="59" t="e">
        <f t="shared" si="96"/>
        <v>#N/A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 t="e">
        <f>EXP(-LN(2)/35)*DF98+(1-EXP(-LN(2)/35))/(LN(2)/35)*DB99*DC99*VLOOKUP('Données projet'!$B$13,Paramètres!$A$1:$I$89,3,0)*0.475*44/12</f>
        <v>#N/A</v>
      </c>
      <c r="DG99" s="21" t="e">
        <f>EXP(-LN(2)/25)*DG98+(1-EXP(-LN(2)/25))/(LN(2)/25)*Calculateur!DB99*Calculateur!DD99*VLOOKUP('Données projet'!$B$13,Paramètres!$A$1:$I$89,3,0)*0.475*44/12</f>
        <v>#N/A</v>
      </c>
      <c r="DH99" s="21" t="e">
        <f>EXP(-LN(2)/2)*DH98+(1-EXP(-LN(2)/2))/(LN(2)/2)*DB99*DE99*VLOOKUP('Données projet'!$B$13,Paramètres!$A$1:$I$89,3,0)*0.475*44/12</f>
        <v>#N/A</v>
      </c>
      <c r="DI99" s="22" t="e">
        <f t="shared" si="69"/>
        <v>#N/A</v>
      </c>
      <c r="DJ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0</v>
      </c>
      <c r="DP99" s="17" t="e">
        <f>DO99*VLOOKUP('Données projet'!$B$14,Paramètres!$A$1:$I$89,3,0)*VLOOKUP('Données projet'!$B$14,Paramètres!$A$1:$I$89,5,0)</f>
        <v>#N/A</v>
      </c>
      <c r="DQ99" s="13" t="e">
        <f t="shared" si="97"/>
        <v>#N/A</v>
      </c>
      <c r="DR99" s="20" t="e">
        <f t="shared" si="70"/>
        <v>#N/A</v>
      </c>
      <c r="DS99" s="59" t="e">
        <f t="shared" si="71"/>
        <v>#N/A</v>
      </c>
      <c r="DT99" s="59" t="e">
        <f ca="1">AVERAGE(OFFSET($DS$3,0,0,'Données projet'!$E$14+1,1))-AVERAGE(OFFSET($H$3,0,0,'Données projet'!$E$14+1,1))</f>
        <v>#N/A</v>
      </c>
      <c r="DU99" s="59" t="e">
        <f t="shared" si="98"/>
        <v>#N/A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 t="e">
        <f>EXP(-LN(2)/35)*EA98+(1-EXP(-LN(2)/35))/(LN(2)/35)*DW99*DX99*VLOOKUP('Données projet'!$B$14,Paramètres!$A$1:$I$89,3,0)*0.475*44/12</f>
        <v>#N/A</v>
      </c>
      <c r="EB99" s="21" t="e">
        <f>EXP(-LN(2)/25)*EB98+(1-EXP(-LN(2)/25))/(LN(2)/25)*Calculateur!DW99*Calculateur!DY99*VLOOKUP('Données projet'!$B$14,Paramètres!$A$1:$I$89,3,0)*0.475*44/12</f>
        <v>#N/A</v>
      </c>
      <c r="EC99" s="21" t="e">
        <f>EXP(-LN(2)/2)*EC98+(1-EXP(-LN(2)/2))/(LN(2)/2)*DW99*DZ99*VLOOKUP('Données projet'!$B$14,Paramètres!$A$1:$I$89,3,0)*0.475*44/12</f>
        <v>#N/A</v>
      </c>
      <c r="ED99" s="22" t="e">
        <f t="shared" si="72"/>
        <v>#N/A</v>
      </c>
      <c r="EE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0</v>
      </c>
      <c r="EK99" s="17" t="e">
        <f>EJ99*VLOOKUP('Données projet'!$B$15,Paramètres!$A$1:$I$89,3,0)*VLOOKUP('Données projet'!$B$15,Paramètres!$A$1:$I$89,5,0)</f>
        <v>#N/A</v>
      </c>
      <c r="EL99" s="13" t="e">
        <f t="shared" si="99"/>
        <v>#N/A</v>
      </c>
      <c r="EM99" s="20" t="e">
        <f t="shared" si="73"/>
        <v>#N/A</v>
      </c>
      <c r="EN99" s="59" t="e">
        <f t="shared" si="74"/>
        <v>#N/A</v>
      </c>
      <c r="EO99" s="59" t="e">
        <f ca="1">AVERAGE(OFFSET($EN$3,0,0,'Données projet'!$E$15+1,1))-AVERAGE(OFFSET($H$3,0,0,'Données projet'!$E$15+1,1))</f>
        <v>#N/A</v>
      </c>
      <c r="EP99" s="59" t="e">
        <f t="shared" si="100"/>
        <v>#N/A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 t="e">
        <f>EXP(-LN(2)/35)*EV98+(1-EXP(-LN(2)/35))/(LN(2)/35)*ER99*ES99*VLOOKUP('Données projet'!$B$15,Paramètres!$A$1:$I$89,3,0)*0.475*44/12</f>
        <v>#N/A</v>
      </c>
      <c r="EW99" s="21" t="e">
        <f>EXP(-LN(2)/25)*EW98+(1-EXP(-LN(2)/25))/(LN(2)/25)*Calculateur!ER99*Calculateur!ET99*VLOOKUP('Données projet'!$B$15,Paramètres!$A$1:$I$89,3,0)*0.475*44/12</f>
        <v>#N/A</v>
      </c>
      <c r="EX99" s="21" t="e">
        <f>EXP(-LN(2)/2)*EX98+(1-EXP(-LN(2)/2))/(LN(2)/2)*ER99*EU99*VLOOKUP('Données projet'!$B$15,Paramètres!$A$1:$I$89,3,0)*0.475*44/12</f>
        <v>#N/A</v>
      </c>
      <c r="EY99" s="22" t="e">
        <f t="shared" si="75"/>
        <v>#N/A</v>
      </c>
      <c r="EZ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9" t="e">
        <f t="shared" si="77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45">
      <c r="A100" s="10">
        <f t="shared" si="85"/>
        <v>97</v>
      </c>
      <c r="B100" s="73">
        <f>'Scénario référence'!$B$16*5+'Scénario référence'!$B$17*0+'Scénario référence'!$B$18*5</f>
        <v>0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86.252400000000137</v>
      </c>
      <c r="D100" s="11">
        <f t="shared" si="86"/>
        <v>23.659169019590845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">
        <f>IF(OR('Scénario référence'!$F$8&gt;0,'Scénario référence'!$F$9&gt;0),('Scénario référence'!$F$8+'Scénario référence'!$F$9)*10,0)</f>
        <v>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848.44018190561474</v>
      </c>
      <c r="H100" s="67">
        <f t="shared" si="56"/>
        <v>448.09598270912102</v>
      </c>
      <c r="I100" s="7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5.6049999999999995</v>
      </c>
      <c r="N100" s="13">
        <f>IF('Données projet'!$A$36&gt;35,N99+M100-V99,IF(A100&lt;'Données projet'!$A$36,$K$205^A100,IF(A100='Données projet'!$A$36,'Données projet'!$B$36,N99+M100-V99)))</f>
        <v>441.18499999999972</v>
      </c>
      <c r="O100" s="13">
        <f>N100*VLOOKUP('Données projet'!$B$9,Paramètres!$A$1:$I$89,3,0)*VLOOKUP('Données projet'!$B$9,Paramètres!$A$1:$I$89,5,0)</f>
        <v>246.62241499999982</v>
      </c>
      <c r="P100" s="13">
        <f t="shared" si="87"/>
        <v>59.86211027977518</v>
      </c>
      <c r="Q100" s="20">
        <f t="shared" si="107"/>
        <v>533.79388152894137</v>
      </c>
      <c r="R100" s="59">
        <f t="shared" si="55"/>
        <v>827.12721486227474</v>
      </c>
      <c r="S100" s="59">
        <f ca="1">AVERAGE(OFFSET($R$3,0,0,'Données projet'!$E$9+1,1))-AVERAGE(OFFSET($H$3,0,0,'Données projet'!$E$9+1,1))</f>
        <v>280.69347314340195</v>
      </c>
      <c r="T100" s="59">
        <f t="shared" si="88"/>
        <v>152.40533828556482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60.231421283893965</v>
      </c>
      <c r="AA100" s="21">
        <f>EXP(-LN(2)/25)*AA99+(1-EXP(-LN(2)/25))/(LN(2)/25)*Calculateur!V100*Calculateur!X100*VLOOKUP('Données projet'!$B$9,Paramètres!$A$1:$I$89,3,0)*0.475*44/12</f>
        <v>20.839226798350875</v>
      </c>
      <c r="AB100" s="21">
        <f>EXP(-LN(2)/2)*AB99+(1-EXP(-LN(2)/2))/(LN(2)/2)*V100*Y100*VLOOKUP('Données projet'!$B$9,Paramètres!$A$1:$I$89,3,0)*0.475*44/12</f>
        <v>6.7563743492029698</v>
      </c>
      <c r="AC100" s="22">
        <f t="shared" si="57"/>
        <v>87.827022431447816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0</v>
      </c>
      <c r="AI100" s="13">
        <f>IF('Données projet'!$A$62&gt;35,AI99+AH100-AQ99,IF(A100&lt;'Données projet'!$A$62,$AF$205^A100,IF(A100='Données projet'!$A$62,'Données projet'!$B$62,AI99+AH100-AQ99)))</f>
        <v>0</v>
      </c>
      <c r="AJ100" s="13">
        <f>AI100*VLOOKUP('Données projet'!$B$10,Paramètres!$A$1:$I$89,3,0)*VLOOKUP('Données projet'!$B$10,Paramètres!$A$1:$I$89,5,0)</f>
        <v>0</v>
      </c>
      <c r="AK100" s="13" t="e">
        <f t="shared" si="89"/>
        <v>#NUM!</v>
      </c>
      <c r="AL100" s="20" t="e">
        <f t="shared" si="58"/>
        <v>#NUM!</v>
      </c>
      <c r="AM100" s="59" t="e">
        <f t="shared" si="59"/>
        <v>#NUM!</v>
      </c>
      <c r="AN100" s="59">
        <f ca="1">AVERAGE(OFFSET($AM$3,0,0,'Données projet'!$E$10+1,1))-AVERAGE(OFFSET($H$3,0,0,'Données projet'!$E$10+1,1))</f>
        <v>179.4725256147085</v>
      </c>
      <c r="AO100" s="59">
        <f t="shared" si="90"/>
        <v>282.16750121151176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69.389582734805103</v>
      </c>
      <c r="AV100" s="21">
        <f>EXP(-LN(2)/25)*AV99+(1-EXP(-LN(2)/25))/(LN(2)/25)*Calculateur!AQ100*Calculateur!AS100*VLOOKUP('Données projet'!$B$10,Paramètres!$A$1:$I$89,3,0)*0.475*44/12</f>
        <v>17.516811760298648</v>
      </c>
      <c r="AW100" s="21">
        <f>EXP(-LN(2)/2)*AW99+(1-EXP(-LN(2)/2))/(LN(2)/2)*AQ100*AT100*VLOOKUP('Données projet'!$B$10,Paramètres!$A$1:$I$89,3,0)*0.475*44/12</f>
        <v>1.1631288812515052E-4</v>
      </c>
      <c r="AX100" s="21">
        <f t="shared" si="60"/>
        <v>86.906510807991879</v>
      </c>
      <c r="AY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9.2583333333333311</v>
      </c>
      <c r="BD100" s="12">
        <f>IF('Données projet'!$A$88&gt;35,BD99+BC100-BL99,IF(A100&lt;'Données projet'!$A$88,$BA$205^A100,IF(A100='Données projet'!$A$88,'Données projet'!$B$88,BD99+BC100-BL99)))</f>
        <v>289.89333333333394</v>
      </c>
      <c r="BE100" s="13">
        <f>BD100*VLOOKUP('Données projet'!$B$11,Paramètres!$A$1:$I$89,3,0)*VLOOKUP('Données projet'!$B$11,Paramètres!$A$1:$I$89,5,0)</f>
        <v>248.72848000000056</v>
      </c>
      <c r="BF100" s="13">
        <f t="shared" si="91"/>
        <v>60.313583231954887</v>
      </c>
      <c r="BG100" s="20">
        <f t="shared" si="61"/>
        <v>538.24826012898905</v>
      </c>
      <c r="BH100" s="59">
        <f t="shared" si="62"/>
        <v>831.58159346232242</v>
      </c>
      <c r="BI100" s="59">
        <f ca="1">AVERAGE(OFFSET($BH$3,0,0,'Données projet'!$E$11+1,1))-AVERAGE(OFFSET($H$3,0,0,'Données projet'!$E$11+1,1))</f>
        <v>312.89478437044261</v>
      </c>
      <c r="BJ100" s="59">
        <f t="shared" si="92"/>
        <v>276.16555507854571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>
        <f>EXP(-LN(2)/35)*BP99+(1-EXP(-LN(2)/35))/(LN(2)/35)*BL100*BM100*VLOOKUP('Données projet'!$B$11,Paramètres!$A$1:$I$89,3,0)*0.475*44/12</f>
        <v>16.94417911199724</v>
      </c>
      <c r="BQ100" s="21">
        <f>EXP(-LN(2)/25)*BQ99+(1-EXP(-LN(2)/25))/(LN(2)/25)*Calculateur!BL100*Calculateur!BN100*VLOOKUP('Données projet'!$B$11,Paramètres!$A$1:$I$89,3,0)*0.475*44/12</f>
        <v>40.810886036864453</v>
      </c>
      <c r="BR100" s="21">
        <f>EXP(-LN(2)/2)*BR99+(1-EXP(-LN(2)/2))/(LN(2)/2)*BL100*BO100*VLOOKUP('Données projet'!$B$11,Paramètres!$A$1:$I$89,3,0)*0.475*44/12</f>
        <v>2.8541507531250141</v>
      </c>
      <c r="BS100" s="22">
        <f t="shared" si="63"/>
        <v>60.609215901986701</v>
      </c>
      <c r="BT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0</v>
      </c>
      <c r="BY100" s="12">
        <f>IF('Données projet'!$A$114&gt;35,BY99+BX100-CG99,IF(A100&lt;'Données projet'!$A$114,$BV$205^A100,IF(A100='Données projet'!$A$114,'Données projet'!$B$114,BY99+BX100-CG99)))</f>
        <v>0</v>
      </c>
      <c r="BZ100" s="13" t="e">
        <f>BY100*VLOOKUP('Données projet'!$B$12,Paramètres!$A$1:$I$89,3,0)*VLOOKUP('Données projet'!$B$12,Paramètres!$A$1:$I$89,5,0)</f>
        <v>#N/A</v>
      </c>
      <c r="CA100" s="13" t="e">
        <f t="shared" si="93"/>
        <v>#N/A</v>
      </c>
      <c r="CB100" s="20" t="e">
        <f t="shared" si="64"/>
        <v>#N/A</v>
      </c>
      <c r="CC100" s="59" t="e">
        <f t="shared" si="65"/>
        <v>#N/A</v>
      </c>
      <c r="CD100" s="59" t="e">
        <f ca="1">AVERAGE(OFFSET($CC$3,0,0,'Données projet'!$E$12+1,1))-AVERAGE(OFFSET($H$3,0,0,'Données projet'!$E$12+1,1))</f>
        <v>#N/A</v>
      </c>
      <c r="CE100" s="59" t="e">
        <f t="shared" si="94"/>
        <v>#N/A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 t="e">
        <f>EXP(-LN(2)/35)*CK99+(1-EXP(-LN(2)/35))/(LN(2)/35)*CG100*CH100*VLOOKUP('Données projet'!$B$12,Paramètres!$A$1:$I$89,3,0)*0.475*44/12</f>
        <v>#N/A</v>
      </c>
      <c r="CL100" s="21" t="e">
        <f>EXP(-LN(2)/25)*CL99+(1-EXP(-LN(2)/25))/(LN(2)/25)*Calculateur!CG100*Calculateur!CI100*VLOOKUP('Données projet'!$B$12,Paramètres!$A$1:$I$89,3,0)*0.475*44/12</f>
        <v>#N/A</v>
      </c>
      <c r="CM100" s="21" t="e">
        <f>EXP(-LN(2)/2)*CM99+(1-EXP(-LN(2)/2))/(LN(2)/2)*CG100*CJ100*VLOOKUP('Données projet'!$B$12,Paramètres!$A$1:$I$89,3,0)*0.475*44/12</f>
        <v>#N/A</v>
      </c>
      <c r="CN100" s="22" t="e">
        <f t="shared" si="66"/>
        <v>#N/A</v>
      </c>
      <c r="CO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0</v>
      </c>
      <c r="CU100" s="17" t="e">
        <f>CT100*VLOOKUP('Données projet'!$B$13,Paramètres!$A$1:$I$89,3,0)*VLOOKUP('Données projet'!$B$13,Paramètres!$A$1:$I$89,5,0)</f>
        <v>#N/A</v>
      </c>
      <c r="CV100" s="13" t="e">
        <f t="shared" si="95"/>
        <v>#N/A</v>
      </c>
      <c r="CW100" s="20" t="e">
        <f t="shared" si="67"/>
        <v>#N/A</v>
      </c>
      <c r="CX100" s="59" t="e">
        <f t="shared" si="68"/>
        <v>#N/A</v>
      </c>
      <c r="CY100" s="59" t="e">
        <f ca="1">AVERAGE(OFFSET($CX$3,0,0,'Données projet'!$E$13+1,1))-AVERAGE(OFFSET($H$3,0,0,'Données projet'!$E$13+1,1))</f>
        <v>#N/A</v>
      </c>
      <c r="CZ100" s="59" t="e">
        <f t="shared" si="96"/>
        <v>#N/A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 t="e">
        <f>EXP(-LN(2)/35)*DF99+(1-EXP(-LN(2)/35))/(LN(2)/35)*DB100*DC100*VLOOKUP('Données projet'!$B$13,Paramètres!$A$1:$I$89,3,0)*0.475*44/12</f>
        <v>#N/A</v>
      </c>
      <c r="DG100" s="21" t="e">
        <f>EXP(-LN(2)/25)*DG99+(1-EXP(-LN(2)/25))/(LN(2)/25)*Calculateur!DB100*Calculateur!DD100*VLOOKUP('Données projet'!$B$13,Paramètres!$A$1:$I$89,3,0)*0.475*44/12</f>
        <v>#N/A</v>
      </c>
      <c r="DH100" s="21" t="e">
        <f>EXP(-LN(2)/2)*DH99+(1-EXP(-LN(2)/2))/(LN(2)/2)*DB100*DE100*VLOOKUP('Données projet'!$B$13,Paramètres!$A$1:$I$89,3,0)*0.475*44/12</f>
        <v>#N/A</v>
      </c>
      <c r="DI100" s="22" t="e">
        <f t="shared" si="69"/>
        <v>#N/A</v>
      </c>
      <c r="DJ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0</v>
      </c>
      <c r="DP100" s="17" t="e">
        <f>DO100*VLOOKUP('Données projet'!$B$14,Paramètres!$A$1:$I$89,3,0)*VLOOKUP('Données projet'!$B$14,Paramètres!$A$1:$I$89,5,0)</f>
        <v>#N/A</v>
      </c>
      <c r="DQ100" s="13" t="e">
        <f t="shared" si="97"/>
        <v>#N/A</v>
      </c>
      <c r="DR100" s="20" t="e">
        <f t="shared" si="70"/>
        <v>#N/A</v>
      </c>
      <c r="DS100" s="59" t="e">
        <f t="shared" si="71"/>
        <v>#N/A</v>
      </c>
      <c r="DT100" s="59" t="e">
        <f ca="1">AVERAGE(OFFSET($DS$3,0,0,'Données projet'!$E$14+1,1))-AVERAGE(OFFSET($H$3,0,0,'Données projet'!$E$14+1,1))</f>
        <v>#N/A</v>
      </c>
      <c r="DU100" s="59" t="e">
        <f t="shared" si="98"/>
        <v>#N/A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 t="e">
        <f>EXP(-LN(2)/35)*EA99+(1-EXP(-LN(2)/35))/(LN(2)/35)*DW100*DX100*VLOOKUP('Données projet'!$B$14,Paramètres!$A$1:$I$89,3,0)*0.475*44/12</f>
        <v>#N/A</v>
      </c>
      <c r="EB100" s="21" t="e">
        <f>EXP(-LN(2)/25)*EB99+(1-EXP(-LN(2)/25))/(LN(2)/25)*Calculateur!DW100*Calculateur!DY100*VLOOKUP('Données projet'!$B$14,Paramètres!$A$1:$I$89,3,0)*0.475*44/12</f>
        <v>#N/A</v>
      </c>
      <c r="EC100" s="21" t="e">
        <f>EXP(-LN(2)/2)*EC99+(1-EXP(-LN(2)/2))/(LN(2)/2)*DW100*DZ100*VLOOKUP('Données projet'!$B$14,Paramètres!$A$1:$I$89,3,0)*0.475*44/12</f>
        <v>#N/A</v>
      </c>
      <c r="ED100" s="22" t="e">
        <f t="shared" si="72"/>
        <v>#N/A</v>
      </c>
      <c r="EE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0</v>
      </c>
      <c r="EK100" s="17" t="e">
        <f>EJ100*VLOOKUP('Données projet'!$B$15,Paramètres!$A$1:$I$89,3,0)*VLOOKUP('Données projet'!$B$15,Paramètres!$A$1:$I$89,5,0)</f>
        <v>#N/A</v>
      </c>
      <c r="EL100" s="13" t="e">
        <f t="shared" si="99"/>
        <v>#N/A</v>
      </c>
      <c r="EM100" s="20" t="e">
        <f t="shared" si="73"/>
        <v>#N/A</v>
      </c>
      <c r="EN100" s="59" t="e">
        <f t="shared" si="74"/>
        <v>#N/A</v>
      </c>
      <c r="EO100" s="59" t="e">
        <f ca="1">AVERAGE(OFFSET($EN$3,0,0,'Données projet'!$E$15+1,1))-AVERAGE(OFFSET($H$3,0,0,'Données projet'!$E$15+1,1))</f>
        <v>#N/A</v>
      </c>
      <c r="EP100" s="59" t="e">
        <f t="shared" si="100"/>
        <v>#N/A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 t="e">
        <f>EXP(-LN(2)/35)*EV99+(1-EXP(-LN(2)/35))/(LN(2)/35)*ER100*ES100*VLOOKUP('Données projet'!$B$15,Paramètres!$A$1:$I$89,3,0)*0.475*44/12</f>
        <v>#N/A</v>
      </c>
      <c r="EW100" s="21" t="e">
        <f>EXP(-LN(2)/25)*EW99+(1-EXP(-LN(2)/25))/(LN(2)/25)*Calculateur!ER100*Calculateur!ET100*VLOOKUP('Données projet'!$B$15,Paramètres!$A$1:$I$89,3,0)*0.475*44/12</f>
        <v>#N/A</v>
      </c>
      <c r="EX100" s="21" t="e">
        <f>EXP(-LN(2)/2)*EX99+(1-EXP(-LN(2)/2))/(LN(2)/2)*ER100*EU100*VLOOKUP('Données projet'!$B$15,Paramètres!$A$1:$I$89,3,0)*0.475*44/12</f>
        <v>#N/A</v>
      </c>
      <c r="EY100" s="22" t="e">
        <f t="shared" si="75"/>
        <v>#N/A</v>
      </c>
      <c r="EZ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9" t="e">
        <f t="shared" si="77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45">
      <c r="A101" s="10">
        <f t="shared" si="85"/>
        <v>98</v>
      </c>
      <c r="B101" s="73">
        <f>'Scénario référence'!$B$16*5+'Scénario référence'!$B$17*0+'Scénario référence'!$B$18*5</f>
        <v>0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87.141600000000139</v>
      </c>
      <c r="D101" s="11">
        <f t="shared" si="86"/>
        <v>23.874558158360987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">
        <f>IF(OR('Scénario référence'!$F$8&gt;0,'Scénario référence'!$F$9&gt;0),('Scénario référence'!$F$8+'Scénario référence'!$F$9)*10,0)</f>
        <v>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856.96683490664736</v>
      </c>
      <c r="H101" s="67">
        <f t="shared" si="56"/>
        <v>450.01980879247901</v>
      </c>
      <c r="I101" s="7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5.6049999999999995</v>
      </c>
      <c r="N101" s="13">
        <f>IF('Données projet'!$A$36&gt;35,N100+M101-V100,IF(A101&lt;'Données projet'!$A$36,$K$205^A101,IF(A101='Données projet'!$A$36,'Données projet'!$B$36,N100+M101-V100)))</f>
        <v>446.78999999999974</v>
      </c>
      <c r="O101" s="13">
        <f>N101*VLOOKUP('Données projet'!$B$9,Paramètres!$A$1:$I$89,3,0)*VLOOKUP('Données projet'!$B$9,Paramètres!$A$1:$I$89,5,0)</f>
        <v>249.75560999999985</v>
      </c>
      <c r="P101" s="13">
        <f t="shared" si="87"/>
        <v>60.533605433588299</v>
      </c>
      <c r="Q101" s="20">
        <f t="shared" si="107"/>
        <v>540.42038354683268</v>
      </c>
      <c r="R101" s="59">
        <f t="shared" si="55"/>
        <v>833.75371688016594</v>
      </c>
      <c r="S101" s="59">
        <f ca="1">AVERAGE(OFFSET($R$3,0,0,'Données projet'!$E$9+1,1))-AVERAGE(OFFSET($H$3,0,0,'Données projet'!$E$9+1,1))</f>
        <v>280.69347314340195</v>
      </c>
      <c r="T101" s="59">
        <f t="shared" si="88"/>
        <v>152.40533828556482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59.050319850056255</v>
      </c>
      <c r="AA101" s="21">
        <f>EXP(-LN(2)/25)*AA100+(1-EXP(-LN(2)/25))/(LN(2)/25)*Calculateur!V101*Calculateur!X101*VLOOKUP('Données projet'!$B$9,Paramètres!$A$1:$I$89,3,0)*0.475*44/12</f>
        <v>20.269377045662662</v>
      </c>
      <c r="AB101" s="21">
        <f>EXP(-LN(2)/2)*AB100+(1-EXP(-LN(2)/2))/(LN(2)/2)*V101*Y101*VLOOKUP('Données projet'!$B$9,Paramètres!$A$1:$I$89,3,0)*0.475*44/12</f>
        <v>4.7774781185562674</v>
      </c>
      <c r="AC101" s="22">
        <f t="shared" si="57"/>
        <v>84.097175014275194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0</v>
      </c>
      <c r="AI101" s="13">
        <f>IF('Données projet'!$A$62&gt;35,AI100+AH101-AQ100,IF(A101&lt;'Données projet'!$A$62,$AF$205^A101,IF(A101='Données projet'!$A$62,'Données projet'!$B$62,AI100+AH101-AQ100)))</f>
        <v>0</v>
      </c>
      <c r="AJ101" s="13">
        <f>AI101*VLOOKUP('Données projet'!$B$10,Paramètres!$A$1:$I$89,3,0)*VLOOKUP('Données projet'!$B$10,Paramètres!$A$1:$I$89,5,0)</f>
        <v>0</v>
      </c>
      <c r="AK101" s="13" t="e">
        <f t="shared" si="89"/>
        <v>#NUM!</v>
      </c>
      <c r="AL101" s="20" t="e">
        <f t="shared" si="58"/>
        <v>#NUM!</v>
      </c>
      <c r="AM101" s="59" t="e">
        <f t="shared" si="59"/>
        <v>#NUM!</v>
      </c>
      <c r="AN101" s="59">
        <f ca="1">AVERAGE(OFFSET($AM$3,0,0,'Données projet'!$E$10+1,1))-AVERAGE(OFFSET($H$3,0,0,'Données projet'!$E$10+1,1))</f>
        <v>179.4725256147085</v>
      </c>
      <c r="AO101" s="59">
        <f t="shared" si="90"/>
        <v>282.16750121151176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68.028895340841942</v>
      </c>
      <c r="AV101" s="21">
        <f>EXP(-LN(2)/25)*AV100+(1-EXP(-LN(2)/25))/(LN(2)/25)*Calculateur!AQ101*Calculateur!AS101*VLOOKUP('Données projet'!$B$10,Paramètres!$A$1:$I$89,3,0)*0.475*44/12</f>
        <v>17.037813621544185</v>
      </c>
      <c r="AW101" s="21">
        <f>EXP(-LN(2)/2)*AW100+(1-EXP(-LN(2)/2))/(LN(2)/2)*AQ101*AT101*VLOOKUP('Données projet'!$B$10,Paramètres!$A$1:$I$89,3,0)*0.475*44/12</f>
        <v>8.2245631932686202E-5</v>
      </c>
      <c r="AX101" s="21">
        <f t="shared" si="60"/>
        <v>85.06679120801806</v>
      </c>
      <c r="AY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9.2583333333333311</v>
      </c>
      <c r="BD101" s="12">
        <f>IF('Données projet'!$A$88&gt;35,BD100+BC101-BL100,IF(A101&lt;'Données projet'!$A$88,$BA$205^A101,IF(A101='Données projet'!$A$88,'Données projet'!$B$88,BD100+BC101-BL100)))</f>
        <v>299.15166666666727</v>
      </c>
      <c r="BE101" s="13">
        <f>BD101*VLOOKUP('Données projet'!$B$11,Paramètres!$A$1:$I$89,3,0)*VLOOKUP('Données projet'!$B$11,Paramètres!$A$1:$I$89,5,0)</f>
        <v>256.67213000000055</v>
      </c>
      <c r="BF101" s="13">
        <f t="shared" si="91"/>
        <v>62.012479590580895</v>
      </c>
      <c r="BG101" s="20">
        <f t="shared" si="61"/>
        <v>555.04236170359593</v>
      </c>
      <c r="BH101" s="59">
        <f t="shared" si="62"/>
        <v>848.3756950369293</v>
      </c>
      <c r="BI101" s="59">
        <f ca="1">AVERAGE(OFFSET($BH$3,0,0,'Données projet'!$E$11+1,1))-AVERAGE(OFFSET($H$3,0,0,'Données projet'!$E$11+1,1))</f>
        <v>312.89478437044261</v>
      </c>
      <c r="BJ101" s="59">
        <f t="shared" si="92"/>
        <v>276.16555507854571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>
        <f>EXP(-LN(2)/35)*BP100+(1-EXP(-LN(2)/35))/(LN(2)/35)*BL101*BM101*VLOOKUP('Données projet'!$B$11,Paramètres!$A$1:$I$89,3,0)*0.475*44/12</f>
        <v>16.611914094539742</v>
      </c>
      <c r="BQ101" s="21">
        <f>EXP(-LN(2)/25)*BQ100+(1-EXP(-LN(2)/25))/(LN(2)/25)*Calculateur!BL101*Calculateur!BN101*VLOOKUP('Données projet'!$B$11,Paramètres!$A$1:$I$89,3,0)*0.475*44/12</f>
        <v>39.694910212035175</v>
      </c>
      <c r="BR101" s="21">
        <f>EXP(-LN(2)/2)*BR100+(1-EXP(-LN(2)/2))/(LN(2)/2)*BL101*BO101*VLOOKUP('Données projet'!$B$11,Paramètres!$A$1:$I$89,3,0)*0.475*44/12</f>
        <v>2.0181893520633891</v>
      </c>
      <c r="BS101" s="22">
        <f t="shared" si="63"/>
        <v>58.325013658638305</v>
      </c>
      <c r="BT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0</v>
      </c>
      <c r="BY101" s="12">
        <f>IF('Données projet'!$A$114&gt;35,BY100+BX101-CG100,IF(A101&lt;'Données projet'!$A$114,$BV$205^A101,IF(A101='Données projet'!$A$114,'Données projet'!$B$114,BY100+BX101-CG100)))</f>
        <v>0</v>
      </c>
      <c r="BZ101" s="13" t="e">
        <f>BY101*VLOOKUP('Données projet'!$B$12,Paramètres!$A$1:$I$89,3,0)*VLOOKUP('Données projet'!$B$12,Paramètres!$A$1:$I$89,5,0)</f>
        <v>#N/A</v>
      </c>
      <c r="CA101" s="13" t="e">
        <f t="shared" si="93"/>
        <v>#N/A</v>
      </c>
      <c r="CB101" s="20" t="e">
        <f t="shared" si="64"/>
        <v>#N/A</v>
      </c>
      <c r="CC101" s="59" t="e">
        <f t="shared" si="65"/>
        <v>#N/A</v>
      </c>
      <c r="CD101" s="59" t="e">
        <f ca="1">AVERAGE(OFFSET($CC$3,0,0,'Données projet'!$E$12+1,1))-AVERAGE(OFFSET($H$3,0,0,'Données projet'!$E$12+1,1))</f>
        <v>#N/A</v>
      </c>
      <c r="CE101" s="59" t="e">
        <f t="shared" si="94"/>
        <v>#N/A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 t="e">
        <f>EXP(-LN(2)/35)*CK100+(1-EXP(-LN(2)/35))/(LN(2)/35)*CG101*CH101*VLOOKUP('Données projet'!$B$12,Paramètres!$A$1:$I$89,3,0)*0.475*44/12</f>
        <v>#N/A</v>
      </c>
      <c r="CL101" s="21" t="e">
        <f>EXP(-LN(2)/25)*CL100+(1-EXP(-LN(2)/25))/(LN(2)/25)*Calculateur!CG101*Calculateur!CI101*VLOOKUP('Données projet'!$B$12,Paramètres!$A$1:$I$89,3,0)*0.475*44/12</f>
        <v>#N/A</v>
      </c>
      <c r="CM101" s="21" t="e">
        <f>EXP(-LN(2)/2)*CM100+(1-EXP(-LN(2)/2))/(LN(2)/2)*CG101*CJ101*VLOOKUP('Données projet'!$B$12,Paramètres!$A$1:$I$89,3,0)*0.475*44/12</f>
        <v>#N/A</v>
      </c>
      <c r="CN101" s="22" t="e">
        <f t="shared" si="66"/>
        <v>#N/A</v>
      </c>
      <c r="CO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0</v>
      </c>
      <c r="CU101" s="17" t="e">
        <f>CT101*VLOOKUP('Données projet'!$B$13,Paramètres!$A$1:$I$89,3,0)*VLOOKUP('Données projet'!$B$13,Paramètres!$A$1:$I$89,5,0)</f>
        <v>#N/A</v>
      </c>
      <c r="CV101" s="13" t="e">
        <f t="shared" si="95"/>
        <v>#N/A</v>
      </c>
      <c r="CW101" s="20" t="e">
        <f t="shared" si="67"/>
        <v>#N/A</v>
      </c>
      <c r="CX101" s="59" t="e">
        <f t="shared" si="68"/>
        <v>#N/A</v>
      </c>
      <c r="CY101" s="59" t="e">
        <f ca="1">AVERAGE(OFFSET($CX$3,0,0,'Données projet'!$E$13+1,1))-AVERAGE(OFFSET($H$3,0,0,'Données projet'!$E$13+1,1))</f>
        <v>#N/A</v>
      </c>
      <c r="CZ101" s="59" t="e">
        <f t="shared" si="96"/>
        <v>#N/A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 t="e">
        <f>EXP(-LN(2)/35)*DF100+(1-EXP(-LN(2)/35))/(LN(2)/35)*DB101*DC101*VLOOKUP('Données projet'!$B$13,Paramètres!$A$1:$I$89,3,0)*0.475*44/12</f>
        <v>#N/A</v>
      </c>
      <c r="DG101" s="21" t="e">
        <f>EXP(-LN(2)/25)*DG100+(1-EXP(-LN(2)/25))/(LN(2)/25)*Calculateur!DB101*Calculateur!DD101*VLOOKUP('Données projet'!$B$13,Paramètres!$A$1:$I$89,3,0)*0.475*44/12</f>
        <v>#N/A</v>
      </c>
      <c r="DH101" s="21" t="e">
        <f>EXP(-LN(2)/2)*DH100+(1-EXP(-LN(2)/2))/(LN(2)/2)*DB101*DE101*VLOOKUP('Données projet'!$B$13,Paramètres!$A$1:$I$89,3,0)*0.475*44/12</f>
        <v>#N/A</v>
      </c>
      <c r="DI101" s="22" t="e">
        <f t="shared" si="69"/>
        <v>#N/A</v>
      </c>
      <c r="DJ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0</v>
      </c>
      <c r="DP101" s="17" t="e">
        <f>DO101*VLOOKUP('Données projet'!$B$14,Paramètres!$A$1:$I$89,3,0)*VLOOKUP('Données projet'!$B$14,Paramètres!$A$1:$I$89,5,0)</f>
        <v>#N/A</v>
      </c>
      <c r="DQ101" s="13" t="e">
        <f t="shared" si="97"/>
        <v>#N/A</v>
      </c>
      <c r="DR101" s="20" t="e">
        <f t="shared" si="70"/>
        <v>#N/A</v>
      </c>
      <c r="DS101" s="59" t="e">
        <f t="shared" si="71"/>
        <v>#N/A</v>
      </c>
      <c r="DT101" s="59" t="e">
        <f ca="1">AVERAGE(OFFSET($DS$3,0,0,'Données projet'!$E$14+1,1))-AVERAGE(OFFSET($H$3,0,0,'Données projet'!$E$14+1,1))</f>
        <v>#N/A</v>
      </c>
      <c r="DU101" s="59" t="e">
        <f t="shared" si="98"/>
        <v>#N/A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 t="e">
        <f>EXP(-LN(2)/35)*EA100+(1-EXP(-LN(2)/35))/(LN(2)/35)*DW101*DX101*VLOOKUP('Données projet'!$B$14,Paramètres!$A$1:$I$89,3,0)*0.475*44/12</f>
        <v>#N/A</v>
      </c>
      <c r="EB101" s="21" t="e">
        <f>EXP(-LN(2)/25)*EB100+(1-EXP(-LN(2)/25))/(LN(2)/25)*Calculateur!DW101*Calculateur!DY101*VLOOKUP('Données projet'!$B$14,Paramètres!$A$1:$I$89,3,0)*0.475*44/12</f>
        <v>#N/A</v>
      </c>
      <c r="EC101" s="21" t="e">
        <f>EXP(-LN(2)/2)*EC100+(1-EXP(-LN(2)/2))/(LN(2)/2)*DW101*DZ101*VLOOKUP('Données projet'!$B$14,Paramètres!$A$1:$I$89,3,0)*0.475*44/12</f>
        <v>#N/A</v>
      </c>
      <c r="ED101" s="22" t="e">
        <f t="shared" si="72"/>
        <v>#N/A</v>
      </c>
      <c r="EE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0</v>
      </c>
      <c r="EK101" s="17" t="e">
        <f>EJ101*VLOOKUP('Données projet'!$B$15,Paramètres!$A$1:$I$89,3,0)*VLOOKUP('Données projet'!$B$15,Paramètres!$A$1:$I$89,5,0)</f>
        <v>#N/A</v>
      </c>
      <c r="EL101" s="13" t="e">
        <f t="shared" si="99"/>
        <v>#N/A</v>
      </c>
      <c r="EM101" s="20" t="e">
        <f t="shared" si="73"/>
        <v>#N/A</v>
      </c>
      <c r="EN101" s="59" t="e">
        <f t="shared" si="74"/>
        <v>#N/A</v>
      </c>
      <c r="EO101" s="59" t="e">
        <f ca="1">AVERAGE(OFFSET($EN$3,0,0,'Données projet'!$E$15+1,1))-AVERAGE(OFFSET($H$3,0,0,'Données projet'!$E$15+1,1))</f>
        <v>#N/A</v>
      </c>
      <c r="EP101" s="59" t="e">
        <f t="shared" si="100"/>
        <v>#N/A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 t="e">
        <f>EXP(-LN(2)/35)*EV100+(1-EXP(-LN(2)/35))/(LN(2)/35)*ER101*ES101*VLOOKUP('Données projet'!$B$15,Paramètres!$A$1:$I$89,3,0)*0.475*44/12</f>
        <v>#N/A</v>
      </c>
      <c r="EW101" s="21" t="e">
        <f>EXP(-LN(2)/25)*EW100+(1-EXP(-LN(2)/25))/(LN(2)/25)*Calculateur!ER101*Calculateur!ET101*VLOOKUP('Données projet'!$B$15,Paramètres!$A$1:$I$89,3,0)*0.475*44/12</f>
        <v>#N/A</v>
      </c>
      <c r="EX101" s="21" t="e">
        <f>EXP(-LN(2)/2)*EX100+(1-EXP(-LN(2)/2))/(LN(2)/2)*ER101*EU101*VLOOKUP('Données projet'!$B$15,Paramètres!$A$1:$I$89,3,0)*0.475*44/12</f>
        <v>#N/A</v>
      </c>
      <c r="EY101" s="22" t="e">
        <f t="shared" si="75"/>
        <v>#N/A</v>
      </c>
      <c r="EZ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9" t="e">
        <f t="shared" si="77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45">
      <c r="A102" s="10">
        <f t="shared" si="85"/>
        <v>99</v>
      </c>
      <c r="B102" s="73">
        <f>'Scénario référence'!$B$16*5+'Scénario référence'!$B$17*0+'Scénario référence'!$B$18*5</f>
        <v>0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88.030800000000141</v>
      </c>
      <c r="D102" s="11">
        <f t="shared" si="86"/>
        <v>24.089691614761293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">
        <f>IF(OR('Scénario référence'!$F$8&gt;0,'Scénario référence'!$F$9&gt;0),('Scénario référence'!$F$8+'Scénario référence'!$F$9)*10,0)</f>
        <v>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865.49151421921113</v>
      </c>
      <c r="H102" s="67">
        <f t="shared" si="56"/>
        <v>451.94318956237618</v>
      </c>
      <c r="I102" s="7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5.6049999999999995</v>
      </c>
      <c r="N102" s="13">
        <f>IF('Données projet'!$A$36&gt;35,N101+M102-V101,IF(A102&lt;'Données projet'!$A$36,$K$205^A102,IF(A102='Données projet'!$A$36,'Données projet'!$B$36,N101+M102-V101)))</f>
        <v>452.39499999999975</v>
      </c>
      <c r="O102" s="13">
        <f>N102*VLOOKUP('Données projet'!$B$9,Paramètres!$A$1:$I$89,3,0)*VLOOKUP('Données projet'!$B$9,Paramètres!$A$1:$I$89,5,0)</f>
        <v>252.88880499999988</v>
      </c>
      <c r="P102" s="13">
        <f t="shared" si="87"/>
        <v>61.204120729649546</v>
      </c>
      <c r="Q102" s="20">
        <f t="shared" si="107"/>
        <v>547.04517897913945</v>
      </c>
      <c r="R102" s="59">
        <f t="shared" si="55"/>
        <v>840.37851231247282</v>
      </c>
      <c r="S102" s="59">
        <f ca="1">AVERAGE(OFFSET($R$3,0,0,'Données projet'!$E$9+1,1))-AVERAGE(OFFSET($H$3,0,0,'Données projet'!$E$9+1,1))</f>
        <v>280.69347314340195</v>
      </c>
      <c r="T102" s="59">
        <f t="shared" si="88"/>
        <v>152.40533828556482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57.892379094935364</v>
      </c>
      <c r="AA102" s="21">
        <f>EXP(-LN(2)/25)*AA101+(1-EXP(-LN(2)/25))/(LN(2)/25)*Calculateur!V102*Calculateur!X102*VLOOKUP('Données projet'!$B$9,Paramètres!$A$1:$I$89,3,0)*0.475*44/12</f>
        <v>19.715109864428804</v>
      </c>
      <c r="AB102" s="21">
        <f>EXP(-LN(2)/2)*AB101+(1-EXP(-LN(2)/2))/(LN(2)/2)*V102*Y102*VLOOKUP('Données projet'!$B$9,Paramètres!$A$1:$I$89,3,0)*0.475*44/12</f>
        <v>3.3781871746014853</v>
      </c>
      <c r="AC102" s="22">
        <f t="shared" si="57"/>
        <v>80.98567613396564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0</v>
      </c>
      <c r="AI102" s="13">
        <f>IF('Données projet'!$A$62&gt;35,AI101+AH102-AQ101,IF(A102&lt;'Données projet'!$A$62,$AF$205^A102,IF(A102='Données projet'!$A$62,'Données projet'!$B$62,AI101+AH102-AQ101)))</f>
        <v>0</v>
      </c>
      <c r="AJ102" s="13">
        <f>AI102*VLOOKUP('Données projet'!$B$10,Paramètres!$A$1:$I$89,3,0)*VLOOKUP('Données projet'!$B$10,Paramètres!$A$1:$I$89,5,0)</f>
        <v>0</v>
      </c>
      <c r="AK102" s="13" t="e">
        <f t="shared" si="89"/>
        <v>#NUM!</v>
      </c>
      <c r="AL102" s="20" t="e">
        <f t="shared" si="58"/>
        <v>#NUM!</v>
      </c>
      <c r="AM102" s="59" t="e">
        <f t="shared" si="59"/>
        <v>#NUM!</v>
      </c>
      <c r="AN102" s="59">
        <f ca="1">AVERAGE(OFFSET($AM$3,0,0,'Données projet'!$E$10+1,1))-AVERAGE(OFFSET($H$3,0,0,'Données projet'!$E$10+1,1))</f>
        <v>179.4725256147085</v>
      </c>
      <c r="AO102" s="59">
        <f t="shared" si="90"/>
        <v>282.16750121151176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66.694890196737049</v>
      </c>
      <c r="AV102" s="21">
        <f>EXP(-LN(2)/25)*AV101+(1-EXP(-LN(2)/25))/(LN(2)/25)*Calculateur!AQ102*Calculateur!AS102*VLOOKUP('Données projet'!$B$10,Paramètres!$A$1:$I$89,3,0)*0.475*44/12</f>
        <v>16.571913712083383</v>
      </c>
      <c r="AW102" s="21">
        <f>EXP(-LN(2)/2)*AW101+(1-EXP(-LN(2)/2))/(LN(2)/2)*AQ102*AT102*VLOOKUP('Données projet'!$B$10,Paramètres!$A$1:$I$89,3,0)*0.475*44/12</f>
        <v>5.8156444062575269E-5</v>
      </c>
      <c r="AX102" s="21">
        <f t="shared" si="60"/>
        <v>83.266862065264505</v>
      </c>
      <c r="AY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9.2583333333333311</v>
      </c>
      <c r="BD102" s="12">
        <f>IF('Données projet'!$A$88&gt;35,BD101+BC102-BL101,IF(A102&lt;'Données projet'!$A$88,$BA$205^A102,IF(A102='Données projet'!$A$88,'Données projet'!$B$88,BD101+BC102-BL101)))</f>
        <v>308.41000000000059</v>
      </c>
      <c r="BE102" s="13">
        <f>BD102*VLOOKUP('Données projet'!$B$11,Paramètres!$A$1:$I$89,3,0)*VLOOKUP('Données projet'!$B$11,Paramètres!$A$1:$I$89,5,0)</f>
        <v>264.61578000000054</v>
      </c>
      <c r="BF102" s="13">
        <f t="shared" si="91"/>
        <v>63.705265790563253</v>
      </c>
      <c r="BG102" s="20">
        <f t="shared" si="61"/>
        <v>571.82582141856528</v>
      </c>
      <c r="BH102" s="59">
        <f t="shared" si="62"/>
        <v>865.15915475189854</v>
      </c>
      <c r="BI102" s="59">
        <f ca="1">AVERAGE(OFFSET($BH$3,0,0,'Données projet'!$E$11+1,1))-AVERAGE(OFFSET($H$3,0,0,'Données projet'!$E$11+1,1))</f>
        <v>312.89478437044261</v>
      </c>
      <c r="BJ102" s="59">
        <f t="shared" si="92"/>
        <v>276.16555507854571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>
        <f>EXP(-LN(2)/35)*BP101+(1-EXP(-LN(2)/35))/(LN(2)/35)*BL102*BM102*VLOOKUP('Données projet'!$B$11,Paramètres!$A$1:$I$89,3,0)*0.475*44/12</f>
        <v>16.286164591412938</v>
      </c>
      <c r="BQ102" s="21">
        <f>EXP(-LN(2)/25)*BQ101+(1-EXP(-LN(2)/25))/(LN(2)/25)*Calculateur!BL102*Calculateur!BN102*VLOOKUP('Données projet'!$B$11,Paramètres!$A$1:$I$89,3,0)*0.475*44/12</f>
        <v>38.609450804822472</v>
      </c>
      <c r="BR102" s="21">
        <f>EXP(-LN(2)/2)*BR101+(1-EXP(-LN(2)/2))/(LN(2)/2)*BL102*BO102*VLOOKUP('Données projet'!$B$11,Paramètres!$A$1:$I$89,3,0)*0.475*44/12</f>
        <v>1.427075376562507</v>
      </c>
      <c r="BS102" s="22">
        <f t="shared" si="63"/>
        <v>56.32269077279792</v>
      </c>
      <c r="BT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0</v>
      </c>
      <c r="BY102" s="12">
        <f>IF('Données projet'!$A$114&gt;35,BY101+BX102-CG101,IF(A102&lt;'Données projet'!$A$114,$BV$205^A102,IF(A102='Données projet'!$A$114,'Données projet'!$B$114,BY101+BX102-CG101)))</f>
        <v>0</v>
      </c>
      <c r="BZ102" s="13" t="e">
        <f>BY102*VLOOKUP('Données projet'!$B$12,Paramètres!$A$1:$I$89,3,0)*VLOOKUP('Données projet'!$B$12,Paramètres!$A$1:$I$89,5,0)</f>
        <v>#N/A</v>
      </c>
      <c r="CA102" s="13" t="e">
        <f t="shared" si="93"/>
        <v>#N/A</v>
      </c>
      <c r="CB102" s="20" t="e">
        <f t="shared" si="64"/>
        <v>#N/A</v>
      </c>
      <c r="CC102" s="59" t="e">
        <f t="shared" si="65"/>
        <v>#N/A</v>
      </c>
      <c r="CD102" s="59" t="e">
        <f ca="1">AVERAGE(OFFSET($CC$3,0,0,'Données projet'!$E$12+1,1))-AVERAGE(OFFSET($H$3,0,0,'Données projet'!$E$12+1,1))</f>
        <v>#N/A</v>
      </c>
      <c r="CE102" s="59" t="e">
        <f t="shared" si="94"/>
        <v>#N/A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 t="e">
        <f>EXP(-LN(2)/35)*CK101+(1-EXP(-LN(2)/35))/(LN(2)/35)*CG102*CH102*VLOOKUP('Données projet'!$B$12,Paramètres!$A$1:$I$89,3,0)*0.475*44/12</f>
        <v>#N/A</v>
      </c>
      <c r="CL102" s="21" t="e">
        <f>EXP(-LN(2)/25)*CL101+(1-EXP(-LN(2)/25))/(LN(2)/25)*Calculateur!CG102*Calculateur!CI102*VLOOKUP('Données projet'!$B$12,Paramètres!$A$1:$I$89,3,0)*0.475*44/12</f>
        <v>#N/A</v>
      </c>
      <c r="CM102" s="21" t="e">
        <f>EXP(-LN(2)/2)*CM101+(1-EXP(-LN(2)/2))/(LN(2)/2)*CG102*CJ102*VLOOKUP('Données projet'!$B$12,Paramètres!$A$1:$I$89,3,0)*0.475*44/12</f>
        <v>#N/A</v>
      </c>
      <c r="CN102" s="22" t="e">
        <f t="shared" si="66"/>
        <v>#N/A</v>
      </c>
      <c r="CO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0</v>
      </c>
      <c r="CU102" s="17" t="e">
        <f>CT102*VLOOKUP('Données projet'!$B$13,Paramètres!$A$1:$I$89,3,0)*VLOOKUP('Données projet'!$B$13,Paramètres!$A$1:$I$89,5,0)</f>
        <v>#N/A</v>
      </c>
      <c r="CV102" s="13" t="e">
        <f t="shared" si="95"/>
        <v>#N/A</v>
      </c>
      <c r="CW102" s="20" t="e">
        <f t="shared" si="67"/>
        <v>#N/A</v>
      </c>
      <c r="CX102" s="59" t="e">
        <f t="shared" si="68"/>
        <v>#N/A</v>
      </c>
      <c r="CY102" s="59" t="e">
        <f ca="1">AVERAGE(OFFSET($CX$3,0,0,'Données projet'!$E$13+1,1))-AVERAGE(OFFSET($H$3,0,0,'Données projet'!$E$13+1,1))</f>
        <v>#N/A</v>
      </c>
      <c r="CZ102" s="59" t="e">
        <f t="shared" si="96"/>
        <v>#N/A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 t="e">
        <f>EXP(-LN(2)/35)*DF101+(1-EXP(-LN(2)/35))/(LN(2)/35)*DB102*DC102*VLOOKUP('Données projet'!$B$13,Paramètres!$A$1:$I$89,3,0)*0.475*44/12</f>
        <v>#N/A</v>
      </c>
      <c r="DG102" s="21" t="e">
        <f>EXP(-LN(2)/25)*DG101+(1-EXP(-LN(2)/25))/(LN(2)/25)*Calculateur!DB102*Calculateur!DD102*VLOOKUP('Données projet'!$B$13,Paramètres!$A$1:$I$89,3,0)*0.475*44/12</f>
        <v>#N/A</v>
      </c>
      <c r="DH102" s="21" t="e">
        <f>EXP(-LN(2)/2)*DH101+(1-EXP(-LN(2)/2))/(LN(2)/2)*DB102*DE102*VLOOKUP('Données projet'!$B$13,Paramètres!$A$1:$I$89,3,0)*0.475*44/12</f>
        <v>#N/A</v>
      </c>
      <c r="DI102" s="22" t="e">
        <f t="shared" si="69"/>
        <v>#N/A</v>
      </c>
      <c r="DJ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0</v>
      </c>
      <c r="DP102" s="17" t="e">
        <f>DO102*VLOOKUP('Données projet'!$B$14,Paramètres!$A$1:$I$89,3,0)*VLOOKUP('Données projet'!$B$14,Paramètres!$A$1:$I$89,5,0)</f>
        <v>#N/A</v>
      </c>
      <c r="DQ102" s="13" t="e">
        <f t="shared" si="97"/>
        <v>#N/A</v>
      </c>
      <c r="DR102" s="20" t="e">
        <f t="shared" si="70"/>
        <v>#N/A</v>
      </c>
      <c r="DS102" s="59" t="e">
        <f t="shared" si="71"/>
        <v>#N/A</v>
      </c>
      <c r="DT102" s="59" t="e">
        <f ca="1">AVERAGE(OFFSET($DS$3,0,0,'Données projet'!$E$14+1,1))-AVERAGE(OFFSET($H$3,0,0,'Données projet'!$E$14+1,1))</f>
        <v>#N/A</v>
      </c>
      <c r="DU102" s="59" t="e">
        <f t="shared" si="98"/>
        <v>#N/A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 t="e">
        <f>EXP(-LN(2)/35)*EA101+(1-EXP(-LN(2)/35))/(LN(2)/35)*DW102*DX102*VLOOKUP('Données projet'!$B$14,Paramètres!$A$1:$I$89,3,0)*0.475*44/12</f>
        <v>#N/A</v>
      </c>
      <c r="EB102" s="21" t="e">
        <f>EXP(-LN(2)/25)*EB101+(1-EXP(-LN(2)/25))/(LN(2)/25)*Calculateur!DW102*Calculateur!DY102*VLOOKUP('Données projet'!$B$14,Paramètres!$A$1:$I$89,3,0)*0.475*44/12</f>
        <v>#N/A</v>
      </c>
      <c r="EC102" s="21" t="e">
        <f>EXP(-LN(2)/2)*EC101+(1-EXP(-LN(2)/2))/(LN(2)/2)*DW102*DZ102*VLOOKUP('Données projet'!$B$14,Paramètres!$A$1:$I$89,3,0)*0.475*44/12</f>
        <v>#N/A</v>
      </c>
      <c r="ED102" s="22" t="e">
        <f t="shared" si="72"/>
        <v>#N/A</v>
      </c>
      <c r="EE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0</v>
      </c>
      <c r="EK102" s="17" t="e">
        <f>EJ102*VLOOKUP('Données projet'!$B$15,Paramètres!$A$1:$I$89,3,0)*VLOOKUP('Données projet'!$B$15,Paramètres!$A$1:$I$89,5,0)</f>
        <v>#N/A</v>
      </c>
      <c r="EL102" s="13" t="e">
        <f t="shared" si="99"/>
        <v>#N/A</v>
      </c>
      <c r="EM102" s="20" t="e">
        <f t="shared" si="73"/>
        <v>#N/A</v>
      </c>
      <c r="EN102" s="59" t="e">
        <f t="shared" si="74"/>
        <v>#N/A</v>
      </c>
      <c r="EO102" s="59" t="e">
        <f ca="1">AVERAGE(OFFSET($EN$3,0,0,'Données projet'!$E$15+1,1))-AVERAGE(OFFSET($H$3,0,0,'Données projet'!$E$15+1,1))</f>
        <v>#N/A</v>
      </c>
      <c r="EP102" s="59" t="e">
        <f t="shared" si="100"/>
        <v>#N/A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 t="e">
        <f>EXP(-LN(2)/35)*EV101+(1-EXP(-LN(2)/35))/(LN(2)/35)*ER102*ES102*VLOOKUP('Données projet'!$B$15,Paramètres!$A$1:$I$89,3,0)*0.475*44/12</f>
        <v>#N/A</v>
      </c>
      <c r="EW102" s="21" t="e">
        <f>EXP(-LN(2)/25)*EW101+(1-EXP(-LN(2)/25))/(LN(2)/25)*Calculateur!ER102*Calculateur!ET102*VLOOKUP('Données projet'!$B$15,Paramètres!$A$1:$I$89,3,0)*0.475*44/12</f>
        <v>#N/A</v>
      </c>
      <c r="EX102" s="21" t="e">
        <f>EXP(-LN(2)/2)*EX101+(1-EXP(-LN(2)/2))/(LN(2)/2)*ER102*EU102*VLOOKUP('Données projet'!$B$15,Paramètres!$A$1:$I$89,3,0)*0.475*44/12</f>
        <v>#N/A</v>
      </c>
      <c r="EY102" s="22" t="e">
        <f t="shared" si="75"/>
        <v>#N/A</v>
      </c>
      <c r="EZ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9" t="e">
        <f t="shared" si="77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45">
      <c r="A103" s="10">
        <f t="shared" si="85"/>
        <v>100</v>
      </c>
      <c r="B103" s="73">
        <f>'Scénario référence'!$B$16*5+'Scénario référence'!$B$17*0+'Scénario référence'!$B$18*5</f>
        <v>0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88.920000000000144</v>
      </c>
      <c r="D103" s="11">
        <f t="shared" si="86"/>
        <v>24.304572270466512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">
        <f>IF(OR('Scénario référence'!$F$8&gt;0,'Scénario référence'!$F$9&gt;0),('Scénario référence'!$F$8+'Scénario référence'!$F$9)*10,0)</f>
        <v>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874.01424208781282</v>
      </c>
      <c r="H103" s="67">
        <f t="shared" si="56"/>
        <v>453.86613003772942</v>
      </c>
      <c r="I103" s="7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 t="e">
        <f>VLOOKUP(A103,'Données projet'!$A$35:$I$55,2,0)</f>
        <v>#N/A</v>
      </c>
      <c r="L103" s="12" t="e">
        <f>VLOOKUP(A103,'Données projet'!$A$35:$I$55,9,0)</f>
        <v>#N/A</v>
      </c>
      <c r="M103" s="12">
        <f t="array" ref="M103">INDEX(L:L,MIN(IF(ISNUMBER(L103:L299),ROW(L103:L299),"")))</f>
        <v>5.6049999999999995</v>
      </c>
      <c r="N103" s="13">
        <f>IF('Données projet'!$A$36&gt;35,N102+M103-V102,IF(A103&lt;'Données projet'!$A$36,$K$205^A103,IF(A103='Données projet'!$A$36,'Données projet'!$B$36,N102+M103-V102)))</f>
        <v>457.99999999999977</v>
      </c>
      <c r="O103" s="13">
        <f>N103*VLOOKUP('Données projet'!$B$9,Paramètres!$A$1:$I$89,3,0)*VLOOKUP('Données projet'!$B$9,Paramètres!$A$1:$I$89,5,0)</f>
        <v>256.02199999999988</v>
      </c>
      <c r="P103" s="13">
        <f t="shared" si="87"/>
        <v>61.873669712051253</v>
      </c>
      <c r="Q103" s="20">
        <f t="shared" si="107"/>
        <v>553.66829141515575</v>
      </c>
      <c r="R103" s="59">
        <f t="shared" si="55"/>
        <v>847.00162474848912</v>
      </c>
      <c r="S103" s="59">
        <f ca="1">AVERAGE(OFFSET($R$3,0,0,'Données projet'!$E$9+1,1))-AVERAGE(OFFSET($H$3,0,0,'Données projet'!$E$9+1,1))</f>
        <v>280.69347314340195</v>
      </c>
      <c r="T103" s="59">
        <f t="shared" si="88"/>
        <v>152.40533828556482</v>
      </c>
      <c r="U103" s="15">
        <f>IF(ISNA(VLOOKUP(A103,'Données projet'!$A$35:$I$55,3,0)),0,VLOOKUP(A103,'Données projet'!$A$35:$I$55,3,0))</f>
        <v>0</v>
      </c>
      <c r="V103" s="15">
        <f>IF(ISNA(VLOOKUP(A103,'Données projet'!$A$35:$I$55,4,0)),0,VLOOKUP(A103,'Données projet'!$A$35:$I$55,4,0))</f>
        <v>0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56.757144851748272</v>
      </c>
      <c r="AA103" s="21">
        <f>EXP(-LN(2)/25)*AA102+(1-EXP(-LN(2)/25))/(LN(2)/25)*Calculateur!V103*Calculateur!X103*VLOOKUP('Données projet'!$B$9,Paramètres!$A$1:$I$89,3,0)*0.475*44/12</f>
        <v>19.175999148413432</v>
      </c>
      <c r="AB103" s="21">
        <f>EXP(-LN(2)/2)*AB102+(1-EXP(-LN(2)/2))/(LN(2)/2)*V103*Y103*VLOOKUP('Données projet'!$B$9,Paramètres!$A$1:$I$89,3,0)*0.475*44/12</f>
        <v>2.3887390592781337</v>
      </c>
      <c r="AC103" s="22">
        <f t="shared" si="57"/>
        <v>78.321883059439841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 t="e">
        <f>VLOOKUP(A103,'Données projet'!$A$61:$I$81,2,0)</f>
        <v>#N/A</v>
      </c>
      <c r="AG103" s="12" t="e">
        <f>VLOOKUP(A103,'Données projet'!$A$61:$I$81,9,0)</f>
        <v>#N/A</v>
      </c>
      <c r="AH103" s="12">
        <f t="array" ref="AH103">INDEX(AG:AG,MIN(IF(ISNUMBER(AG103:AG299),ROW(AG103:AG299),"")))</f>
        <v>0</v>
      </c>
      <c r="AI103" s="13">
        <f>IF('Données projet'!$A$62&gt;35,AI102+AH103-AQ102,IF(A103&lt;'Données projet'!$A$62,$AF$205^A103,IF(A103='Données projet'!$A$62,'Données projet'!$B$62,AI102+AH103-AQ102)))</f>
        <v>0</v>
      </c>
      <c r="AJ103" s="13">
        <f>AI103*VLOOKUP('Données projet'!$B$10,Paramètres!$A$1:$I$89,3,0)*VLOOKUP('Données projet'!$B$10,Paramètres!$A$1:$I$89,5,0)</f>
        <v>0</v>
      </c>
      <c r="AK103" s="13" t="e">
        <f t="shared" si="89"/>
        <v>#NUM!</v>
      </c>
      <c r="AL103" s="20" t="e">
        <f t="shared" si="58"/>
        <v>#NUM!</v>
      </c>
      <c r="AM103" s="59" t="e">
        <f t="shared" si="59"/>
        <v>#NUM!</v>
      </c>
      <c r="AN103" s="59">
        <f ca="1">AVERAGE(OFFSET($AM$3,0,0,'Données projet'!$E$10+1,1))-AVERAGE(OFFSET($H$3,0,0,'Données projet'!$E$10+1,1))</f>
        <v>179.4725256147085</v>
      </c>
      <c r="AO103" s="59">
        <f t="shared" si="90"/>
        <v>282.16750121151176</v>
      </c>
      <c r="AP103" s="15">
        <f>IF(ISNA(VLOOKUP(A103,'Données projet'!$A$61:$I$81,3,0)),0,VLOOKUP(A103,'Données projet'!$A$61:$I$81,3,0))</f>
        <v>0</v>
      </c>
      <c r="AQ103" s="15">
        <f>IF(ISNA(VLOOKUP(A103,'Données projet'!$A$61:$I$81,4,0)),0,VLOOKUP(A103,'Données projet'!$A$61:$I$81,4,0))</f>
        <v>0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65.387044079845253</v>
      </c>
      <c r="AV103" s="21">
        <f>EXP(-LN(2)/25)*AV102+(1-EXP(-LN(2)/25))/(LN(2)/25)*Calculateur!AQ103*Calculateur!AS103*VLOOKUP('Données projet'!$B$10,Paramètres!$A$1:$I$89,3,0)*0.475*44/12</f>
        <v>16.118753860147397</v>
      </c>
      <c r="AW103" s="21">
        <f>EXP(-LN(2)/2)*AW102+(1-EXP(-LN(2)/2))/(LN(2)/2)*AQ103*AT103*VLOOKUP('Données projet'!$B$10,Paramètres!$A$1:$I$89,3,0)*0.475*44/12</f>
        <v>4.1122815966343101E-5</v>
      </c>
      <c r="AX103" s="21">
        <f t="shared" si="60"/>
        <v>81.505839062808619</v>
      </c>
      <c r="AY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9.2583333333333311</v>
      </c>
      <c r="BD103" s="12">
        <f>IF('Données projet'!$A$88&gt;35,BD102+BC103-BL102,IF(A103&lt;'Données projet'!$A$88,$BA$205^A103,IF(A103='Données projet'!$A$88,'Données projet'!$B$88,BD102+BC103-BL102)))</f>
        <v>317.66833333333392</v>
      </c>
      <c r="BE103" s="13">
        <f>BD103*VLOOKUP('Données projet'!$B$11,Paramètres!$A$1:$I$89,3,0)*VLOOKUP('Données projet'!$B$11,Paramètres!$A$1:$I$89,5,0)</f>
        <v>272.55943000000053</v>
      </c>
      <c r="BF103" s="13">
        <f t="shared" si="91"/>
        <v>65.392146311706696</v>
      </c>
      <c r="BG103" s="20">
        <f t="shared" si="61"/>
        <v>588.59899540955666</v>
      </c>
      <c r="BH103" s="59">
        <f t="shared" si="62"/>
        <v>881.93232874288992</v>
      </c>
      <c r="BI103" s="59">
        <f ca="1">AVERAGE(OFFSET($BH$3,0,0,'Données projet'!$E$11+1,1))-AVERAGE(OFFSET($H$3,0,0,'Données projet'!$E$11+1,1))</f>
        <v>312.89478437044261</v>
      </c>
      <c r="BJ103" s="59">
        <f t="shared" si="92"/>
        <v>276.16555507854571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>
        <f>EXP(-LN(2)/35)*BP102+(1-EXP(-LN(2)/35))/(LN(2)/35)*BL103*BM103*VLOOKUP('Données projet'!$B$11,Paramètres!$A$1:$I$89,3,0)*0.475*44/12</f>
        <v>15.966802837354871</v>
      </c>
      <c r="BQ103" s="21">
        <f>EXP(-LN(2)/25)*BQ102+(1-EXP(-LN(2)/25))/(LN(2)/25)*Calculateur!BL103*Calculateur!BN103*VLOOKUP('Données projet'!$B$11,Paramètres!$A$1:$I$89,3,0)*0.475*44/12</f>
        <v>37.553673342181824</v>
      </c>
      <c r="BR103" s="21">
        <f>EXP(-LN(2)/2)*BR102+(1-EXP(-LN(2)/2))/(LN(2)/2)*BL103*BO103*VLOOKUP('Données projet'!$B$11,Paramètres!$A$1:$I$89,3,0)*0.475*44/12</f>
        <v>1.0090946760316946</v>
      </c>
      <c r="BS103" s="22">
        <f t="shared" si="63"/>
        <v>54.529570855568387</v>
      </c>
      <c r="BT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0</v>
      </c>
      <c r="BY103" s="12">
        <f>IF('Données projet'!$A$114&gt;35,BY102+BX103-CG102,IF(A103&lt;'Données projet'!$A$114,$BV$205^A103,IF(A103='Données projet'!$A$114,'Données projet'!$B$114,BY102+BX103-CG102)))</f>
        <v>0</v>
      </c>
      <c r="BZ103" s="13" t="e">
        <f>BY103*VLOOKUP('Données projet'!$B$12,Paramètres!$A$1:$I$89,3,0)*VLOOKUP('Données projet'!$B$12,Paramètres!$A$1:$I$89,5,0)</f>
        <v>#N/A</v>
      </c>
      <c r="CA103" s="13" t="e">
        <f t="shared" si="93"/>
        <v>#N/A</v>
      </c>
      <c r="CB103" s="20" t="e">
        <f t="shared" si="64"/>
        <v>#N/A</v>
      </c>
      <c r="CC103" s="59" t="e">
        <f t="shared" si="65"/>
        <v>#N/A</v>
      </c>
      <c r="CD103" s="59" t="e">
        <f ca="1">AVERAGE(OFFSET($CC$3,0,0,'Données projet'!$E$12+1,1))-AVERAGE(OFFSET($H$3,0,0,'Données projet'!$E$12+1,1))</f>
        <v>#N/A</v>
      </c>
      <c r="CE103" s="59" t="e">
        <f t="shared" si="94"/>
        <v>#N/A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 t="e">
        <f>EXP(-LN(2)/35)*CK102+(1-EXP(-LN(2)/35))/(LN(2)/35)*CG103*CH103*VLOOKUP('Données projet'!$B$12,Paramètres!$A$1:$I$89,3,0)*0.475*44/12</f>
        <v>#N/A</v>
      </c>
      <c r="CL103" s="21" t="e">
        <f>EXP(-LN(2)/25)*CL102+(1-EXP(-LN(2)/25))/(LN(2)/25)*Calculateur!CG103*Calculateur!CI103*VLOOKUP('Données projet'!$B$12,Paramètres!$A$1:$I$89,3,0)*0.475*44/12</f>
        <v>#N/A</v>
      </c>
      <c r="CM103" s="21" t="e">
        <f>EXP(-LN(2)/2)*CM102+(1-EXP(-LN(2)/2))/(LN(2)/2)*CG103*CJ103*VLOOKUP('Données projet'!$B$12,Paramètres!$A$1:$I$89,3,0)*0.475*44/12</f>
        <v>#N/A</v>
      </c>
      <c r="CN103" s="22" t="e">
        <f t="shared" si="66"/>
        <v>#N/A</v>
      </c>
      <c r="CO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0</v>
      </c>
      <c r="CU103" s="17" t="e">
        <f>CT103*VLOOKUP('Données projet'!$B$13,Paramètres!$A$1:$I$89,3,0)*VLOOKUP('Données projet'!$B$13,Paramètres!$A$1:$I$89,5,0)</f>
        <v>#N/A</v>
      </c>
      <c r="CV103" s="13" t="e">
        <f t="shared" si="95"/>
        <v>#N/A</v>
      </c>
      <c r="CW103" s="20" t="e">
        <f t="shared" si="67"/>
        <v>#N/A</v>
      </c>
      <c r="CX103" s="59" t="e">
        <f t="shared" si="68"/>
        <v>#N/A</v>
      </c>
      <c r="CY103" s="59" t="e">
        <f ca="1">AVERAGE(OFFSET($CX$3,0,0,'Données projet'!$E$13+1,1))-AVERAGE(OFFSET($H$3,0,0,'Données projet'!$E$13+1,1))</f>
        <v>#N/A</v>
      </c>
      <c r="CZ103" s="59" t="e">
        <f t="shared" si="96"/>
        <v>#N/A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 t="e">
        <f>EXP(-LN(2)/35)*DF102+(1-EXP(-LN(2)/35))/(LN(2)/35)*DB103*DC103*VLOOKUP('Données projet'!$B$13,Paramètres!$A$1:$I$89,3,0)*0.475*44/12</f>
        <v>#N/A</v>
      </c>
      <c r="DG103" s="21" t="e">
        <f>EXP(-LN(2)/25)*DG102+(1-EXP(-LN(2)/25))/(LN(2)/25)*Calculateur!DB103*Calculateur!DD103*VLOOKUP('Données projet'!$B$13,Paramètres!$A$1:$I$89,3,0)*0.475*44/12</f>
        <v>#N/A</v>
      </c>
      <c r="DH103" s="21" t="e">
        <f>EXP(-LN(2)/2)*DH102+(1-EXP(-LN(2)/2))/(LN(2)/2)*DB103*DE103*VLOOKUP('Données projet'!$B$13,Paramètres!$A$1:$I$89,3,0)*0.475*44/12</f>
        <v>#N/A</v>
      </c>
      <c r="DI103" s="22" t="e">
        <f t="shared" si="69"/>
        <v>#N/A</v>
      </c>
      <c r="DJ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0</v>
      </c>
      <c r="DP103" s="17" t="e">
        <f>DO103*VLOOKUP('Données projet'!$B$14,Paramètres!$A$1:$I$89,3,0)*VLOOKUP('Données projet'!$B$14,Paramètres!$A$1:$I$89,5,0)</f>
        <v>#N/A</v>
      </c>
      <c r="DQ103" s="13" t="e">
        <f t="shared" si="97"/>
        <v>#N/A</v>
      </c>
      <c r="DR103" s="20" t="e">
        <f t="shared" si="70"/>
        <v>#N/A</v>
      </c>
      <c r="DS103" s="59" t="e">
        <f t="shared" si="71"/>
        <v>#N/A</v>
      </c>
      <c r="DT103" s="59" t="e">
        <f ca="1">AVERAGE(OFFSET($DS$3,0,0,'Données projet'!$E$14+1,1))-AVERAGE(OFFSET($H$3,0,0,'Données projet'!$E$14+1,1))</f>
        <v>#N/A</v>
      </c>
      <c r="DU103" s="59" t="e">
        <f t="shared" si="98"/>
        <v>#N/A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 t="e">
        <f>EXP(-LN(2)/35)*EA102+(1-EXP(-LN(2)/35))/(LN(2)/35)*DW103*DX103*VLOOKUP('Données projet'!$B$14,Paramètres!$A$1:$I$89,3,0)*0.475*44/12</f>
        <v>#N/A</v>
      </c>
      <c r="EB103" s="21" t="e">
        <f>EXP(-LN(2)/25)*EB102+(1-EXP(-LN(2)/25))/(LN(2)/25)*Calculateur!DW103*Calculateur!DY103*VLOOKUP('Données projet'!$B$14,Paramètres!$A$1:$I$89,3,0)*0.475*44/12</f>
        <v>#N/A</v>
      </c>
      <c r="EC103" s="21" t="e">
        <f>EXP(-LN(2)/2)*EC102+(1-EXP(-LN(2)/2))/(LN(2)/2)*DW103*DZ103*VLOOKUP('Données projet'!$B$14,Paramètres!$A$1:$I$89,3,0)*0.475*44/12</f>
        <v>#N/A</v>
      </c>
      <c r="ED103" s="22" t="e">
        <f t="shared" si="72"/>
        <v>#N/A</v>
      </c>
      <c r="EE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0</v>
      </c>
      <c r="EK103" s="17" t="e">
        <f>EJ103*VLOOKUP('Données projet'!$B$15,Paramètres!$A$1:$I$89,3,0)*VLOOKUP('Données projet'!$B$15,Paramètres!$A$1:$I$89,5,0)</f>
        <v>#N/A</v>
      </c>
      <c r="EL103" s="13" t="e">
        <f t="shared" si="99"/>
        <v>#N/A</v>
      </c>
      <c r="EM103" s="20" t="e">
        <f t="shared" si="73"/>
        <v>#N/A</v>
      </c>
      <c r="EN103" s="59" t="e">
        <f t="shared" si="74"/>
        <v>#N/A</v>
      </c>
      <c r="EO103" s="59" t="e">
        <f ca="1">AVERAGE(OFFSET($EN$3,0,0,'Données projet'!$E$15+1,1))-AVERAGE(OFFSET($H$3,0,0,'Données projet'!$E$15+1,1))</f>
        <v>#N/A</v>
      </c>
      <c r="EP103" s="59" t="e">
        <f t="shared" si="100"/>
        <v>#N/A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 t="e">
        <f>EXP(-LN(2)/35)*EV102+(1-EXP(-LN(2)/35))/(LN(2)/35)*ER103*ES103*VLOOKUP('Données projet'!$B$15,Paramètres!$A$1:$I$89,3,0)*0.475*44/12</f>
        <v>#N/A</v>
      </c>
      <c r="EW103" s="21" t="e">
        <f>EXP(-LN(2)/25)*EW102+(1-EXP(-LN(2)/25))/(LN(2)/25)*Calculateur!ER103*Calculateur!ET103*VLOOKUP('Données projet'!$B$15,Paramètres!$A$1:$I$89,3,0)*0.475*44/12</f>
        <v>#N/A</v>
      </c>
      <c r="EX103" s="21" t="e">
        <f>EXP(-LN(2)/2)*EX102+(1-EXP(-LN(2)/2))/(LN(2)/2)*ER103*EU103*VLOOKUP('Données projet'!$B$15,Paramètres!$A$1:$I$89,3,0)*0.475*44/12</f>
        <v>#N/A</v>
      </c>
      <c r="EY103" s="22" t="e">
        <f t="shared" si="75"/>
        <v>#N/A</v>
      </c>
      <c r="EZ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9" t="e">
        <f t="shared" si="77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45">
      <c r="A104" s="10">
        <f t="shared" si="85"/>
        <v>101</v>
      </c>
      <c r="B104" s="73">
        <f>'Scénario référence'!$B$16*5+'Scénario référence'!$B$17*0+'Scénario référence'!$B$18*5</f>
        <v>0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89.809200000000146</v>
      </c>
      <c r="D104" s="11">
        <f t="shared" si="86"/>
        <v>24.519202946196138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">
        <f>IF(OR('Scénario référence'!$F$8&gt;0,'Scénario référence'!$F$9&gt;0),('Scénario référence'!$F$8+'Scénario référence'!$F$9)*10,0)</f>
        <v>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882.53504028642749</v>
      </c>
      <c r="H104" s="67">
        <f t="shared" si="56"/>
        <v>455.78863513129187</v>
      </c>
      <c r="I104" s="7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5.6049999999999995</v>
      </c>
      <c r="N104" s="13">
        <f>IF('Données projet'!$A$36&gt;35,N103+M104-V103,IF(A104&lt;'Données projet'!$A$36,$K$205^A104,IF(A104='Données projet'!$A$36,'Données projet'!$B$36,N103+M104-V103)))</f>
        <v>463.60499999999979</v>
      </c>
      <c r="O104" s="13">
        <f>N104*VLOOKUP('Données projet'!$B$9,Paramètres!$A$1:$I$89,3,0)*VLOOKUP('Données projet'!$B$9,Paramètres!$A$1:$I$89,5,0)</f>
        <v>259.15519499999988</v>
      </c>
      <c r="P104" s="13">
        <f t="shared" si="87"/>
        <v>62.542265574310946</v>
      </c>
      <c r="Q104" s="20">
        <f t="shared" si="107"/>
        <v>560.28974383359127</v>
      </c>
      <c r="R104" s="59">
        <f t="shared" si="55"/>
        <v>853.62307716692453</v>
      </c>
      <c r="S104" s="59">
        <f ca="1">AVERAGE(OFFSET($R$3,0,0,'Données projet'!$E$9+1,1))-AVERAGE(OFFSET($H$3,0,0,'Données projet'!$E$9+1,1))</f>
        <v>280.69347314340195</v>
      </c>
      <c r="T104" s="59">
        <f t="shared" si="88"/>
        <v>152.40533828556482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55.64417185964556</v>
      </c>
      <c r="AA104" s="21">
        <f>EXP(-LN(2)/25)*AA103+(1-EXP(-LN(2)/25))/(LN(2)/25)*Calculateur!V104*Calculateur!X104*VLOOKUP('Données projet'!$B$9,Paramètres!$A$1:$I$89,3,0)*0.475*44/12</f>
        <v>18.651630443278098</v>
      </c>
      <c r="AB104" s="21">
        <f>EXP(-LN(2)/2)*AB103+(1-EXP(-LN(2)/2))/(LN(2)/2)*V104*Y104*VLOOKUP('Données projet'!$B$9,Paramètres!$A$1:$I$89,3,0)*0.475*44/12</f>
        <v>1.6890935873007427</v>
      </c>
      <c r="AC104" s="22">
        <f t="shared" si="57"/>
        <v>75.984895890224408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0</v>
      </c>
      <c r="AI104" s="13">
        <f>IF('Données projet'!$A$62&gt;35,AI103+AH104-AQ103,IF(A104&lt;'Données projet'!$A$62,$AF$205^A104,IF(A104='Données projet'!$A$62,'Données projet'!$B$62,AI103+AH104-AQ103)))</f>
        <v>0</v>
      </c>
      <c r="AJ104" s="13">
        <f>AI104*VLOOKUP('Données projet'!$B$10,Paramètres!$A$1:$I$89,3,0)*VLOOKUP('Données projet'!$B$10,Paramètres!$A$1:$I$89,5,0)</f>
        <v>0</v>
      </c>
      <c r="AK104" s="13" t="e">
        <f t="shared" si="89"/>
        <v>#NUM!</v>
      </c>
      <c r="AL104" s="20" t="e">
        <f t="shared" si="58"/>
        <v>#NUM!</v>
      </c>
      <c r="AM104" s="59" t="e">
        <f t="shared" si="59"/>
        <v>#NUM!</v>
      </c>
      <c r="AN104" s="59">
        <f ca="1">AVERAGE(OFFSET($AM$3,0,0,'Données projet'!$E$10+1,1))-AVERAGE(OFFSET($H$3,0,0,'Données projet'!$E$10+1,1))</f>
        <v>179.4725256147085</v>
      </c>
      <c r="AO104" s="59">
        <f t="shared" si="90"/>
        <v>282.16750121151176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64.104844027598347</v>
      </c>
      <c r="AV104" s="21">
        <f>EXP(-LN(2)/25)*AV103+(1-EXP(-LN(2)/25))/(LN(2)/25)*Calculateur!AQ104*Calculateur!AS104*VLOOKUP('Données projet'!$B$10,Paramètres!$A$1:$I$89,3,0)*0.475*44/12</f>
        <v>15.677985688193241</v>
      </c>
      <c r="AW104" s="21">
        <f>EXP(-LN(2)/2)*AW103+(1-EXP(-LN(2)/2))/(LN(2)/2)*AQ104*AT104*VLOOKUP('Données projet'!$B$10,Paramètres!$A$1:$I$89,3,0)*0.475*44/12</f>
        <v>2.9078222031287634E-5</v>
      </c>
      <c r="AX104" s="21">
        <f t="shared" si="60"/>
        <v>79.78285879401362</v>
      </c>
      <c r="AY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9.2583333333333311</v>
      </c>
      <c r="BD104" s="12">
        <f>IF('Données projet'!$A$88&gt;35,BD103+BC104-BL103,IF(A104&lt;'Données projet'!$A$88,$BA$205^A104,IF(A104='Données projet'!$A$88,'Données projet'!$B$88,BD103+BC104-BL103)))</f>
        <v>326.92666666666724</v>
      </c>
      <c r="BE104" s="13">
        <f>BD104*VLOOKUP('Données projet'!$B$11,Paramètres!$A$1:$I$89,3,0)*VLOOKUP('Données projet'!$B$11,Paramètres!$A$1:$I$89,5,0)</f>
        <v>280.50308000000052</v>
      </c>
      <c r="BF104" s="13">
        <f t="shared" si="91"/>
        <v>67.073313037115824</v>
      </c>
      <c r="BG104" s="20">
        <f t="shared" si="61"/>
        <v>605.36221787297757</v>
      </c>
      <c r="BH104" s="59">
        <f t="shared" si="62"/>
        <v>898.69555120631094</v>
      </c>
      <c r="BI104" s="59">
        <f ca="1">AVERAGE(OFFSET($BH$3,0,0,'Données projet'!$E$11+1,1))-AVERAGE(OFFSET($H$3,0,0,'Données projet'!$E$11+1,1))</f>
        <v>312.89478437044261</v>
      </c>
      <c r="BJ104" s="59">
        <f t="shared" si="92"/>
        <v>276.16555507854571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>
        <f>EXP(-LN(2)/35)*BP103+(1-EXP(-LN(2)/35))/(LN(2)/35)*BL104*BM104*VLOOKUP('Données projet'!$B$11,Paramètres!$A$1:$I$89,3,0)*0.475*44/12</f>
        <v>15.653703572502447</v>
      </c>
      <c r="BQ104" s="21">
        <f>EXP(-LN(2)/25)*BQ103+(1-EXP(-LN(2)/25))/(LN(2)/25)*Calculateur!BL104*Calculateur!BN104*VLOOKUP('Données projet'!$B$11,Paramètres!$A$1:$I$89,3,0)*0.475*44/12</f>
        <v>36.526766169778014</v>
      </c>
      <c r="BR104" s="21">
        <f>EXP(-LN(2)/2)*BR103+(1-EXP(-LN(2)/2))/(LN(2)/2)*BL104*BO104*VLOOKUP('Données projet'!$B$11,Paramètres!$A$1:$I$89,3,0)*0.475*44/12</f>
        <v>0.71353768828125352</v>
      </c>
      <c r="BS104" s="22">
        <f t="shared" si="63"/>
        <v>52.894007430561722</v>
      </c>
      <c r="BT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0</v>
      </c>
      <c r="BY104" s="12">
        <f>IF('Données projet'!$A$114&gt;35,BY103+BX104-CG103,IF(A104&lt;'Données projet'!$A$114,$BV$205^A104,IF(A104='Données projet'!$A$114,'Données projet'!$B$114,BY103+BX104-CG103)))</f>
        <v>0</v>
      </c>
      <c r="BZ104" s="13" t="e">
        <f>BY104*VLOOKUP('Données projet'!$B$12,Paramètres!$A$1:$I$89,3,0)*VLOOKUP('Données projet'!$B$12,Paramètres!$A$1:$I$89,5,0)</f>
        <v>#N/A</v>
      </c>
      <c r="CA104" s="13" t="e">
        <f t="shared" si="93"/>
        <v>#N/A</v>
      </c>
      <c r="CB104" s="20" t="e">
        <f t="shared" si="64"/>
        <v>#N/A</v>
      </c>
      <c r="CC104" s="59" t="e">
        <f t="shared" si="65"/>
        <v>#N/A</v>
      </c>
      <c r="CD104" s="59" t="e">
        <f ca="1">AVERAGE(OFFSET($CC$3,0,0,'Données projet'!$E$12+1,1))-AVERAGE(OFFSET($H$3,0,0,'Données projet'!$E$12+1,1))</f>
        <v>#N/A</v>
      </c>
      <c r="CE104" s="59" t="e">
        <f t="shared" si="94"/>
        <v>#N/A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 t="e">
        <f>EXP(-LN(2)/35)*CK103+(1-EXP(-LN(2)/35))/(LN(2)/35)*CG104*CH104*VLOOKUP('Données projet'!$B$12,Paramètres!$A$1:$I$89,3,0)*0.475*44/12</f>
        <v>#N/A</v>
      </c>
      <c r="CL104" s="21" t="e">
        <f>EXP(-LN(2)/25)*CL103+(1-EXP(-LN(2)/25))/(LN(2)/25)*Calculateur!CG104*Calculateur!CI104*VLOOKUP('Données projet'!$B$12,Paramètres!$A$1:$I$89,3,0)*0.475*44/12</f>
        <v>#N/A</v>
      </c>
      <c r="CM104" s="21" t="e">
        <f>EXP(-LN(2)/2)*CM103+(1-EXP(-LN(2)/2))/(LN(2)/2)*CG104*CJ104*VLOOKUP('Données projet'!$B$12,Paramètres!$A$1:$I$89,3,0)*0.475*44/12</f>
        <v>#N/A</v>
      </c>
      <c r="CN104" s="22" t="e">
        <f t="shared" si="66"/>
        <v>#N/A</v>
      </c>
      <c r="CO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0</v>
      </c>
      <c r="CU104" s="17" t="e">
        <f>CT104*VLOOKUP('Données projet'!$B$13,Paramètres!$A$1:$I$89,3,0)*VLOOKUP('Données projet'!$B$13,Paramètres!$A$1:$I$89,5,0)</f>
        <v>#N/A</v>
      </c>
      <c r="CV104" s="13" t="e">
        <f t="shared" si="95"/>
        <v>#N/A</v>
      </c>
      <c r="CW104" s="20" t="e">
        <f t="shared" si="67"/>
        <v>#N/A</v>
      </c>
      <c r="CX104" s="59" t="e">
        <f t="shared" si="68"/>
        <v>#N/A</v>
      </c>
      <c r="CY104" s="59" t="e">
        <f ca="1">AVERAGE(OFFSET($CX$3,0,0,'Données projet'!$E$13+1,1))-AVERAGE(OFFSET($H$3,0,0,'Données projet'!$E$13+1,1))</f>
        <v>#N/A</v>
      </c>
      <c r="CZ104" s="59" t="e">
        <f t="shared" si="96"/>
        <v>#N/A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 t="e">
        <f>EXP(-LN(2)/35)*DF103+(1-EXP(-LN(2)/35))/(LN(2)/35)*DB104*DC104*VLOOKUP('Données projet'!$B$13,Paramètres!$A$1:$I$89,3,0)*0.475*44/12</f>
        <v>#N/A</v>
      </c>
      <c r="DG104" s="21" t="e">
        <f>EXP(-LN(2)/25)*DG103+(1-EXP(-LN(2)/25))/(LN(2)/25)*Calculateur!DB104*Calculateur!DD104*VLOOKUP('Données projet'!$B$13,Paramètres!$A$1:$I$89,3,0)*0.475*44/12</f>
        <v>#N/A</v>
      </c>
      <c r="DH104" s="21" t="e">
        <f>EXP(-LN(2)/2)*DH103+(1-EXP(-LN(2)/2))/(LN(2)/2)*DB104*DE104*VLOOKUP('Données projet'!$B$13,Paramètres!$A$1:$I$89,3,0)*0.475*44/12</f>
        <v>#N/A</v>
      </c>
      <c r="DI104" s="22" t="e">
        <f t="shared" si="69"/>
        <v>#N/A</v>
      </c>
      <c r="DJ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0</v>
      </c>
      <c r="DP104" s="17" t="e">
        <f>DO104*VLOOKUP('Données projet'!$B$14,Paramètres!$A$1:$I$89,3,0)*VLOOKUP('Données projet'!$B$14,Paramètres!$A$1:$I$89,5,0)</f>
        <v>#N/A</v>
      </c>
      <c r="DQ104" s="13" t="e">
        <f t="shared" si="97"/>
        <v>#N/A</v>
      </c>
      <c r="DR104" s="20" t="e">
        <f t="shared" si="70"/>
        <v>#N/A</v>
      </c>
      <c r="DS104" s="59" t="e">
        <f t="shared" si="71"/>
        <v>#N/A</v>
      </c>
      <c r="DT104" s="59" t="e">
        <f ca="1">AVERAGE(OFFSET($DS$3,0,0,'Données projet'!$E$14+1,1))-AVERAGE(OFFSET($H$3,0,0,'Données projet'!$E$14+1,1))</f>
        <v>#N/A</v>
      </c>
      <c r="DU104" s="59" t="e">
        <f t="shared" si="98"/>
        <v>#N/A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 t="e">
        <f>EXP(-LN(2)/35)*EA103+(1-EXP(-LN(2)/35))/(LN(2)/35)*DW104*DX104*VLOOKUP('Données projet'!$B$14,Paramètres!$A$1:$I$89,3,0)*0.475*44/12</f>
        <v>#N/A</v>
      </c>
      <c r="EB104" s="21" t="e">
        <f>EXP(-LN(2)/25)*EB103+(1-EXP(-LN(2)/25))/(LN(2)/25)*Calculateur!DW104*Calculateur!DY104*VLOOKUP('Données projet'!$B$14,Paramètres!$A$1:$I$89,3,0)*0.475*44/12</f>
        <v>#N/A</v>
      </c>
      <c r="EC104" s="21" t="e">
        <f>EXP(-LN(2)/2)*EC103+(1-EXP(-LN(2)/2))/(LN(2)/2)*DW104*DZ104*VLOOKUP('Données projet'!$B$14,Paramètres!$A$1:$I$89,3,0)*0.475*44/12</f>
        <v>#N/A</v>
      </c>
      <c r="ED104" s="22" t="e">
        <f t="shared" si="72"/>
        <v>#N/A</v>
      </c>
      <c r="EE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0</v>
      </c>
      <c r="EK104" s="17" t="e">
        <f>EJ104*VLOOKUP('Données projet'!$B$15,Paramètres!$A$1:$I$89,3,0)*VLOOKUP('Données projet'!$B$15,Paramètres!$A$1:$I$89,5,0)</f>
        <v>#N/A</v>
      </c>
      <c r="EL104" s="13" t="e">
        <f t="shared" si="99"/>
        <v>#N/A</v>
      </c>
      <c r="EM104" s="20" t="e">
        <f t="shared" si="73"/>
        <v>#N/A</v>
      </c>
      <c r="EN104" s="59" t="e">
        <f t="shared" si="74"/>
        <v>#N/A</v>
      </c>
      <c r="EO104" s="59" t="e">
        <f ca="1">AVERAGE(OFFSET($EN$3,0,0,'Données projet'!$E$15+1,1))-AVERAGE(OFFSET($H$3,0,0,'Données projet'!$E$15+1,1))</f>
        <v>#N/A</v>
      </c>
      <c r="EP104" s="59" t="e">
        <f t="shared" si="100"/>
        <v>#N/A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 t="e">
        <f>EXP(-LN(2)/35)*EV103+(1-EXP(-LN(2)/35))/(LN(2)/35)*ER104*ES104*VLOOKUP('Données projet'!$B$15,Paramètres!$A$1:$I$89,3,0)*0.475*44/12</f>
        <v>#N/A</v>
      </c>
      <c r="EW104" s="21" t="e">
        <f>EXP(-LN(2)/25)*EW103+(1-EXP(-LN(2)/25))/(LN(2)/25)*Calculateur!ER104*Calculateur!ET104*VLOOKUP('Données projet'!$B$15,Paramètres!$A$1:$I$89,3,0)*0.475*44/12</f>
        <v>#N/A</v>
      </c>
      <c r="EX104" s="21" t="e">
        <f>EXP(-LN(2)/2)*EX103+(1-EXP(-LN(2)/2))/(LN(2)/2)*ER104*EU104*VLOOKUP('Données projet'!$B$15,Paramètres!$A$1:$I$89,3,0)*0.475*44/12</f>
        <v>#N/A</v>
      </c>
      <c r="EY104" s="22" t="e">
        <f t="shared" si="75"/>
        <v>#N/A</v>
      </c>
      <c r="EZ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9" t="e">
        <f t="shared" si="77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45">
      <c r="A105" s="10">
        <f t="shared" si="85"/>
        <v>102</v>
      </c>
      <c r="B105" s="73">
        <f>'Scénario référence'!$B$16*5+'Scénario référence'!$B$17*0+'Scénario référence'!$B$18*5</f>
        <v>0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90.698400000000149</v>
      </c>
      <c r="D105" s="11">
        <f t="shared" si="86"/>
        <v>24.733586403594217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">
        <f>IF(OR('Scénario référence'!$F$8&gt;0,'Scénario référence'!$F$9&gt;0),('Scénario référence'!$F$8+'Scénario référence'!$F$9)*10,0)</f>
        <v>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891.05393013300909</v>
      </c>
      <c r="H105" s="67">
        <f t="shared" si="56"/>
        <v>457.71070965292688</v>
      </c>
      <c r="I105" s="7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5.6049999999999995</v>
      </c>
      <c r="N105" s="13">
        <f>IF('Données projet'!$A$36&gt;35,N104+M105-V104,IF(A105&lt;'Données projet'!$A$36,$K$205^A105,IF(A105='Données projet'!$A$36,'Données projet'!$B$36,N104+M105-V104)))</f>
        <v>469.20999999999981</v>
      </c>
      <c r="O105" s="13">
        <f>N105*VLOOKUP('Données projet'!$B$9,Paramètres!$A$1:$I$89,3,0)*VLOOKUP('Données projet'!$B$9,Paramètres!$A$1:$I$89,5,0)</f>
        <v>262.28838999999988</v>
      </c>
      <c r="P105" s="13">
        <f t="shared" si="87"/>
        <v>63.209921172571796</v>
      </c>
      <c r="Q105" s="20">
        <f t="shared" si="107"/>
        <v>566.90955862556223</v>
      </c>
      <c r="R105" s="59">
        <f t="shared" si="55"/>
        <v>860.2428919588956</v>
      </c>
      <c r="S105" s="59">
        <f ca="1">AVERAGE(OFFSET($R$3,0,0,'Données projet'!$E$9+1,1))-AVERAGE(OFFSET($H$3,0,0,'Données projet'!$E$9+1,1))</f>
        <v>280.69347314340195</v>
      </c>
      <c r="T105" s="59">
        <f t="shared" si="88"/>
        <v>152.40533828556482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54.553023589071486</v>
      </c>
      <c r="AA105" s="21">
        <f>EXP(-LN(2)/25)*AA104+(1-EXP(-LN(2)/25))/(LN(2)/25)*Calculateur!V105*Calculateur!X105*VLOOKUP('Données projet'!$B$9,Paramètres!$A$1:$I$89,3,0)*0.475*44/12</f>
        <v>18.141600627960042</v>
      </c>
      <c r="AB105" s="21">
        <f>EXP(-LN(2)/2)*AB104+(1-EXP(-LN(2)/2))/(LN(2)/2)*V105*Y105*VLOOKUP('Données projet'!$B$9,Paramètres!$A$1:$I$89,3,0)*0.475*44/12</f>
        <v>1.1943695296390668</v>
      </c>
      <c r="AC105" s="22">
        <f t="shared" si="57"/>
        <v>73.888993746670593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0</v>
      </c>
      <c r="AI105" s="13">
        <f>IF('Données projet'!$A$62&gt;35,AI104+AH105-AQ104,IF(A105&lt;'Données projet'!$A$62,$AF$205^A105,IF(A105='Données projet'!$A$62,'Données projet'!$B$62,AI104+AH105-AQ104)))</f>
        <v>0</v>
      </c>
      <c r="AJ105" s="13">
        <f>AI105*VLOOKUP('Données projet'!$B$10,Paramètres!$A$1:$I$89,3,0)*VLOOKUP('Données projet'!$B$10,Paramètres!$A$1:$I$89,5,0)</f>
        <v>0</v>
      </c>
      <c r="AK105" s="13" t="e">
        <f t="shared" si="89"/>
        <v>#NUM!</v>
      </c>
      <c r="AL105" s="20" t="e">
        <f t="shared" si="58"/>
        <v>#NUM!</v>
      </c>
      <c r="AM105" s="59" t="e">
        <f t="shared" si="59"/>
        <v>#NUM!</v>
      </c>
      <c r="AN105" s="59">
        <f ca="1">AVERAGE(OFFSET($AM$3,0,0,'Données projet'!$E$10+1,1))-AVERAGE(OFFSET($H$3,0,0,'Données projet'!$E$10+1,1))</f>
        <v>179.4725256147085</v>
      </c>
      <c r="AO105" s="59">
        <f t="shared" si="90"/>
        <v>282.16750121151176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62.847787136311183</v>
      </c>
      <c r="AV105" s="21">
        <f>EXP(-LN(2)/25)*AV104+(1-EXP(-LN(2)/25))/(LN(2)/25)*Calculateur!AQ105*Calculateur!AS105*VLOOKUP('Données projet'!$B$10,Paramètres!$A$1:$I$89,3,0)*0.475*44/12</f>
        <v>15.249270345080161</v>
      </c>
      <c r="AW105" s="21">
        <f>EXP(-LN(2)/2)*AW104+(1-EXP(-LN(2)/2))/(LN(2)/2)*AQ105*AT105*VLOOKUP('Données projet'!$B$10,Paramètres!$A$1:$I$89,3,0)*0.475*44/12</f>
        <v>2.056140798317155E-5</v>
      </c>
      <c r="AX105" s="21">
        <f t="shared" si="60"/>
        <v>78.097078042799325</v>
      </c>
      <c r="AY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9.2583333333333311</v>
      </c>
      <c r="BD105" s="12">
        <f>IF('Données projet'!$A$88&gt;35,BD104+BC105-BL104,IF(A105&lt;'Données projet'!$A$88,$BA$205^A105,IF(A105='Données projet'!$A$88,'Données projet'!$B$88,BD104+BC105-BL104)))</f>
        <v>336.18500000000057</v>
      </c>
      <c r="BE105" s="13">
        <f>BD105*VLOOKUP('Données projet'!$B$11,Paramètres!$A$1:$I$89,3,0)*VLOOKUP('Données projet'!$B$11,Paramètres!$A$1:$I$89,5,0)</f>
        <v>288.44673000000051</v>
      </c>
      <c r="BF105" s="13">
        <f t="shared" si="91"/>
        <v>68.748946363679067</v>
      </c>
      <c r="BG105" s="20">
        <f t="shared" si="61"/>
        <v>622.11580300007529</v>
      </c>
      <c r="BH105" s="59">
        <f t="shared" si="62"/>
        <v>915.44913633340866</v>
      </c>
      <c r="BI105" s="59">
        <f ca="1">AVERAGE(OFFSET($BH$3,0,0,'Données projet'!$E$11+1,1))-AVERAGE(OFFSET($H$3,0,0,'Données projet'!$E$11+1,1))</f>
        <v>312.89478437044261</v>
      </c>
      <c r="BJ105" s="59">
        <f t="shared" si="92"/>
        <v>276.16555507854571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>
        <f>EXP(-LN(2)/35)*BP104+(1-EXP(-LN(2)/35))/(LN(2)/35)*BL105*BM105*VLOOKUP('Données projet'!$B$11,Paramètres!$A$1:$I$89,3,0)*0.475*44/12</f>
        <v>15.346743993262084</v>
      </c>
      <c r="BQ105" s="21">
        <f>EXP(-LN(2)/25)*BQ104+(1-EXP(-LN(2)/25))/(LN(2)/25)*Calculateur!BL105*Calculateur!BN105*VLOOKUP('Données projet'!$B$11,Paramètres!$A$1:$I$89,3,0)*0.475*44/12</f>
        <v>35.527939828006282</v>
      </c>
      <c r="BR105" s="21">
        <f>EXP(-LN(2)/2)*BR104+(1-EXP(-LN(2)/2))/(LN(2)/2)*BL105*BO105*VLOOKUP('Données projet'!$B$11,Paramètres!$A$1:$I$89,3,0)*0.475*44/12</f>
        <v>0.50454733801584728</v>
      </c>
      <c r="BS105" s="22">
        <f t="shared" si="63"/>
        <v>51.37923115928421</v>
      </c>
      <c r="BT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0</v>
      </c>
      <c r="BY105" s="12">
        <f>IF('Données projet'!$A$114&gt;35,BY104+BX105-CG104,IF(A105&lt;'Données projet'!$A$114,$BV$205^A105,IF(A105='Données projet'!$A$114,'Données projet'!$B$114,BY104+BX105-CG104)))</f>
        <v>0</v>
      </c>
      <c r="BZ105" s="13" t="e">
        <f>BY105*VLOOKUP('Données projet'!$B$12,Paramètres!$A$1:$I$89,3,0)*VLOOKUP('Données projet'!$B$12,Paramètres!$A$1:$I$89,5,0)</f>
        <v>#N/A</v>
      </c>
      <c r="CA105" s="13" t="e">
        <f t="shared" si="93"/>
        <v>#N/A</v>
      </c>
      <c r="CB105" s="20" t="e">
        <f t="shared" si="64"/>
        <v>#N/A</v>
      </c>
      <c r="CC105" s="59" t="e">
        <f t="shared" si="65"/>
        <v>#N/A</v>
      </c>
      <c r="CD105" s="59" t="e">
        <f ca="1">AVERAGE(OFFSET($CC$3,0,0,'Données projet'!$E$12+1,1))-AVERAGE(OFFSET($H$3,0,0,'Données projet'!$E$12+1,1))</f>
        <v>#N/A</v>
      </c>
      <c r="CE105" s="59" t="e">
        <f t="shared" si="94"/>
        <v>#N/A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 t="e">
        <f>EXP(-LN(2)/35)*CK104+(1-EXP(-LN(2)/35))/(LN(2)/35)*CG105*CH105*VLOOKUP('Données projet'!$B$12,Paramètres!$A$1:$I$89,3,0)*0.475*44/12</f>
        <v>#N/A</v>
      </c>
      <c r="CL105" s="21" t="e">
        <f>EXP(-LN(2)/25)*CL104+(1-EXP(-LN(2)/25))/(LN(2)/25)*Calculateur!CG105*Calculateur!CI105*VLOOKUP('Données projet'!$B$12,Paramètres!$A$1:$I$89,3,0)*0.475*44/12</f>
        <v>#N/A</v>
      </c>
      <c r="CM105" s="21" t="e">
        <f>EXP(-LN(2)/2)*CM104+(1-EXP(-LN(2)/2))/(LN(2)/2)*CG105*CJ105*VLOOKUP('Données projet'!$B$12,Paramètres!$A$1:$I$89,3,0)*0.475*44/12</f>
        <v>#N/A</v>
      </c>
      <c r="CN105" s="22" t="e">
        <f t="shared" si="66"/>
        <v>#N/A</v>
      </c>
      <c r="CO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0</v>
      </c>
      <c r="CU105" s="17" t="e">
        <f>CT105*VLOOKUP('Données projet'!$B$13,Paramètres!$A$1:$I$89,3,0)*VLOOKUP('Données projet'!$B$13,Paramètres!$A$1:$I$89,5,0)</f>
        <v>#N/A</v>
      </c>
      <c r="CV105" s="13" t="e">
        <f t="shared" si="95"/>
        <v>#N/A</v>
      </c>
      <c r="CW105" s="20" t="e">
        <f t="shared" si="67"/>
        <v>#N/A</v>
      </c>
      <c r="CX105" s="59" t="e">
        <f t="shared" si="68"/>
        <v>#N/A</v>
      </c>
      <c r="CY105" s="59" t="e">
        <f ca="1">AVERAGE(OFFSET($CX$3,0,0,'Données projet'!$E$13+1,1))-AVERAGE(OFFSET($H$3,0,0,'Données projet'!$E$13+1,1))</f>
        <v>#N/A</v>
      </c>
      <c r="CZ105" s="59" t="e">
        <f t="shared" si="96"/>
        <v>#N/A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 t="e">
        <f>EXP(-LN(2)/35)*DF104+(1-EXP(-LN(2)/35))/(LN(2)/35)*DB105*DC105*VLOOKUP('Données projet'!$B$13,Paramètres!$A$1:$I$89,3,0)*0.475*44/12</f>
        <v>#N/A</v>
      </c>
      <c r="DG105" s="21" t="e">
        <f>EXP(-LN(2)/25)*DG104+(1-EXP(-LN(2)/25))/(LN(2)/25)*Calculateur!DB105*Calculateur!DD105*VLOOKUP('Données projet'!$B$13,Paramètres!$A$1:$I$89,3,0)*0.475*44/12</f>
        <v>#N/A</v>
      </c>
      <c r="DH105" s="21" t="e">
        <f>EXP(-LN(2)/2)*DH104+(1-EXP(-LN(2)/2))/(LN(2)/2)*DB105*DE105*VLOOKUP('Données projet'!$B$13,Paramètres!$A$1:$I$89,3,0)*0.475*44/12</f>
        <v>#N/A</v>
      </c>
      <c r="DI105" s="22" t="e">
        <f t="shared" si="69"/>
        <v>#N/A</v>
      </c>
      <c r="DJ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0</v>
      </c>
      <c r="DP105" s="17" t="e">
        <f>DO105*VLOOKUP('Données projet'!$B$14,Paramètres!$A$1:$I$89,3,0)*VLOOKUP('Données projet'!$B$14,Paramètres!$A$1:$I$89,5,0)</f>
        <v>#N/A</v>
      </c>
      <c r="DQ105" s="13" t="e">
        <f t="shared" si="97"/>
        <v>#N/A</v>
      </c>
      <c r="DR105" s="20" t="e">
        <f t="shared" si="70"/>
        <v>#N/A</v>
      </c>
      <c r="DS105" s="59" t="e">
        <f t="shared" si="71"/>
        <v>#N/A</v>
      </c>
      <c r="DT105" s="59" t="e">
        <f ca="1">AVERAGE(OFFSET($DS$3,0,0,'Données projet'!$E$14+1,1))-AVERAGE(OFFSET($H$3,0,0,'Données projet'!$E$14+1,1))</f>
        <v>#N/A</v>
      </c>
      <c r="DU105" s="59" t="e">
        <f t="shared" si="98"/>
        <v>#N/A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 t="e">
        <f>EXP(-LN(2)/35)*EA104+(1-EXP(-LN(2)/35))/(LN(2)/35)*DW105*DX105*VLOOKUP('Données projet'!$B$14,Paramètres!$A$1:$I$89,3,0)*0.475*44/12</f>
        <v>#N/A</v>
      </c>
      <c r="EB105" s="21" t="e">
        <f>EXP(-LN(2)/25)*EB104+(1-EXP(-LN(2)/25))/(LN(2)/25)*Calculateur!DW105*Calculateur!DY105*VLOOKUP('Données projet'!$B$14,Paramètres!$A$1:$I$89,3,0)*0.475*44/12</f>
        <v>#N/A</v>
      </c>
      <c r="EC105" s="21" t="e">
        <f>EXP(-LN(2)/2)*EC104+(1-EXP(-LN(2)/2))/(LN(2)/2)*DW105*DZ105*VLOOKUP('Données projet'!$B$14,Paramètres!$A$1:$I$89,3,0)*0.475*44/12</f>
        <v>#N/A</v>
      </c>
      <c r="ED105" s="22" t="e">
        <f t="shared" si="72"/>
        <v>#N/A</v>
      </c>
      <c r="EE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0</v>
      </c>
      <c r="EK105" s="17" t="e">
        <f>EJ105*VLOOKUP('Données projet'!$B$15,Paramètres!$A$1:$I$89,3,0)*VLOOKUP('Données projet'!$B$15,Paramètres!$A$1:$I$89,5,0)</f>
        <v>#N/A</v>
      </c>
      <c r="EL105" s="13" t="e">
        <f t="shared" si="99"/>
        <v>#N/A</v>
      </c>
      <c r="EM105" s="20" t="e">
        <f t="shared" si="73"/>
        <v>#N/A</v>
      </c>
      <c r="EN105" s="59" t="e">
        <f t="shared" si="74"/>
        <v>#N/A</v>
      </c>
      <c r="EO105" s="59" t="e">
        <f ca="1">AVERAGE(OFFSET($EN$3,0,0,'Données projet'!$E$15+1,1))-AVERAGE(OFFSET($H$3,0,0,'Données projet'!$E$15+1,1))</f>
        <v>#N/A</v>
      </c>
      <c r="EP105" s="59" t="e">
        <f t="shared" si="100"/>
        <v>#N/A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 t="e">
        <f>EXP(-LN(2)/35)*EV104+(1-EXP(-LN(2)/35))/(LN(2)/35)*ER105*ES105*VLOOKUP('Données projet'!$B$15,Paramètres!$A$1:$I$89,3,0)*0.475*44/12</f>
        <v>#N/A</v>
      </c>
      <c r="EW105" s="21" t="e">
        <f>EXP(-LN(2)/25)*EW104+(1-EXP(-LN(2)/25))/(LN(2)/25)*Calculateur!ER105*Calculateur!ET105*VLOOKUP('Données projet'!$B$15,Paramètres!$A$1:$I$89,3,0)*0.475*44/12</f>
        <v>#N/A</v>
      </c>
      <c r="EX105" s="21" t="e">
        <f>EXP(-LN(2)/2)*EX104+(1-EXP(-LN(2)/2))/(LN(2)/2)*ER105*EU105*VLOOKUP('Données projet'!$B$15,Paramètres!$A$1:$I$89,3,0)*0.475*44/12</f>
        <v>#N/A</v>
      </c>
      <c r="EY105" s="22" t="e">
        <f t="shared" si="75"/>
        <v>#N/A</v>
      </c>
      <c r="EZ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9" t="e">
        <f t="shared" si="77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45">
      <c r="A106" s="10">
        <f t="shared" si="85"/>
        <v>103</v>
      </c>
      <c r="B106" s="73">
        <f>'Scénario référence'!$B$16*5+'Scénario référence'!$B$17*0+'Scénario référence'!$B$18*5</f>
        <v>0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91.587600000000151</v>
      </c>
      <c r="D106" s="11">
        <f t="shared" si="86"/>
        <v>24.947725347033305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">
        <f>IF(OR('Scénario référence'!$F$8&gt;0,'Scénario référence'!$F$9&gt;0),('Scénario référence'!$F$8+'Scénario référence'!$F$9)*10,0)</f>
        <v>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899.5709325034162</v>
      </c>
      <c r="H106" s="67">
        <f t="shared" si="56"/>
        <v>459.63235831274994</v>
      </c>
      <c r="I106" s="7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5.6049999999999995</v>
      </c>
      <c r="N106" s="13">
        <f>IF('Données projet'!$A$36&gt;35,N105+M106-V105,IF(A106&lt;'Données projet'!$A$36,$K$205^A106,IF(A106='Données projet'!$A$36,'Données projet'!$B$36,N105+M106-V105)))</f>
        <v>474.81499999999983</v>
      </c>
      <c r="O106" s="13">
        <f>N106*VLOOKUP('Données projet'!$B$9,Paramètres!$A$1:$I$89,3,0)*VLOOKUP('Données projet'!$B$9,Paramètres!$A$1:$I$89,5,0)</f>
        <v>265.42158499999994</v>
      </c>
      <c r="P106" s="13">
        <f t="shared" si="87"/>
        <v>63.876649038155144</v>
      </c>
      <c r="Q106" s="20">
        <f t="shared" si="107"/>
        <v>573.52775761645341</v>
      </c>
      <c r="R106" s="59">
        <f t="shared" si="55"/>
        <v>866.86109094978679</v>
      </c>
      <c r="S106" s="59">
        <f ca="1">AVERAGE(OFFSET($R$3,0,0,'Données projet'!$E$9+1,1))-AVERAGE(OFFSET($H$3,0,0,'Données projet'!$E$9+1,1))</f>
        <v>280.69347314340195</v>
      </c>
      <c r="T106" s="59">
        <f t="shared" si="88"/>
        <v>152.40533828556482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53.483272070548644</v>
      </c>
      <c r="AA106" s="21">
        <f>EXP(-LN(2)/25)*AA105+(1-EXP(-LN(2)/25))/(LN(2)/25)*Calculateur!V106*Calculateur!X106*VLOOKUP('Données projet'!$B$9,Paramètres!$A$1:$I$89,3,0)*0.475*44/12</f>
        <v>17.64551760476316</v>
      </c>
      <c r="AB106" s="21">
        <f>EXP(-LN(2)/2)*AB105+(1-EXP(-LN(2)/2))/(LN(2)/2)*V106*Y106*VLOOKUP('Données projet'!$B$9,Paramètres!$A$1:$I$89,3,0)*0.475*44/12</f>
        <v>0.84454679365037133</v>
      </c>
      <c r="AC106" s="22">
        <f t="shared" si="57"/>
        <v>71.973336468962174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0</v>
      </c>
      <c r="AI106" s="13">
        <f>IF('Données projet'!$A$62&gt;35,AI105+AH106-AQ105,IF(A106&lt;'Données projet'!$A$62,$AF$205^A106,IF(A106='Données projet'!$A$62,'Données projet'!$B$62,AI105+AH106-AQ105)))</f>
        <v>0</v>
      </c>
      <c r="AJ106" s="13">
        <f>AI106*VLOOKUP('Données projet'!$B$10,Paramètres!$A$1:$I$89,3,0)*VLOOKUP('Données projet'!$B$10,Paramètres!$A$1:$I$89,5,0)</f>
        <v>0</v>
      </c>
      <c r="AK106" s="13" t="e">
        <f t="shared" si="89"/>
        <v>#NUM!</v>
      </c>
      <c r="AL106" s="20" t="e">
        <f t="shared" si="58"/>
        <v>#NUM!</v>
      </c>
      <c r="AM106" s="59" t="e">
        <f t="shared" si="59"/>
        <v>#NUM!</v>
      </c>
      <c r="AN106" s="59">
        <f ca="1">AVERAGE(OFFSET($AM$3,0,0,'Données projet'!$E$10+1,1))-AVERAGE(OFFSET($H$3,0,0,'Données projet'!$E$10+1,1))</f>
        <v>179.4725256147085</v>
      </c>
      <c r="AO106" s="59">
        <f t="shared" si="90"/>
        <v>282.16750121151176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61.61538036393317</v>
      </c>
      <c r="AV106" s="21">
        <f>EXP(-LN(2)/25)*AV105+(1-EXP(-LN(2)/25))/(LN(2)/25)*Calculateur!AQ106*Calculateur!AS106*VLOOKUP('Données projet'!$B$10,Paramètres!$A$1:$I$89,3,0)*0.475*44/12</f>
        <v>14.83227824556967</v>
      </c>
      <c r="AW106" s="21">
        <f>EXP(-LN(2)/2)*AW105+(1-EXP(-LN(2)/2))/(LN(2)/2)*AQ106*AT106*VLOOKUP('Données projet'!$B$10,Paramètres!$A$1:$I$89,3,0)*0.475*44/12</f>
        <v>1.4539111015643817E-5</v>
      </c>
      <c r="AX106" s="21">
        <f t="shared" si="60"/>
        <v>76.447673148613859</v>
      </c>
      <c r="AY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9.2583333333333311</v>
      </c>
      <c r="BD106" s="12">
        <f>IF('Données projet'!$A$88&gt;35,BD105+BC106-BL105,IF(A106&lt;'Données projet'!$A$88,$BA$205^A106,IF(A106='Données projet'!$A$88,'Données projet'!$B$88,BD105+BC106-BL105)))</f>
        <v>345.4433333333339</v>
      </c>
      <c r="BE106" s="13">
        <f>BD106*VLOOKUP('Données projet'!$B$11,Paramètres!$A$1:$I$89,3,0)*VLOOKUP('Données projet'!$B$11,Paramètres!$A$1:$I$89,5,0)</f>
        <v>296.3903800000005</v>
      </c>
      <c r="BF106" s="13">
        <f t="shared" si="91"/>
        <v>70.419216186784695</v>
      </c>
      <c r="BG106" s="20">
        <f t="shared" si="61"/>
        <v>638.86004669198417</v>
      </c>
      <c r="BH106" s="59">
        <f t="shared" si="62"/>
        <v>932.19338002531754</v>
      </c>
      <c r="BI106" s="59">
        <f ca="1">AVERAGE(OFFSET($BH$3,0,0,'Données projet'!$E$11+1,1))-AVERAGE(OFFSET($H$3,0,0,'Données projet'!$E$11+1,1))</f>
        <v>312.89478437044261</v>
      </c>
      <c r="BJ106" s="59">
        <f t="shared" si="92"/>
        <v>276.16555507854571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>
        <f>EXP(-LN(2)/35)*BP105+(1-EXP(-LN(2)/35))/(LN(2)/35)*BL106*BM106*VLOOKUP('Données projet'!$B$11,Paramètres!$A$1:$I$89,3,0)*0.475*44/12</f>
        <v>15.045803704143768</v>
      </c>
      <c r="BQ106" s="21">
        <f>EXP(-LN(2)/25)*BQ105+(1-EXP(-LN(2)/25))/(LN(2)/25)*Calculateur!BL106*Calculateur!BN106*VLOOKUP('Données projet'!$B$11,Paramètres!$A$1:$I$89,3,0)*0.475*44/12</f>
        <v>34.556426445076298</v>
      </c>
      <c r="BR106" s="21">
        <f>EXP(-LN(2)/2)*BR105+(1-EXP(-LN(2)/2))/(LN(2)/2)*BL106*BO106*VLOOKUP('Données projet'!$B$11,Paramètres!$A$1:$I$89,3,0)*0.475*44/12</f>
        <v>0.35676884414062676</v>
      </c>
      <c r="BS106" s="22">
        <f t="shared" si="63"/>
        <v>49.958998993360687</v>
      </c>
      <c r="BT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0</v>
      </c>
      <c r="BY106" s="12">
        <f>IF('Données projet'!$A$114&gt;35,BY105+BX106-CG105,IF(A106&lt;'Données projet'!$A$114,$BV$205^A106,IF(A106='Données projet'!$A$114,'Données projet'!$B$114,BY105+BX106-CG105)))</f>
        <v>0</v>
      </c>
      <c r="BZ106" s="13" t="e">
        <f>BY106*VLOOKUP('Données projet'!$B$12,Paramètres!$A$1:$I$89,3,0)*VLOOKUP('Données projet'!$B$12,Paramètres!$A$1:$I$89,5,0)</f>
        <v>#N/A</v>
      </c>
      <c r="CA106" s="13" t="e">
        <f t="shared" si="93"/>
        <v>#N/A</v>
      </c>
      <c r="CB106" s="20" t="e">
        <f t="shared" si="64"/>
        <v>#N/A</v>
      </c>
      <c r="CC106" s="59" t="e">
        <f t="shared" si="65"/>
        <v>#N/A</v>
      </c>
      <c r="CD106" s="59" t="e">
        <f ca="1">AVERAGE(OFFSET($CC$3,0,0,'Données projet'!$E$12+1,1))-AVERAGE(OFFSET($H$3,0,0,'Données projet'!$E$12+1,1))</f>
        <v>#N/A</v>
      </c>
      <c r="CE106" s="59" t="e">
        <f t="shared" si="94"/>
        <v>#N/A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 t="e">
        <f>EXP(-LN(2)/35)*CK105+(1-EXP(-LN(2)/35))/(LN(2)/35)*CG106*CH106*VLOOKUP('Données projet'!$B$12,Paramètres!$A$1:$I$89,3,0)*0.475*44/12</f>
        <v>#N/A</v>
      </c>
      <c r="CL106" s="21" t="e">
        <f>EXP(-LN(2)/25)*CL105+(1-EXP(-LN(2)/25))/(LN(2)/25)*Calculateur!CG106*Calculateur!CI106*VLOOKUP('Données projet'!$B$12,Paramètres!$A$1:$I$89,3,0)*0.475*44/12</f>
        <v>#N/A</v>
      </c>
      <c r="CM106" s="21" t="e">
        <f>EXP(-LN(2)/2)*CM105+(1-EXP(-LN(2)/2))/(LN(2)/2)*CG106*CJ106*VLOOKUP('Données projet'!$B$12,Paramètres!$A$1:$I$89,3,0)*0.475*44/12</f>
        <v>#N/A</v>
      </c>
      <c r="CN106" s="22" t="e">
        <f t="shared" si="66"/>
        <v>#N/A</v>
      </c>
      <c r="CO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0</v>
      </c>
      <c r="CU106" s="17" t="e">
        <f>CT106*VLOOKUP('Données projet'!$B$13,Paramètres!$A$1:$I$89,3,0)*VLOOKUP('Données projet'!$B$13,Paramètres!$A$1:$I$89,5,0)</f>
        <v>#N/A</v>
      </c>
      <c r="CV106" s="13" t="e">
        <f t="shared" si="95"/>
        <v>#N/A</v>
      </c>
      <c r="CW106" s="20" t="e">
        <f t="shared" si="67"/>
        <v>#N/A</v>
      </c>
      <c r="CX106" s="59" t="e">
        <f t="shared" si="68"/>
        <v>#N/A</v>
      </c>
      <c r="CY106" s="59" t="e">
        <f ca="1">AVERAGE(OFFSET($CX$3,0,0,'Données projet'!$E$13+1,1))-AVERAGE(OFFSET($H$3,0,0,'Données projet'!$E$13+1,1))</f>
        <v>#N/A</v>
      </c>
      <c r="CZ106" s="59" t="e">
        <f t="shared" si="96"/>
        <v>#N/A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 t="e">
        <f>EXP(-LN(2)/35)*DF105+(1-EXP(-LN(2)/35))/(LN(2)/35)*DB106*DC106*VLOOKUP('Données projet'!$B$13,Paramètres!$A$1:$I$89,3,0)*0.475*44/12</f>
        <v>#N/A</v>
      </c>
      <c r="DG106" s="21" t="e">
        <f>EXP(-LN(2)/25)*DG105+(1-EXP(-LN(2)/25))/(LN(2)/25)*Calculateur!DB106*Calculateur!DD106*VLOOKUP('Données projet'!$B$13,Paramètres!$A$1:$I$89,3,0)*0.475*44/12</f>
        <v>#N/A</v>
      </c>
      <c r="DH106" s="21" t="e">
        <f>EXP(-LN(2)/2)*DH105+(1-EXP(-LN(2)/2))/(LN(2)/2)*DB106*DE106*VLOOKUP('Données projet'!$B$13,Paramètres!$A$1:$I$89,3,0)*0.475*44/12</f>
        <v>#N/A</v>
      </c>
      <c r="DI106" s="22" t="e">
        <f t="shared" si="69"/>
        <v>#N/A</v>
      </c>
      <c r="DJ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0</v>
      </c>
      <c r="DP106" s="17" t="e">
        <f>DO106*VLOOKUP('Données projet'!$B$14,Paramètres!$A$1:$I$89,3,0)*VLOOKUP('Données projet'!$B$14,Paramètres!$A$1:$I$89,5,0)</f>
        <v>#N/A</v>
      </c>
      <c r="DQ106" s="13" t="e">
        <f t="shared" si="97"/>
        <v>#N/A</v>
      </c>
      <c r="DR106" s="20" t="e">
        <f t="shared" si="70"/>
        <v>#N/A</v>
      </c>
      <c r="DS106" s="59" t="e">
        <f t="shared" si="71"/>
        <v>#N/A</v>
      </c>
      <c r="DT106" s="59" t="e">
        <f ca="1">AVERAGE(OFFSET($DS$3,0,0,'Données projet'!$E$14+1,1))-AVERAGE(OFFSET($H$3,0,0,'Données projet'!$E$14+1,1))</f>
        <v>#N/A</v>
      </c>
      <c r="DU106" s="59" t="e">
        <f t="shared" si="98"/>
        <v>#N/A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 t="e">
        <f>EXP(-LN(2)/35)*EA105+(1-EXP(-LN(2)/35))/(LN(2)/35)*DW106*DX106*VLOOKUP('Données projet'!$B$14,Paramètres!$A$1:$I$89,3,0)*0.475*44/12</f>
        <v>#N/A</v>
      </c>
      <c r="EB106" s="21" t="e">
        <f>EXP(-LN(2)/25)*EB105+(1-EXP(-LN(2)/25))/(LN(2)/25)*Calculateur!DW106*Calculateur!DY106*VLOOKUP('Données projet'!$B$14,Paramètres!$A$1:$I$89,3,0)*0.475*44/12</f>
        <v>#N/A</v>
      </c>
      <c r="EC106" s="21" t="e">
        <f>EXP(-LN(2)/2)*EC105+(1-EXP(-LN(2)/2))/(LN(2)/2)*DW106*DZ106*VLOOKUP('Données projet'!$B$14,Paramètres!$A$1:$I$89,3,0)*0.475*44/12</f>
        <v>#N/A</v>
      </c>
      <c r="ED106" s="22" t="e">
        <f t="shared" si="72"/>
        <v>#N/A</v>
      </c>
      <c r="EE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0</v>
      </c>
      <c r="EK106" s="17" t="e">
        <f>EJ106*VLOOKUP('Données projet'!$B$15,Paramètres!$A$1:$I$89,3,0)*VLOOKUP('Données projet'!$B$15,Paramètres!$A$1:$I$89,5,0)</f>
        <v>#N/A</v>
      </c>
      <c r="EL106" s="13" t="e">
        <f t="shared" si="99"/>
        <v>#N/A</v>
      </c>
      <c r="EM106" s="20" t="e">
        <f t="shared" si="73"/>
        <v>#N/A</v>
      </c>
      <c r="EN106" s="59" t="e">
        <f t="shared" si="74"/>
        <v>#N/A</v>
      </c>
      <c r="EO106" s="59" t="e">
        <f ca="1">AVERAGE(OFFSET($EN$3,0,0,'Données projet'!$E$15+1,1))-AVERAGE(OFFSET($H$3,0,0,'Données projet'!$E$15+1,1))</f>
        <v>#N/A</v>
      </c>
      <c r="EP106" s="59" t="e">
        <f t="shared" si="100"/>
        <v>#N/A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 t="e">
        <f>EXP(-LN(2)/35)*EV105+(1-EXP(-LN(2)/35))/(LN(2)/35)*ER106*ES106*VLOOKUP('Données projet'!$B$15,Paramètres!$A$1:$I$89,3,0)*0.475*44/12</f>
        <v>#N/A</v>
      </c>
      <c r="EW106" s="21" t="e">
        <f>EXP(-LN(2)/25)*EW105+(1-EXP(-LN(2)/25))/(LN(2)/25)*Calculateur!ER106*Calculateur!ET106*VLOOKUP('Données projet'!$B$15,Paramètres!$A$1:$I$89,3,0)*0.475*44/12</f>
        <v>#N/A</v>
      </c>
      <c r="EX106" s="21" t="e">
        <f>EXP(-LN(2)/2)*EX105+(1-EXP(-LN(2)/2))/(LN(2)/2)*ER106*EU106*VLOOKUP('Données projet'!$B$15,Paramètres!$A$1:$I$89,3,0)*0.475*44/12</f>
        <v>#N/A</v>
      </c>
      <c r="EY106" s="22" t="e">
        <f t="shared" si="75"/>
        <v>#N/A</v>
      </c>
      <c r="EZ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9" t="e">
        <f t="shared" si="77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45">
      <c r="A107" s="10">
        <f t="shared" si="85"/>
        <v>104</v>
      </c>
      <c r="B107" s="73">
        <f>'Scénario référence'!$B$16*5+'Scénario référence'!$B$17*0+'Scénario référence'!$B$18*5</f>
        <v>0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92.476800000000154</v>
      </c>
      <c r="D107" s="11">
        <f t="shared" si="86"/>
        <v>25.161622425346469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">
        <f>IF(OR('Scénario référence'!$F$8&gt;0,'Scénario référence'!$F$9&gt;0),('Scénario référence'!$F$8+'Scénario référence'!$F$9)*10,0)</f>
        <v>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908.08606784478104</v>
      </c>
      <c r="H107" s="67">
        <f t="shared" si="56"/>
        <v>461.55358572414536</v>
      </c>
      <c r="I107" s="7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5.6049999999999995</v>
      </c>
      <c r="N107" s="13">
        <f>IF('Données projet'!$A$36&gt;35,N106+M107-V106,IF(A107&lt;'Données projet'!$A$36,$K$205^A107,IF(A107='Données projet'!$A$36,'Données projet'!$B$36,N106+M107-V106)))</f>
        <v>480.41999999999985</v>
      </c>
      <c r="O107" s="13">
        <f>N107*VLOOKUP('Données projet'!$B$9,Paramètres!$A$1:$I$89,3,0)*VLOOKUP('Données projet'!$B$9,Paramètres!$A$1:$I$89,5,0)</f>
        <v>268.55477999999988</v>
      </c>
      <c r="P107" s="13">
        <f t="shared" si="87"/>
        <v>64.542461389502265</v>
      </c>
      <c r="Q107" s="20">
        <f t="shared" si="107"/>
        <v>580.14436208671611</v>
      </c>
      <c r="R107" s="59">
        <f t="shared" si="55"/>
        <v>873.47769542004949</v>
      </c>
      <c r="S107" s="59">
        <f ca="1">AVERAGE(OFFSET($R$3,0,0,'Données projet'!$E$9+1,1))-AVERAGE(OFFSET($H$3,0,0,'Données projet'!$E$9+1,1))</f>
        <v>280.69347314340195</v>
      </c>
      <c r="T107" s="59">
        <f t="shared" si="88"/>
        <v>152.40533828556482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52.434497726820034</v>
      </c>
      <c r="AA107" s="21">
        <f>EXP(-LN(2)/25)*AA106+(1-EXP(-LN(2)/25))/(LN(2)/25)*Calculateur!V107*Calculateur!X107*VLOOKUP('Données projet'!$B$9,Paramètres!$A$1:$I$89,3,0)*0.475*44/12</f>
        <v>17.162999997923471</v>
      </c>
      <c r="AB107" s="21">
        <f>EXP(-LN(2)/2)*AB106+(1-EXP(-LN(2)/2))/(LN(2)/2)*V107*Y107*VLOOKUP('Données projet'!$B$9,Paramètres!$A$1:$I$89,3,0)*0.475*44/12</f>
        <v>0.59718476481953342</v>
      </c>
      <c r="AC107" s="22">
        <f t="shared" si="57"/>
        <v>70.194682489563036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0</v>
      </c>
      <c r="AI107" s="13">
        <f>IF('Données projet'!$A$62&gt;35,AI106+AH107-AQ106,IF(A107&lt;'Données projet'!$A$62,$AF$205^A107,IF(A107='Données projet'!$A$62,'Données projet'!$B$62,AI106+AH107-AQ106)))</f>
        <v>0</v>
      </c>
      <c r="AJ107" s="13">
        <f>AI107*VLOOKUP('Données projet'!$B$10,Paramètres!$A$1:$I$89,3,0)*VLOOKUP('Données projet'!$B$10,Paramètres!$A$1:$I$89,5,0)</f>
        <v>0</v>
      </c>
      <c r="AK107" s="13" t="e">
        <f t="shared" si="89"/>
        <v>#NUM!</v>
      </c>
      <c r="AL107" s="20" t="e">
        <f t="shared" si="58"/>
        <v>#NUM!</v>
      </c>
      <c r="AM107" s="59" t="e">
        <f t="shared" si="59"/>
        <v>#NUM!</v>
      </c>
      <c r="AN107" s="59">
        <f ca="1">AVERAGE(OFFSET($AM$3,0,0,'Données projet'!$E$10+1,1))-AVERAGE(OFFSET($H$3,0,0,'Données projet'!$E$10+1,1))</f>
        <v>179.4725256147085</v>
      </c>
      <c r="AO107" s="59">
        <f t="shared" si="90"/>
        <v>282.16750121151176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60.407140336667581</v>
      </c>
      <c r="AV107" s="21">
        <f>EXP(-LN(2)/25)*AV106+(1-EXP(-LN(2)/25))/(LN(2)/25)*Calculateur!AQ107*Calculateur!AS107*VLOOKUP('Données projet'!$B$10,Paramètres!$A$1:$I$89,3,0)*0.475*44/12</f>
        <v>14.426688816948953</v>
      </c>
      <c r="AW107" s="21">
        <f>EXP(-LN(2)/2)*AW106+(1-EXP(-LN(2)/2))/(LN(2)/2)*AQ107*AT107*VLOOKUP('Données projet'!$B$10,Paramètres!$A$1:$I$89,3,0)*0.475*44/12</f>
        <v>1.0280703991585775E-5</v>
      </c>
      <c r="AX107" s="21">
        <f t="shared" si="60"/>
        <v>74.833839434320524</v>
      </c>
      <c r="AY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9.2583333333333311</v>
      </c>
      <c r="BD107" s="12">
        <f>IF('Données projet'!$A$88&gt;35,BD106+BC107-BL106,IF(A107&lt;'Données projet'!$A$88,$BA$205^A107,IF(A107='Données projet'!$A$88,'Données projet'!$B$88,BD106+BC107-BL106)))</f>
        <v>354.70166666666722</v>
      </c>
      <c r="BE107" s="13">
        <f>BD107*VLOOKUP('Données projet'!$B$11,Paramètres!$A$1:$I$89,3,0)*VLOOKUP('Données projet'!$B$11,Paramètres!$A$1:$I$89,5,0)</f>
        <v>304.3340300000005</v>
      </c>
      <c r="BF107" s="13">
        <f t="shared" si="91"/>
        <v>72.084282776501581</v>
      </c>
      <c r="BG107" s="20">
        <f t="shared" si="61"/>
        <v>655.59522808574116</v>
      </c>
      <c r="BH107" s="59">
        <f t="shared" si="62"/>
        <v>948.92856141907441</v>
      </c>
      <c r="BI107" s="59">
        <f ca="1">AVERAGE(OFFSET($BH$3,0,0,'Données projet'!$E$11+1,1))-AVERAGE(OFFSET($H$3,0,0,'Données projet'!$E$11+1,1))</f>
        <v>312.89478437044261</v>
      </c>
      <c r="BJ107" s="59">
        <f t="shared" si="92"/>
        <v>276.16555507854571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>
        <f>EXP(-LN(2)/35)*BP106+(1-EXP(-LN(2)/35))/(LN(2)/35)*BL107*BM107*VLOOKUP('Données projet'!$B$11,Paramètres!$A$1:$I$89,3,0)*0.475*44/12</f>
        <v>14.750764670539612</v>
      </c>
      <c r="BQ107" s="21">
        <f>EXP(-LN(2)/25)*BQ106+(1-EXP(-LN(2)/25))/(LN(2)/25)*Calculateur!BL107*Calculateur!BN107*VLOOKUP('Données projet'!$B$11,Paramètres!$A$1:$I$89,3,0)*0.475*44/12</f>
        <v>33.611479146692197</v>
      </c>
      <c r="BR107" s="21">
        <f>EXP(-LN(2)/2)*BR106+(1-EXP(-LN(2)/2))/(LN(2)/2)*BL107*BO107*VLOOKUP('Données projet'!$B$11,Paramètres!$A$1:$I$89,3,0)*0.475*44/12</f>
        <v>0.25227366900792364</v>
      </c>
      <c r="BS107" s="22">
        <f t="shared" si="63"/>
        <v>48.614517486239734</v>
      </c>
      <c r="BT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0</v>
      </c>
      <c r="BZ107" s="13" t="e">
        <f>BY107*VLOOKUP('Données projet'!$B$12,Paramètres!$A$1:$I$89,3,0)*VLOOKUP('Données projet'!$B$12,Paramètres!$A$1:$I$89,5,0)</f>
        <v>#N/A</v>
      </c>
      <c r="CA107" s="13" t="e">
        <f t="shared" si="93"/>
        <v>#N/A</v>
      </c>
      <c r="CB107" s="20" t="e">
        <f t="shared" si="64"/>
        <v>#N/A</v>
      </c>
      <c r="CC107" s="59" t="e">
        <f t="shared" si="65"/>
        <v>#N/A</v>
      </c>
      <c r="CD107" s="59" t="e">
        <f ca="1">AVERAGE(OFFSET($CC$3,0,0,'Données projet'!$E$12+1,1))-AVERAGE(OFFSET($H$3,0,0,'Données projet'!$E$12+1,1))</f>
        <v>#N/A</v>
      </c>
      <c r="CE107" s="59" t="e">
        <f t="shared" si="94"/>
        <v>#N/A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 t="e">
        <f>EXP(-LN(2)/35)*CK106+(1-EXP(-LN(2)/35))/(LN(2)/35)*CG107*CH107*VLOOKUP('Données projet'!$B$12,Paramètres!$A$1:$I$89,3,0)*0.475*44/12</f>
        <v>#N/A</v>
      </c>
      <c r="CL107" s="21" t="e">
        <f>EXP(-LN(2)/25)*CL106+(1-EXP(-LN(2)/25))/(LN(2)/25)*Calculateur!CG107*Calculateur!CI107*VLOOKUP('Données projet'!$B$12,Paramètres!$A$1:$I$89,3,0)*0.475*44/12</f>
        <v>#N/A</v>
      </c>
      <c r="CM107" s="21" t="e">
        <f>EXP(-LN(2)/2)*CM106+(1-EXP(-LN(2)/2))/(LN(2)/2)*CG107*CJ107*VLOOKUP('Données projet'!$B$12,Paramètres!$A$1:$I$89,3,0)*0.475*44/12</f>
        <v>#N/A</v>
      </c>
      <c r="CN107" s="22" t="e">
        <f t="shared" si="66"/>
        <v>#N/A</v>
      </c>
      <c r="CO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0</v>
      </c>
      <c r="CU107" s="17" t="e">
        <f>CT107*VLOOKUP('Données projet'!$B$13,Paramètres!$A$1:$I$89,3,0)*VLOOKUP('Données projet'!$B$13,Paramètres!$A$1:$I$89,5,0)</f>
        <v>#N/A</v>
      </c>
      <c r="CV107" s="13" t="e">
        <f t="shared" si="95"/>
        <v>#N/A</v>
      </c>
      <c r="CW107" s="20" t="e">
        <f t="shared" si="67"/>
        <v>#N/A</v>
      </c>
      <c r="CX107" s="59" t="e">
        <f t="shared" si="68"/>
        <v>#N/A</v>
      </c>
      <c r="CY107" s="59" t="e">
        <f ca="1">AVERAGE(OFFSET($CX$3,0,0,'Données projet'!$E$13+1,1))-AVERAGE(OFFSET($H$3,0,0,'Données projet'!$E$13+1,1))</f>
        <v>#N/A</v>
      </c>
      <c r="CZ107" s="59" t="e">
        <f t="shared" si="96"/>
        <v>#N/A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 t="e">
        <f>EXP(-LN(2)/35)*DF106+(1-EXP(-LN(2)/35))/(LN(2)/35)*DB107*DC107*VLOOKUP('Données projet'!$B$13,Paramètres!$A$1:$I$89,3,0)*0.475*44/12</f>
        <v>#N/A</v>
      </c>
      <c r="DG107" s="21" t="e">
        <f>EXP(-LN(2)/25)*DG106+(1-EXP(-LN(2)/25))/(LN(2)/25)*Calculateur!DB107*Calculateur!DD107*VLOOKUP('Données projet'!$B$13,Paramètres!$A$1:$I$89,3,0)*0.475*44/12</f>
        <v>#N/A</v>
      </c>
      <c r="DH107" s="21" t="e">
        <f>EXP(-LN(2)/2)*DH106+(1-EXP(-LN(2)/2))/(LN(2)/2)*DB107*DE107*VLOOKUP('Données projet'!$B$13,Paramètres!$A$1:$I$89,3,0)*0.475*44/12</f>
        <v>#N/A</v>
      </c>
      <c r="DI107" s="22" t="e">
        <f t="shared" si="69"/>
        <v>#N/A</v>
      </c>
      <c r="DJ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0</v>
      </c>
      <c r="DP107" s="17" t="e">
        <f>DO107*VLOOKUP('Données projet'!$B$14,Paramètres!$A$1:$I$89,3,0)*VLOOKUP('Données projet'!$B$14,Paramètres!$A$1:$I$89,5,0)</f>
        <v>#N/A</v>
      </c>
      <c r="DQ107" s="13" t="e">
        <f t="shared" si="97"/>
        <v>#N/A</v>
      </c>
      <c r="DR107" s="20" t="e">
        <f t="shared" si="70"/>
        <v>#N/A</v>
      </c>
      <c r="DS107" s="59" t="e">
        <f t="shared" si="71"/>
        <v>#N/A</v>
      </c>
      <c r="DT107" s="59" t="e">
        <f ca="1">AVERAGE(OFFSET($DS$3,0,0,'Données projet'!$E$14+1,1))-AVERAGE(OFFSET($H$3,0,0,'Données projet'!$E$14+1,1))</f>
        <v>#N/A</v>
      </c>
      <c r="DU107" s="59" t="e">
        <f t="shared" si="98"/>
        <v>#N/A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 t="e">
        <f>EXP(-LN(2)/35)*EA106+(1-EXP(-LN(2)/35))/(LN(2)/35)*DW107*DX107*VLOOKUP('Données projet'!$B$14,Paramètres!$A$1:$I$89,3,0)*0.475*44/12</f>
        <v>#N/A</v>
      </c>
      <c r="EB107" s="21" t="e">
        <f>EXP(-LN(2)/25)*EB106+(1-EXP(-LN(2)/25))/(LN(2)/25)*Calculateur!DW107*Calculateur!DY107*VLOOKUP('Données projet'!$B$14,Paramètres!$A$1:$I$89,3,0)*0.475*44/12</f>
        <v>#N/A</v>
      </c>
      <c r="EC107" s="21" t="e">
        <f>EXP(-LN(2)/2)*EC106+(1-EXP(-LN(2)/2))/(LN(2)/2)*DW107*DZ107*VLOOKUP('Données projet'!$B$14,Paramètres!$A$1:$I$89,3,0)*0.475*44/12</f>
        <v>#N/A</v>
      </c>
      <c r="ED107" s="22" t="e">
        <f t="shared" si="72"/>
        <v>#N/A</v>
      </c>
      <c r="EE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0</v>
      </c>
      <c r="EK107" s="17" t="e">
        <f>EJ107*VLOOKUP('Données projet'!$B$15,Paramètres!$A$1:$I$89,3,0)*VLOOKUP('Données projet'!$B$15,Paramètres!$A$1:$I$89,5,0)</f>
        <v>#N/A</v>
      </c>
      <c r="EL107" s="13" t="e">
        <f t="shared" si="99"/>
        <v>#N/A</v>
      </c>
      <c r="EM107" s="20" t="e">
        <f t="shared" si="73"/>
        <v>#N/A</v>
      </c>
      <c r="EN107" s="59" t="e">
        <f t="shared" si="74"/>
        <v>#N/A</v>
      </c>
      <c r="EO107" s="59" t="e">
        <f ca="1">AVERAGE(OFFSET($EN$3,0,0,'Données projet'!$E$15+1,1))-AVERAGE(OFFSET($H$3,0,0,'Données projet'!$E$15+1,1))</f>
        <v>#N/A</v>
      </c>
      <c r="EP107" s="59" t="e">
        <f t="shared" si="100"/>
        <v>#N/A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 t="e">
        <f>EXP(-LN(2)/35)*EV106+(1-EXP(-LN(2)/35))/(LN(2)/35)*ER107*ES107*VLOOKUP('Données projet'!$B$15,Paramètres!$A$1:$I$89,3,0)*0.475*44/12</f>
        <v>#N/A</v>
      </c>
      <c r="EW107" s="21" t="e">
        <f>EXP(-LN(2)/25)*EW106+(1-EXP(-LN(2)/25))/(LN(2)/25)*Calculateur!ER107*Calculateur!ET107*VLOOKUP('Données projet'!$B$15,Paramètres!$A$1:$I$89,3,0)*0.475*44/12</f>
        <v>#N/A</v>
      </c>
      <c r="EX107" s="21" t="e">
        <f>EXP(-LN(2)/2)*EX106+(1-EXP(-LN(2)/2))/(LN(2)/2)*ER107*EU107*VLOOKUP('Données projet'!$B$15,Paramètres!$A$1:$I$89,3,0)*0.475*44/12</f>
        <v>#N/A</v>
      </c>
      <c r="EY107" s="22" t="e">
        <f t="shared" si="75"/>
        <v>#N/A</v>
      </c>
      <c r="EZ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9" t="e">
        <f t="shared" si="77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45">
      <c r="A108" s="10">
        <f t="shared" si="85"/>
        <v>105</v>
      </c>
      <c r="B108" s="73">
        <f>'Scénario référence'!$B$16*5+'Scénario référence'!$B$17*0+'Scénario référence'!$B$18*5</f>
        <v>0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93.366000000000156</v>
      </c>
      <c r="D108" s="11">
        <f t="shared" si="86"/>
        <v>25.375280233490724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">
        <f>IF(OR('Scénario référence'!$F$8&gt;0,'Scénario référence'!$F$9&gt;0),('Scénario référence'!$F$8+'Scénario référence'!$F$9)*10,0)</f>
        <v>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916.59935618835073</v>
      </c>
      <c r="H108" s="67">
        <f t="shared" si="56"/>
        <v>463.47439640666329</v>
      </c>
      <c r="I108" s="7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5.6049999999999995</v>
      </c>
      <c r="N108" s="13">
        <f>IF('Données projet'!$A$36&gt;35,N107+M108-V107,IF(A108&lt;'Données projet'!$A$36,$K$205^A108,IF(A108='Données projet'!$A$36,'Données projet'!$B$36,N107+M108-V107)))</f>
        <v>486.02499999999986</v>
      </c>
      <c r="O108" s="13">
        <f>N108*VLOOKUP('Données projet'!$B$9,Paramètres!$A$1:$I$89,3,0)*VLOOKUP('Données projet'!$B$9,Paramètres!$A$1:$I$89,5,0)</f>
        <v>271.68797499999994</v>
      </c>
      <c r="P108" s="13">
        <f t="shared" si="87"/>
        <v>65.207370143544097</v>
      </c>
      <c r="Q108" s="20">
        <f t="shared" si="107"/>
        <v>586.75939279167244</v>
      </c>
      <c r="R108" s="59">
        <f t="shared" si="55"/>
        <v>880.09272612500581</v>
      </c>
      <c r="S108" s="59">
        <f ca="1">AVERAGE(OFFSET($R$3,0,0,'Données projet'!$E$9+1,1))-AVERAGE(OFFSET($H$3,0,0,'Données projet'!$E$9+1,1))</f>
        <v>280.69347314340195</v>
      </c>
      <c r="T108" s="59">
        <f t="shared" si="88"/>
        <v>152.40533828556482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51.406289208282757</v>
      </c>
      <c r="AA108" s="21">
        <f>EXP(-LN(2)/25)*AA107+(1-EXP(-LN(2)/25))/(LN(2)/25)*Calculateur!V108*Calculateur!X108*VLOOKUP('Données projet'!$B$9,Paramètres!$A$1:$I$89,3,0)*0.475*44/12</f>
        <v>16.693676860417309</v>
      </c>
      <c r="AB108" s="21">
        <f>EXP(-LN(2)/2)*AB107+(1-EXP(-LN(2)/2))/(LN(2)/2)*V108*Y108*VLOOKUP('Données projet'!$B$9,Paramètres!$A$1:$I$89,3,0)*0.475*44/12</f>
        <v>0.42227339682518567</v>
      </c>
      <c r="AC108" s="22">
        <f t="shared" si="57"/>
        <v>68.52223946552526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0</v>
      </c>
      <c r="AI108" s="13">
        <f>IF('Données projet'!$A$62&gt;35,AI107+AH108-AQ107,IF(A108&lt;'Données projet'!$A$62,$AF$205^A108,IF(A108='Données projet'!$A$62,'Données projet'!$B$62,AI107+AH108-AQ107)))</f>
        <v>0</v>
      </c>
      <c r="AJ108" s="13">
        <f>AI108*VLOOKUP('Données projet'!$B$10,Paramètres!$A$1:$I$89,3,0)*VLOOKUP('Données projet'!$B$10,Paramètres!$A$1:$I$89,5,0)</f>
        <v>0</v>
      </c>
      <c r="AK108" s="13" t="e">
        <f t="shared" si="89"/>
        <v>#NUM!</v>
      </c>
      <c r="AL108" s="20" t="e">
        <f t="shared" si="58"/>
        <v>#NUM!</v>
      </c>
      <c r="AM108" s="59" t="e">
        <f t="shared" si="59"/>
        <v>#NUM!</v>
      </c>
      <c r="AN108" s="59">
        <f ca="1">AVERAGE(OFFSET($AM$3,0,0,'Données projet'!$E$10+1,1))-AVERAGE(OFFSET($H$3,0,0,'Données projet'!$E$10+1,1))</f>
        <v>179.4725256147085</v>
      </c>
      <c r="AO108" s="59">
        <f t="shared" si="90"/>
        <v>282.16750121151176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59.222593159383024</v>
      </c>
      <c r="AV108" s="21">
        <f>EXP(-LN(2)/25)*AV107+(1-EXP(-LN(2)/25))/(LN(2)/25)*Calculateur!AQ108*Calculateur!AS108*VLOOKUP('Données projet'!$B$10,Paramètres!$A$1:$I$89,3,0)*0.475*44/12</f>
        <v>14.032190252582891</v>
      </c>
      <c r="AW108" s="21">
        <f>EXP(-LN(2)/2)*AW107+(1-EXP(-LN(2)/2))/(LN(2)/2)*AQ108*AT108*VLOOKUP('Données projet'!$B$10,Paramètres!$A$1:$I$89,3,0)*0.475*44/12</f>
        <v>7.2695555078219086E-6</v>
      </c>
      <c r="AX108" s="21">
        <f t="shared" si="60"/>
        <v>73.254790681521428</v>
      </c>
      <c r="AY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>
        <f>VLOOKUP(A108,'Données projet'!$A$87:$I$107,2,0)</f>
        <v>363.96</v>
      </c>
      <c r="BB108" s="12">
        <f>VLOOKUP(A108,'Données projet'!$A$87:$I$107,9,0)</f>
        <v>9.2583333333333311</v>
      </c>
      <c r="BC108" s="12">
        <f t="array" ref="BC108">INDEX(BB:BB,MIN(IF(ISNUMBER(BB108:BB304),ROW(BB108:BB304),"")))</f>
        <v>9.2583333333333311</v>
      </c>
      <c r="BD108" s="12">
        <f>IF('Données projet'!$A$88&gt;35,BD107+BC108-BL107,IF(A108&lt;'Données projet'!$A$88,$BA$205^A108,IF(A108='Données projet'!$A$88,'Données projet'!$B$88,BD107+BC108-BL107)))</f>
        <v>363.96000000000055</v>
      </c>
      <c r="BE108" s="13">
        <f>BD108*VLOOKUP('Données projet'!$B$11,Paramètres!$A$1:$I$89,3,0)*VLOOKUP('Données projet'!$B$11,Paramètres!$A$1:$I$89,5,0)</f>
        <v>312.27768000000049</v>
      </c>
      <c r="BF108" s="13">
        <f t="shared" si="91"/>
        <v>73.744297559707078</v>
      </c>
      <c r="BG108" s="20">
        <f t="shared" si="61"/>
        <v>672.32161091649061</v>
      </c>
      <c r="BH108" s="59">
        <f t="shared" si="62"/>
        <v>965.65494424982398</v>
      </c>
      <c r="BI108" s="59">
        <f ca="1">AVERAGE(OFFSET($BH$3,0,0,'Données projet'!$E$11+1,1))-AVERAGE(OFFSET($H$3,0,0,'Données projet'!$E$11+1,1))</f>
        <v>312.89478437044261</v>
      </c>
      <c r="BJ108" s="59">
        <f t="shared" si="92"/>
        <v>276.16555507854571</v>
      </c>
      <c r="BK108" s="15">
        <f>IF(ISNA(VLOOKUP(A108,'Données projet'!$A$87:$I$107,3,0)),0,VLOOKUP(A108,'Données projet'!$A$87:$I$107,3,0))</f>
        <v>6</v>
      </c>
      <c r="BL108" s="15">
        <f>IF(ISNA(VLOOKUP(A108,'Données projet'!$A$87:$I$107,4,0)),0,VLOOKUP(A108,'Données projet'!$A$87:$I$107,4,0))</f>
        <v>83.739999999999952</v>
      </c>
      <c r="BM108" s="16">
        <f>IF(ISNA(VLOOKUP(A108,'Données projet'!$A$87:$I$107,5,0)),0%,VLOOKUP(A108,'Données projet'!$A$87:$I$107,5,0)*VLOOKUP('Données projet'!$B$11,Paramètres!$A$1:$I$89,7,0))</f>
        <v>0.159</v>
      </c>
      <c r="BN108" s="16">
        <f>IF(ISNA(VLOOKUP(A108,'Données projet'!$A$87:$I$107,6,0)),0%,VLOOKUP(A108,'Données projet'!$A$87:$I$107,6,0)*VLOOKUP('Données projet'!$B$11,Paramètres!$A$1:$I$89,7,0))</f>
        <v>0.10600000000000001</v>
      </c>
      <c r="BO108" s="16">
        <f>IF(ISNA(VLOOKUP(A108,'Données projet'!$A$87:$I$107,7,0)),0%,VLOOKUP(A108,'Données projet'!$A$87:$I$107,7,0))</f>
        <v>0.2</v>
      </c>
      <c r="BP108" s="21">
        <f>EXP(-LN(2)/35)*BP107+(1-EXP(-LN(2)/35))/(LN(2)/35)*BL108*BM108*VLOOKUP('Données projet'!$B$11,Paramètres!$A$1:$I$89,3,0)*0.475*44/12</f>
        <v>27.090380777396163</v>
      </c>
      <c r="BQ108" s="21">
        <f>EXP(-LN(2)/25)*BQ107+(1-EXP(-LN(2)/25))/(LN(2)/25)*Calculateur!BL108*Calculateur!BN108*VLOOKUP('Données projet'!$B$11,Paramètres!$A$1:$I$89,3,0)*0.475*44/12</f>
        <v>41.078468104112659</v>
      </c>
      <c r="BR108" s="21">
        <f>EXP(-LN(2)/2)*BR107+(1-EXP(-LN(2)/2))/(LN(2)/2)*BL108*BO108*VLOOKUP('Données projet'!$B$11,Paramètres!$A$1:$I$89,3,0)*0.475*44/12</f>
        <v>13.736662383136181</v>
      </c>
      <c r="BS108" s="22">
        <f t="shared" si="63"/>
        <v>81.905511264645</v>
      </c>
      <c r="BT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0</v>
      </c>
      <c r="BZ108" s="13" t="e">
        <f>BY108*VLOOKUP('Données projet'!$B$12,Paramètres!$A$1:$I$89,3,0)*VLOOKUP('Données projet'!$B$12,Paramètres!$A$1:$I$89,5,0)</f>
        <v>#N/A</v>
      </c>
      <c r="CA108" s="13" t="e">
        <f t="shared" si="93"/>
        <v>#N/A</v>
      </c>
      <c r="CB108" s="20" t="e">
        <f t="shared" si="64"/>
        <v>#N/A</v>
      </c>
      <c r="CC108" s="59" t="e">
        <f t="shared" si="65"/>
        <v>#N/A</v>
      </c>
      <c r="CD108" s="59" t="e">
        <f ca="1">AVERAGE(OFFSET($CC$3,0,0,'Données projet'!$E$12+1,1))-AVERAGE(OFFSET($H$3,0,0,'Données projet'!$E$12+1,1))</f>
        <v>#N/A</v>
      </c>
      <c r="CE108" s="59" t="e">
        <f t="shared" si="94"/>
        <v>#N/A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 t="e">
        <f>EXP(-LN(2)/35)*CK107+(1-EXP(-LN(2)/35))/(LN(2)/35)*CG108*CH108*VLOOKUP('Données projet'!$B$12,Paramètres!$A$1:$I$89,3,0)*0.475*44/12</f>
        <v>#N/A</v>
      </c>
      <c r="CL108" s="21" t="e">
        <f>EXP(-LN(2)/25)*CL107+(1-EXP(-LN(2)/25))/(LN(2)/25)*Calculateur!CG108*Calculateur!CI108*VLOOKUP('Données projet'!$B$12,Paramètres!$A$1:$I$89,3,0)*0.475*44/12</f>
        <v>#N/A</v>
      </c>
      <c r="CM108" s="21" t="e">
        <f>EXP(-LN(2)/2)*CM107+(1-EXP(-LN(2)/2))/(LN(2)/2)*CG108*CJ108*VLOOKUP('Données projet'!$B$12,Paramètres!$A$1:$I$89,3,0)*0.475*44/12</f>
        <v>#N/A</v>
      </c>
      <c r="CN108" s="22" t="e">
        <f t="shared" si="66"/>
        <v>#N/A</v>
      </c>
      <c r="CO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0</v>
      </c>
      <c r="CU108" s="17" t="e">
        <f>CT108*VLOOKUP('Données projet'!$B$13,Paramètres!$A$1:$I$89,3,0)*VLOOKUP('Données projet'!$B$13,Paramètres!$A$1:$I$89,5,0)</f>
        <v>#N/A</v>
      </c>
      <c r="CV108" s="13" t="e">
        <f t="shared" si="95"/>
        <v>#N/A</v>
      </c>
      <c r="CW108" s="20" t="e">
        <f t="shared" si="67"/>
        <v>#N/A</v>
      </c>
      <c r="CX108" s="59" t="e">
        <f t="shared" si="68"/>
        <v>#N/A</v>
      </c>
      <c r="CY108" s="59" t="e">
        <f ca="1">AVERAGE(OFFSET($CX$3,0,0,'Données projet'!$E$13+1,1))-AVERAGE(OFFSET($H$3,0,0,'Données projet'!$E$13+1,1))</f>
        <v>#N/A</v>
      </c>
      <c r="CZ108" s="59" t="e">
        <f t="shared" si="96"/>
        <v>#N/A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 t="e">
        <f>EXP(-LN(2)/35)*DF107+(1-EXP(-LN(2)/35))/(LN(2)/35)*DB108*DC108*VLOOKUP('Données projet'!$B$13,Paramètres!$A$1:$I$89,3,0)*0.475*44/12</f>
        <v>#N/A</v>
      </c>
      <c r="DG108" s="21" t="e">
        <f>EXP(-LN(2)/25)*DG107+(1-EXP(-LN(2)/25))/(LN(2)/25)*Calculateur!DB108*Calculateur!DD108*VLOOKUP('Données projet'!$B$13,Paramètres!$A$1:$I$89,3,0)*0.475*44/12</f>
        <v>#N/A</v>
      </c>
      <c r="DH108" s="21" t="e">
        <f>EXP(-LN(2)/2)*DH107+(1-EXP(-LN(2)/2))/(LN(2)/2)*DB108*DE108*VLOOKUP('Données projet'!$B$13,Paramètres!$A$1:$I$89,3,0)*0.475*44/12</f>
        <v>#N/A</v>
      </c>
      <c r="DI108" s="22" t="e">
        <f t="shared" si="69"/>
        <v>#N/A</v>
      </c>
      <c r="DJ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0</v>
      </c>
      <c r="DP108" s="17" t="e">
        <f>DO108*VLOOKUP('Données projet'!$B$14,Paramètres!$A$1:$I$89,3,0)*VLOOKUP('Données projet'!$B$14,Paramètres!$A$1:$I$89,5,0)</f>
        <v>#N/A</v>
      </c>
      <c r="DQ108" s="13" t="e">
        <f t="shared" si="97"/>
        <v>#N/A</v>
      </c>
      <c r="DR108" s="20" t="e">
        <f t="shared" si="70"/>
        <v>#N/A</v>
      </c>
      <c r="DS108" s="59" t="e">
        <f t="shared" si="71"/>
        <v>#N/A</v>
      </c>
      <c r="DT108" s="59" t="e">
        <f ca="1">AVERAGE(OFFSET($DS$3,0,0,'Données projet'!$E$14+1,1))-AVERAGE(OFFSET($H$3,0,0,'Données projet'!$E$14+1,1))</f>
        <v>#N/A</v>
      </c>
      <c r="DU108" s="59" t="e">
        <f t="shared" si="98"/>
        <v>#N/A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 t="e">
        <f>EXP(-LN(2)/35)*EA107+(1-EXP(-LN(2)/35))/(LN(2)/35)*DW108*DX108*VLOOKUP('Données projet'!$B$14,Paramètres!$A$1:$I$89,3,0)*0.475*44/12</f>
        <v>#N/A</v>
      </c>
      <c r="EB108" s="21" t="e">
        <f>EXP(-LN(2)/25)*EB107+(1-EXP(-LN(2)/25))/(LN(2)/25)*Calculateur!DW108*Calculateur!DY108*VLOOKUP('Données projet'!$B$14,Paramètres!$A$1:$I$89,3,0)*0.475*44/12</f>
        <v>#N/A</v>
      </c>
      <c r="EC108" s="21" t="e">
        <f>EXP(-LN(2)/2)*EC107+(1-EXP(-LN(2)/2))/(LN(2)/2)*DW108*DZ108*VLOOKUP('Données projet'!$B$14,Paramètres!$A$1:$I$89,3,0)*0.475*44/12</f>
        <v>#N/A</v>
      </c>
      <c r="ED108" s="22" t="e">
        <f t="shared" si="72"/>
        <v>#N/A</v>
      </c>
      <c r="EE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0</v>
      </c>
      <c r="EK108" s="17" t="e">
        <f>EJ108*VLOOKUP('Données projet'!$B$15,Paramètres!$A$1:$I$89,3,0)*VLOOKUP('Données projet'!$B$15,Paramètres!$A$1:$I$89,5,0)</f>
        <v>#N/A</v>
      </c>
      <c r="EL108" s="13" t="e">
        <f t="shared" si="99"/>
        <v>#N/A</v>
      </c>
      <c r="EM108" s="20" t="e">
        <f t="shared" si="73"/>
        <v>#N/A</v>
      </c>
      <c r="EN108" s="59" t="e">
        <f t="shared" si="74"/>
        <v>#N/A</v>
      </c>
      <c r="EO108" s="59" t="e">
        <f ca="1">AVERAGE(OFFSET($EN$3,0,0,'Données projet'!$E$15+1,1))-AVERAGE(OFFSET($H$3,0,0,'Données projet'!$E$15+1,1))</f>
        <v>#N/A</v>
      </c>
      <c r="EP108" s="59" t="e">
        <f t="shared" si="100"/>
        <v>#N/A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 t="e">
        <f>EXP(-LN(2)/35)*EV107+(1-EXP(-LN(2)/35))/(LN(2)/35)*ER108*ES108*VLOOKUP('Données projet'!$B$15,Paramètres!$A$1:$I$89,3,0)*0.475*44/12</f>
        <v>#N/A</v>
      </c>
      <c r="EW108" s="21" t="e">
        <f>EXP(-LN(2)/25)*EW107+(1-EXP(-LN(2)/25))/(LN(2)/25)*Calculateur!ER108*Calculateur!ET108*VLOOKUP('Données projet'!$B$15,Paramètres!$A$1:$I$89,3,0)*0.475*44/12</f>
        <v>#N/A</v>
      </c>
      <c r="EX108" s="21" t="e">
        <f>EXP(-LN(2)/2)*EX107+(1-EXP(-LN(2)/2))/(LN(2)/2)*ER108*EU108*VLOOKUP('Données projet'!$B$15,Paramètres!$A$1:$I$89,3,0)*0.475*44/12</f>
        <v>#N/A</v>
      </c>
      <c r="EY108" s="22" t="e">
        <f t="shared" si="75"/>
        <v>#N/A</v>
      </c>
      <c r="EZ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9" t="e">
        <f t="shared" si="77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45">
      <c r="A109" s="10">
        <f t="shared" si="85"/>
        <v>106</v>
      </c>
      <c r="B109" s="73">
        <f>'Scénario référence'!$B$16*5+'Scénario référence'!$B$17*0+'Scénario référence'!$B$18*5</f>
        <v>0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94.255200000000158</v>
      </c>
      <c r="D109" s="11">
        <f t="shared" si="86"/>
        <v>25.588701314145272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">
        <f>IF(OR('Scénario référence'!$F$8&gt;0,'Scénario référence'!$F$9&gt;0),('Scénario référence'!$F$8+'Scénario référence'!$F$9)*10,0)</f>
        <v>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925.11081716182434</v>
      </c>
      <c r="H109" s="67">
        <f t="shared" si="56"/>
        <v>465.39479478880332</v>
      </c>
      <c r="I109" s="7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5.6049999999999995</v>
      </c>
      <c r="N109" s="13">
        <f>IF('Données projet'!$A$36&gt;35,N108+M109-V108,IF(A109&lt;'Données projet'!$A$36,$K$205^A109,IF(A109='Données projet'!$A$36,'Données projet'!$B$36,N108+M109-V108)))</f>
        <v>491.62999999999988</v>
      </c>
      <c r="O109" s="13">
        <f>N109*VLOOKUP('Données projet'!$B$9,Paramètres!$A$1:$I$89,3,0)*VLOOKUP('Données projet'!$B$9,Paramètres!$A$1:$I$89,5,0)</f>
        <v>274.82116999999994</v>
      </c>
      <c r="P109" s="13">
        <f t="shared" si="87"/>
        <v>65.871386926530604</v>
      </c>
      <c r="Q109" s="20">
        <f t="shared" si="107"/>
        <v>593.37286998037405</v>
      </c>
      <c r="R109" s="59">
        <f t="shared" si="55"/>
        <v>886.70620331370742</v>
      </c>
      <c r="S109" s="59">
        <f ca="1">AVERAGE(OFFSET($R$3,0,0,'Données projet'!$E$9+1,1))-AVERAGE(OFFSET($H$3,0,0,'Données projet'!$E$9+1,1))</f>
        <v>280.69347314340195</v>
      </c>
      <c r="T109" s="59">
        <f t="shared" si="88"/>
        <v>152.40533828556482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50.398243231648728</v>
      </c>
      <c r="AA109" s="21">
        <f>EXP(-LN(2)/25)*AA108+(1-EXP(-LN(2)/25))/(LN(2)/25)*Calculateur!V109*Calculateur!X109*VLOOKUP('Données projet'!$B$9,Paramètres!$A$1:$I$89,3,0)*0.475*44/12</f>
        <v>16.237187388786886</v>
      </c>
      <c r="AB109" s="21">
        <f>EXP(-LN(2)/2)*AB108+(1-EXP(-LN(2)/2))/(LN(2)/2)*V109*Y109*VLOOKUP('Données projet'!$B$9,Paramètres!$A$1:$I$89,3,0)*0.475*44/12</f>
        <v>0.29859238240976671</v>
      </c>
      <c r="AC109" s="22">
        <f t="shared" si="57"/>
        <v>66.934023002845379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0</v>
      </c>
      <c r="AI109" s="13">
        <f>IF('Données projet'!$A$62&gt;35,AI108+AH109-AQ108,IF(A109&lt;'Données projet'!$A$62,$AF$205^A109,IF(A109='Données projet'!$A$62,'Données projet'!$B$62,AI108+AH109-AQ108)))</f>
        <v>0</v>
      </c>
      <c r="AJ109" s="13">
        <f>AI109*VLOOKUP('Données projet'!$B$10,Paramètres!$A$1:$I$89,3,0)*VLOOKUP('Données projet'!$B$10,Paramètres!$A$1:$I$89,5,0)</f>
        <v>0</v>
      </c>
      <c r="AK109" s="13" t="e">
        <f t="shared" si="89"/>
        <v>#NUM!</v>
      </c>
      <c r="AL109" s="20" t="e">
        <f t="shared" si="58"/>
        <v>#NUM!</v>
      </c>
      <c r="AM109" s="59" t="e">
        <f t="shared" si="59"/>
        <v>#NUM!</v>
      </c>
      <c r="AN109" s="59">
        <f ca="1">AVERAGE(OFFSET($AM$3,0,0,'Données projet'!$E$10+1,1))-AVERAGE(OFFSET($H$3,0,0,'Données projet'!$E$10+1,1))</f>
        <v>179.4725256147085</v>
      </c>
      <c r="AO109" s="59">
        <f t="shared" si="90"/>
        <v>282.16750121151176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58.06127422974258</v>
      </c>
      <c r="AV109" s="21">
        <f>EXP(-LN(2)/25)*AV108+(1-EXP(-LN(2)/25))/(LN(2)/25)*Calculateur!AQ109*Calculateur!AS109*VLOOKUP('Données projet'!$B$10,Paramètres!$A$1:$I$89,3,0)*0.475*44/12</f>
        <v>13.648479272205197</v>
      </c>
      <c r="AW109" s="21">
        <f>EXP(-LN(2)/2)*AW108+(1-EXP(-LN(2)/2))/(LN(2)/2)*AQ109*AT109*VLOOKUP('Données projet'!$B$10,Paramètres!$A$1:$I$89,3,0)*0.475*44/12</f>
        <v>5.1403519957928876E-6</v>
      </c>
      <c r="AX109" s="21">
        <f t="shared" si="60"/>
        <v>71.709758642299775</v>
      </c>
      <c r="AY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8.4449999999999985</v>
      </c>
      <c r="BD109" s="12">
        <f>IF('Données projet'!$A$88&gt;35,BD108+BC109-BL108,IF(A109&lt;'Données projet'!$A$88,$BA$205^A109,IF(A109='Données projet'!$A$88,'Données projet'!$B$88,BD108+BC109-BL108)))</f>
        <v>288.66500000000059</v>
      </c>
      <c r="BE109" s="13">
        <f>BD109*VLOOKUP('Données projet'!$B$11,Paramètres!$A$1:$I$89,3,0)*VLOOKUP('Données projet'!$B$11,Paramètres!$A$1:$I$89,5,0)</f>
        <v>247.67457000000053</v>
      </c>
      <c r="BF109" s="13">
        <f t="shared" si="91"/>
        <v>60.08771450591631</v>
      </c>
      <c r="BG109" s="20">
        <f t="shared" si="61"/>
        <v>536.0193121811385</v>
      </c>
      <c r="BH109" s="59">
        <f t="shared" si="62"/>
        <v>829.35264551447176</v>
      </c>
      <c r="BI109" s="59">
        <f ca="1">AVERAGE(OFFSET($BH$3,0,0,'Données projet'!$E$11+1,1))-AVERAGE(OFFSET($H$3,0,0,'Données projet'!$E$11+1,1))</f>
        <v>312.89478437044261</v>
      </c>
      <c r="BJ109" s="59">
        <f t="shared" si="92"/>
        <v>276.16555507854571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>
        <f>EXP(-LN(2)/35)*BP108+(1-EXP(-LN(2)/35))/(LN(2)/35)*BL109*BM109*VLOOKUP('Données projet'!$B$11,Paramètres!$A$1:$I$89,3,0)*0.475*44/12</f>
        <v>26.559154933852138</v>
      </c>
      <c r="BQ109" s="21">
        <f>EXP(-LN(2)/25)*BQ108+(1-EXP(-LN(2)/25))/(LN(2)/25)*Calculateur!BL109*Calculateur!BN109*VLOOKUP('Données projet'!$B$11,Paramètres!$A$1:$I$89,3,0)*0.475*44/12</f>
        <v>39.955175233582949</v>
      </c>
      <c r="BR109" s="21">
        <f>EXP(-LN(2)/2)*BR108+(1-EXP(-LN(2)/2))/(LN(2)/2)*BL109*BO109*VLOOKUP('Données projet'!$B$11,Paramètres!$A$1:$I$89,3,0)*0.475*44/12</f>
        <v>9.7132871219857542</v>
      </c>
      <c r="BS109" s="22">
        <f t="shared" si="63"/>
        <v>76.227617289420849</v>
      </c>
      <c r="BT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0</v>
      </c>
      <c r="BZ109" s="13" t="e">
        <f>BY109*VLOOKUP('Données projet'!$B$12,Paramètres!$A$1:$I$89,3,0)*VLOOKUP('Données projet'!$B$12,Paramètres!$A$1:$I$89,5,0)</f>
        <v>#N/A</v>
      </c>
      <c r="CA109" s="13" t="e">
        <f t="shared" si="93"/>
        <v>#N/A</v>
      </c>
      <c r="CB109" s="20" t="e">
        <f t="shared" si="64"/>
        <v>#N/A</v>
      </c>
      <c r="CC109" s="59" t="e">
        <f t="shared" si="65"/>
        <v>#N/A</v>
      </c>
      <c r="CD109" s="59" t="e">
        <f ca="1">AVERAGE(OFFSET($CC$3,0,0,'Données projet'!$E$12+1,1))-AVERAGE(OFFSET($H$3,0,0,'Données projet'!$E$12+1,1))</f>
        <v>#N/A</v>
      </c>
      <c r="CE109" s="59" t="e">
        <f t="shared" si="94"/>
        <v>#N/A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 t="e">
        <f>EXP(-LN(2)/35)*CK108+(1-EXP(-LN(2)/35))/(LN(2)/35)*CG109*CH109*VLOOKUP('Données projet'!$B$12,Paramètres!$A$1:$I$89,3,0)*0.475*44/12</f>
        <v>#N/A</v>
      </c>
      <c r="CL109" s="21" t="e">
        <f>EXP(-LN(2)/25)*CL108+(1-EXP(-LN(2)/25))/(LN(2)/25)*Calculateur!CG109*Calculateur!CI109*VLOOKUP('Données projet'!$B$12,Paramètres!$A$1:$I$89,3,0)*0.475*44/12</f>
        <v>#N/A</v>
      </c>
      <c r="CM109" s="21" t="e">
        <f>EXP(-LN(2)/2)*CM108+(1-EXP(-LN(2)/2))/(LN(2)/2)*CG109*CJ109*VLOOKUP('Données projet'!$B$12,Paramètres!$A$1:$I$89,3,0)*0.475*44/12</f>
        <v>#N/A</v>
      </c>
      <c r="CN109" s="22" t="e">
        <f t="shared" si="66"/>
        <v>#N/A</v>
      </c>
      <c r="CO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0</v>
      </c>
      <c r="CU109" s="17" t="e">
        <f>CT109*VLOOKUP('Données projet'!$B$13,Paramètres!$A$1:$I$89,3,0)*VLOOKUP('Données projet'!$B$13,Paramètres!$A$1:$I$89,5,0)</f>
        <v>#N/A</v>
      </c>
      <c r="CV109" s="13" t="e">
        <f t="shared" si="95"/>
        <v>#N/A</v>
      </c>
      <c r="CW109" s="20" t="e">
        <f t="shared" si="67"/>
        <v>#N/A</v>
      </c>
      <c r="CX109" s="59" t="e">
        <f t="shared" si="68"/>
        <v>#N/A</v>
      </c>
      <c r="CY109" s="59" t="e">
        <f ca="1">AVERAGE(OFFSET($CX$3,0,0,'Données projet'!$E$13+1,1))-AVERAGE(OFFSET($H$3,0,0,'Données projet'!$E$13+1,1))</f>
        <v>#N/A</v>
      </c>
      <c r="CZ109" s="59" t="e">
        <f t="shared" si="96"/>
        <v>#N/A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 t="e">
        <f>EXP(-LN(2)/35)*DF108+(1-EXP(-LN(2)/35))/(LN(2)/35)*DB109*DC109*VLOOKUP('Données projet'!$B$13,Paramètres!$A$1:$I$89,3,0)*0.475*44/12</f>
        <v>#N/A</v>
      </c>
      <c r="DG109" s="21" t="e">
        <f>EXP(-LN(2)/25)*DG108+(1-EXP(-LN(2)/25))/(LN(2)/25)*Calculateur!DB109*Calculateur!DD109*VLOOKUP('Données projet'!$B$13,Paramètres!$A$1:$I$89,3,0)*0.475*44/12</f>
        <v>#N/A</v>
      </c>
      <c r="DH109" s="21" t="e">
        <f>EXP(-LN(2)/2)*DH108+(1-EXP(-LN(2)/2))/(LN(2)/2)*DB109*DE109*VLOOKUP('Données projet'!$B$13,Paramètres!$A$1:$I$89,3,0)*0.475*44/12</f>
        <v>#N/A</v>
      </c>
      <c r="DI109" s="22" t="e">
        <f t="shared" si="69"/>
        <v>#N/A</v>
      </c>
      <c r="DJ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0</v>
      </c>
      <c r="DP109" s="17" t="e">
        <f>DO109*VLOOKUP('Données projet'!$B$14,Paramètres!$A$1:$I$89,3,0)*VLOOKUP('Données projet'!$B$14,Paramètres!$A$1:$I$89,5,0)</f>
        <v>#N/A</v>
      </c>
      <c r="DQ109" s="13" t="e">
        <f t="shared" si="97"/>
        <v>#N/A</v>
      </c>
      <c r="DR109" s="20" t="e">
        <f t="shared" si="70"/>
        <v>#N/A</v>
      </c>
      <c r="DS109" s="59" t="e">
        <f t="shared" si="71"/>
        <v>#N/A</v>
      </c>
      <c r="DT109" s="59" t="e">
        <f ca="1">AVERAGE(OFFSET($DS$3,0,0,'Données projet'!$E$14+1,1))-AVERAGE(OFFSET($H$3,0,0,'Données projet'!$E$14+1,1))</f>
        <v>#N/A</v>
      </c>
      <c r="DU109" s="59" t="e">
        <f t="shared" si="98"/>
        <v>#N/A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 t="e">
        <f>EXP(-LN(2)/35)*EA108+(1-EXP(-LN(2)/35))/(LN(2)/35)*DW109*DX109*VLOOKUP('Données projet'!$B$14,Paramètres!$A$1:$I$89,3,0)*0.475*44/12</f>
        <v>#N/A</v>
      </c>
      <c r="EB109" s="21" t="e">
        <f>EXP(-LN(2)/25)*EB108+(1-EXP(-LN(2)/25))/(LN(2)/25)*Calculateur!DW109*Calculateur!DY109*VLOOKUP('Données projet'!$B$14,Paramètres!$A$1:$I$89,3,0)*0.475*44/12</f>
        <v>#N/A</v>
      </c>
      <c r="EC109" s="21" t="e">
        <f>EXP(-LN(2)/2)*EC108+(1-EXP(-LN(2)/2))/(LN(2)/2)*DW109*DZ109*VLOOKUP('Données projet'!$B$14,Paramètres!$A$1:$I$89,3,0)*0.475*44/12</f>
        <v>#N/A</v>
      </c>
      <c r="ED109" s="22" t="e">
        <f t="shared" si="72"/>
        <v>#N/A</v>
      </c>
      <c r="EE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0</v>
      </c>
      <c r="EK109" s="17" t="e">
        <f>EJ109*VLOOKUP('Données projet'!$B$15,Paramètres!$A$1:$I$89,3,0)*VLOOKUP('Données projet'!$B$15,Paramètres!$A$1:$I$89,5,0)</f>
        <v>#N/A</v>
      </c>
      <c r="EL109" s="13" t="e">
        <f t="shared" si="99"/>
        <v>#N/A</v>
      </c>
      <c r="EM109" s="20" t="e">
        <f t="shared" si="73"/>
        <v>#N/A</v>
      </c>
      <c r="EN109" s="59" t="e">
        <f t="shared" si="74"/>
        <v>#N/A</v>
      </c>
      <c r="EO109" s="59" t="e">
        <f ca="1">AVERAGE(OFFSET($EN$3,0,0,'Données projet'!$E$15+1,1))-AVERAGE(OFFSET($H$3,0,0,'Données projet'!$E$15+1,1))</f>
        <v>#N/A</v>
      </c>
      <c r="EP109" s="59" t="e">
        <f t="shared" si="100"/>
        <v>#N/A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 t="e">
        <f>EXP(-LN(2)/35)*EV108+(1-EXP(-LN(2)/35))/(LN(2)/35)*ER109*ES109*VLOOKUP('Données projet'!$B$15,Paramètres!$A$1:$I$89,3,0)*0.475*44/12</f>
        <v>#N/A</v>
      </c>
      <c r="EW109" s="21" t="e">
        <f>EXP(-LN(2)/25)*EW108+(1-EXP(-LN(2)/25))/(LN(2)/25)*Calculateur!ER109*Calculateur!ET109*VLOOKUP('Données projet'!$B$15,Paramètres!$A$1:$I$89,3,0)*0.475*44/12</f>
        <v>#N/A</v>
      </c>
      <c r="EX109" s="21" t="e">
        <f>EXP(-LN(2)/2)*EX108+(1-EXP(-LN(2)/2))/(LN(2)/2)*ER109*EU109*VLOOKUP('Données projet'!$B$15,Paramètres!$A$1:$I$89,3,0)*0.475*44/12</f>
        <v>#N/A</v>
      </c>
      <c r="EY109" s="22" t="e">
        <f t="shared" si="75"/>
        <v>#N/A</v>
      </c>
      <c r="EZ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9" t="e">
        <f t="shared" si="77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45">
      <c r="A110" s="10">
        <f t="shared" si="85"/>
        <v>107</v>
      </c>
      <c r="B110" s="73">
        <f>'Scénario référence'!$B$16*5+'Scénario référence'!$B$17*0+'Scénario référence'!$B$18*5</f>
        <v>0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95.144400000000161</v>
      </c>
      <c r="D110" s="11">
        <f t="shared" si="86"/>
        <v>25.801888159247749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">
        <f>IF(OR('Scénario référence'!$F$8&gt;0,'Scénario référence'!$F$9&gt;0),('Scénario référence'!$F$8+'Scénario référence'!$F$9)*10,0)</f>
        <v>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933.62047000121208</v>
      </c>
      <c r="H110" s="67">
        <f t="shared" si="56"/>
        <v>467.3147852106901</v>
      </c>
      <c r="I110" s="7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5.6049999999999995</v>
      </c>
      <c r="N110" s="13">
        <f>IF('Données projet'!$A$36&gt;35,N109+M110-V109,IF(A110&lt;'Données projet'!$A$36,$K$205^A110,IF(A110='Données projet'!$A$36,'Données projet'!$B$36,N109+M110-V109)))</f>
        <v>497.2349999999999</v>
      </c>
      <c r="O110" s="13">
        <f>N110*VLOOKUP('Données projet'!$B$9,Paramètres!$A$1:$I$89,3,0)*VLOOKUP('Données projet'!$B$9,Paramètres!$A$1:$I$89,5,0)</f>
        <v>277.95436499999994</v>
      </c>
      <c r="P110" s="13">
        <f t="shared" si="87"/>
        <v>66.53452308435287</v>
      </c>
      <c r="Q110" s="20">
        <f t="shared" si="107"/>
        <v>599.98481341358115</v>
      </c>
      <c r="R110" s="59">
        <f t="shared" si="55"/>
        <v>893.31814674691441</v>
      </c>
      <c r="S110" s="59">
        <f ca="1">AVERAGE(OFFSET($R$3,0,0,'Données projet'!$E$9+1,1))-AVERAGE(OFFSET($H$3,0,0,'Données projet'!$E$9+1,1))</f>
        <v>280.69347314340195</v>
      </c>
      <c r="T110" s="59">
        <f t="shared" si="88"/>
        <v>152.40533828556482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49.409964421769153</v>
      </c>
      <c r="AA110" s="21">
        <f>EXP(-LN(2)/25)*AA109+(1-EXP(-LN(2)/25))/(LN(2)/25)*Calculateur!V110*Calculateur!X110*VLOOKUP('Données projet'!$B$9,Paramètres!$A$1:$I$89,3,0)*0.475*44/12</f>
        <v>15.793180645763934</v>
      </c>
      <c r="AB110" s="21">
        <f>EXP(-LN(2)/2)*AB109+(1-EXP(-LN(2)/2))/(LN(2)/2)*V110*Y110*VLOOKUP('Données projet'!$B$9,Paramètres!$A$1:$I$89,3,0)*0.475*44/12</f>
        <v>0.21113669841259283</v>
      </c>
      <c r="AC110" s="22">
        <f t="shared" si="57"/>
        <v>65.414281765945674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0</v>
      </c>
      <c r="AI110" s="13">
        <f>IF('Données projet'!$A$62&gt;35,AI109+AH110-AQ109,IF(A110&lt;'Données projet'!$A$62,$AF$205^A110,IF(A110='Données projet'!$A$62,'Données projet'!$B$62,AI109+AH110-AQ109)))</f>
        <v>0</v>
      </c>
      <c r="AJ110" s="13">
        <f>AI110*VLOOKUP('Données projet'!$B$10,Paramètres!$A$1:$I$89,3,0)*VLOOKUP('Données projet'!$B$10,Paramètres!$A$1:$I$89,5,0)</f>
        <v>0</v>
      </c>
      <c r="AK110" s="13" t="e">
        <f t="shared" si="89"/>
        <v>#NUM!</v>
      </c>
      <c r="AL110" s="20" t="e">
        <f t="shared" si="58"/>
        <v>#NUM!</v>
      </c>
      <c r="AM110" s="59" t="e">
        <f t="shared" si="59"/>
        <v>#NUM!</v>
      </c>
      <c r="AN110" s="59">
        <f ca="1">AVERAGE(OFFSET($AM$3,0,0,'Données projet'!$E$10+1,1))-AVERAGE(OFFSET($H$3,0,0,'Données projet'!$E$10+1,1))</f>
        <v>179.4725256147085</v>
      </c>
      <c r="AO110" s="59">
        <f t="shared" si="90"/>
        <v>282.16750121151176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56.922728055977778</v>
      </c>
      <c r="AV110" s="21">
        <f>EXP(-LN(2)/25)*AV109+(1-EXP(-LN(2)/25))/(LN(2)/25)*Calculateur!AQ110*Calculateur!AS110*VLOOKUP('Données projet'!$B$10,Paramètres!$A$1:$I$89,3,0)*0.475*44/12</f>
        <v>13.275260888764414</v>
      </c>
      <c r="AW110" s="21">
        <f>EXP(-LN(2)/2)*AW109+(1-EXP(-LN(2)/2))/(LN(2)/2)*AQ110*AT110*VLOOKUP('Données projet'!$B$10,Paramètres!$A$1:$I$89,3,0)*0.475*44/12</f>
        <v>3.6347777539109543E-6</v>
      </c>
      <c r="AX110" s="21">
        <f t="shared" si="60"/>
        <v>70.197992579519948</v>
      </c>
      <c r="AY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8.4449999999999985</v>
      </c>
      <c r="BD110" s="12">
        <f>IF('Données projet'!$A$88&gt;35,BD109+BC110-BL109,IF(A110&lt;'Données projet'!$A$88,$BA$205^A110,IF(A110='Données projet'!$A$88,'Données projet'!$B$88,BD109+BC110-BL109)))</f>
        <v>297.11000000000058</v>
      </c>
      <c r="BE110" s="13">
        <f>BD110*VLOOKUP('Données projet'!$B$11,Paramètres!$A$1:$I$89,3,0)*VLOOKUP('Données projet'!$B$11,Paramètres!$A$1:$I$89,5,0)</f>
        <v>254.92038000000051</v>
      </c>
      <c r="BF110" s="13">
        <f t="shared" si="91"/>
        <v>61.638368032565836</v>
      </c>
      <c r="BG110" s="20">
        <f t="shared" si="61"/>
        <v>551.33981949005295</v>
      </c>
      <c r="BH110" s="59">
        <f t="shared" si="62"/>
        <v>844.67315282338632</v>
      </c>
      <c r="BI110" s="59">
        <f ca="1">AVERAGE(OFFSET($BH$3,0,0,'Données projet'!$E$11+1,1))-AVERAGE(OFFSET($H$3,0,0,'Données projet'!$E$11+1,1))</f>
        <v>312.89478437044261</v>
      </c>
      <c r="BJ110" s="59">
        <f t="shared" si="92"/>
        <v>276.16555507854571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>
        <f>EXP(-LN(2)/35)*BP109+(1-EXP(-LN(2)/35))/(LN(2)/35)*BL110*BM110*VLOOKUP('Données projet'!$B$11,Paramètres!$A$1:$I$89,3,0)*0.475*44/12</f>
        <v>26.038346105084241</v>
      </c>
      <c r="BQ110" s="21">
        <f>EXP(-LN(2)/25)*BQ109+(1-EXP(-LN(2)/25))/(LN(2)/25)*Calculateur!BL110*Calculateur!BN110*VLOOKUP('Données projet'!$B$11,Paramètres!$A$1:$I$89,3,0)*0.475*44/12</f>
        <v>38.862598865669277</v>
      </c>
      <c r="BR110" s="21">
        <f>EXP(-LN(2)/2)*BR109+(1-EXP(-LN(2)/2))/(LN(2)/2)*BL110*BO110*VLOOKUP('Données projet'!$B$11,Paramètres!$A$1:$I$89,3,0)*0.475*44/12</f>
        <v>6.8683311915680907</v>
      </c>
      <c r="BS110" s="22">
        <f t="shared" si="63"/>
        <v>71.769276162321603</v>
      </c>
      <c r="BT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0</v>
      </c>
      <c r="BZ110" s="13" t="e">
        <f>BY110*VLOOKUP('Données projet'!$B$12,Paramètres!$A$1:$I$89,3,0)*VLOOKUP('Données projet'!$B$12,Paramètres!$A$1:$I$89,5,0)</f>
        <v>#N/A</v>
      </c>
      <c r="CA110" s="13" t="e">
        <f t="shared" si="93"/>
        <v>#N/A</v>
      </c>
      <c r="CB110" s="20" t="e">
        <f t="shared" si="64"/>
        <v>#N/A</v>
      </c>
      <c r="CC110" s="59" t="e">
        <f t="shared" si="65"/>
        <v>#N/A</v>
      </c>
      <c r="CD110" s="59" t="e">
        <f ca="1">AVERAGE(OFFSET($CC$3,0,0,'Données projet'!$E$12+1,1))-AVERAGE(OFFSET($H$3,0,0,'Données projet'!$E$12+1,1))</f>
        <v>#N/A</v>
      </c>
      <c r="CE110" s="59" t="e">
        <f t="shared" si="94"/>
        <v>#N/A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 t="e">
        <f>EXP(-LN(2)/35)*CK109+(1-EXP(-LN(2)/35))/(LN(2)/35)*CG110*CH110*VLOOKUP('Données projet'!$B$12,Paramètres!$A$1:$I$89,3,0)*0.475*44/12</f>
        <v>#N/A</v>
      </c>
      <c r="CL110" s="21" t="e">
        <f>EXP(-LN(2)/25)*CL109+(1-EXP(-LN(2)/25))/(LN(2)/25)*Calculateur!CG110*Calculateur!CI110*VLOOKUP('Données projet'!$B$12,Paramètres!$A$1:$I$89,3,0)*0.475*44/12</f>
        <v>#N/A</v>
      </c>
      <c r="CM110" s="21" t="e">
        <f>EXP(-LN(2)/2)*CM109+(1-EXP(-LN(2)/2))/(LN(2)/2)*CG110*CJ110*VLOOKUP('Données projet'!$B$12,Paramètres!$A$1:$I$89,3,0)*0.475*44/12</f>
        <v>#N/A</v>
      </c>
      <c r="CN110" s="22" t="e">
        <f t="shared" si="66"/>
        <v>#N/A</v>
      </c>
      <c r="CO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0</v>
      </c>
      <c r="CU110" s="17" t="e">
        <f>CT110*VLOOKUP('Données projet'!$B$13,Paramètres!$A$1:$I$89,3,0)*VLOOKUP('Données projet'!$B$13,Paramètres!$A$1:$I$89,5,0)</f>
        <v>#N/A</v>
      </c>
      <c r="CV110" s="13" t="e">
        <f t="shared" si="95"/>
        <v>#N/A</v>
      </c>
      <c r="CW110" s="20" t="e">
        <f t="shared" si="67"/>
        <v>#N/A</v>
      </c>
      <c r="CX110" s="59" t="e">
        <f t="shared" si="68"/>
        <v>#N/A</v>
      </c>
      <c r="CY110" s="59" t="e">
        <f ca="1">AVERAGE(OFFSET($CX$3,0,0,'Données projet'!$E$13+1,1))-AVERAGE(OFFSET($H$3,0,0,'Données projet'!$E$13+1,1))</f>
        <v>#N/A</v>
      </c>
      <c r="CZ110" s="59" t="e">
        <f t="shared" si="96"/>
        <v>#N/A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 t="e">
        <f>EXP(-LN(2)/35)*DF109+(1-EXP(-LN(2)/35))/(LN(2)/35)*DB110*DC110*VLOOKUP('Données projet'!$B$13,Paramètres!$A$1:$I$89,3,0)*0.475*44/12</f>
        <v>#N/A</v>
      </c>
      <c r="DG110" s="21" t="e">
        <f>EXP(-LN(2)/25)*DG109+(1-EXP(-LN(2)/25))/(LN(2)/25)*Calculateur!DB110*Calculateur!DD110*VLOOKUP('Données projet'!$B$13,Paramètres!$A$1:$I$89,3,0)*0.475*44/12</f>
        <v>#N/A</v>
      </c>
      <c r="DH110" s="21" t="e">
        <f>EXP(-LN(2)/2)*DH109+(1-EXP(-LN(2)/2))/(LN(2)/2)*DB110*DE110*VLOOKUP('Données projet'!$B$13,Paramètres!$A$1:$I$89,3,0)*0.475*44/12</f>
        <v>#N/A</v>
      </c>
      <c r="DI110" s="22" t="e">
        <f t="shared" si="69"/>
        <v>#N/A</v>
      </c>
      <c r="DJ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0</v>
      </c>
      <c r="DP110" s="17" t="e">
        <f>DO110*VLOOKUP('Données projet'!$B$14,Paramètres!$A$1:$I$89,3,0)*VLOOKUP('Données projet'!$B$14,Paramètres!$A$1:$I$89,5,0)</f>
        <v>#N/A</v>
      </c>
      <c r="DQ110" s="13" t="e">
        <f t="shared" si="97"/>
        <v>#N/A</v>
      </c>
      <c r="DR110" s="20" t="e">
        <f t="shared" si="70"/>
        <v>#N/A</v>
      </c>
      <c r="DS110" s="59" t="e">
        <f t="shared" si="71"/>
        <v>#N/A</v>
      </c>
      <c r="DT110" s="59" t="e">
        <f ca="1">AVERAGE(OFFSET($DS$3,0,0,'Données projet'!$E$14+1,1))-AVERAGE(OFFSET($H$3,0,0,'Données projet'!$E$14+1,1))</f>
        <v>#N/A</v>
      </c>
      <c r="DU110" s="59" t="e">
        <f t="shared" si="98"/>
        <v>#N/A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 t="e">
        <f>EXP(-LN(2)/35)*EA109+(1-EXP(-LN(2)/35))/(LN(2)/35)*DW110*DX110*VLOOKUP('Données projet'!$B$14,Paramètres!$A$1:$I$89,3,0)*0.475*44/12</f>
        <v>#N/A</v>
      </c>
      <c r="EB110" s="21" t="e">
        <f>EXP(-LN(2)/25)*EB109+(1-EXP(-LN(2)/25))/(LN(2)/25)*Calculateur!DW110*Calculateur!DY110*VLOOKUP('Données projet'!$B$14,Paramètres!$A$1:$I$89,3,0)*0.475*44/12</f>
        <v>#N/A</v>
      </c>
      <c r="EC110" s="21" t="e">
        <f>EXP(-LN(2)/2)*EC109+(1-EXP(-LN(2)/2))/(LN(2)/2)*DW110*DZ110*VLOOKUP('Données projet'!$B$14,Paramètres!$A$1:$I$89,3,0)*0.475*44/12</f>
        <v>#N/A</v>
      </c>
      <c r="ED110" s="22" t="e">
        <f t="shared" si="72"/>
        <v>#N/A</v>
      </c>
      <c r="EE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0</v>
      </c>
      <c r="EK110" s="17" t="e">
        <f>EJ110*VLOOKUP('Données projet'!$B$15,Paramètres!$A$1:$I$89,3,0)*VLOOKUP('Données projet'!$B$15,Paramètres!$A$1:$I$89,5,0)</f>
        <v>#N/A</v>
      </c>
      <c r="EL110" s="13" t="e">
        <f t="shared" si="99"/>
        <v>#N/A</v>
      </c>
      <c r="EM110" s="20" t="e">
        <f t="shared" si="73"/>
        <v>#N/A</v>
      </c>
      <c r="EN110" s="59" t="e">
        <f t="shared" si="74"/>
        <v>#N/A</v>
      </c>
      <c r="EO110" s="59" t="e">
        <f ca="1">AVERAGE(OFFSET($EN$3,0,0,'Données projet'!$E$15+1,1))-AVERAGE(OFFSET($H$3,0,0,'Données projet'!$E$15+1,1))</f>
        <v>#N/A</v>
      </c>
      <c r="EP110" s="59" t="e">
        <f t="shared" si="100"/>
        <v>#N/A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 t="e">
        <f>EXP(-LN(2)/35)*EV109+(1-EXP(-LN(2)/35))/(LN(2)/35)*ER110*ES110*VLOOKUP('Données projet'!$B$15,Paramètres!$A$1:$I$89,3,0)*0.475*44/12</f>
        <v>#N/A</v>
      </c>
      <c r="EW110" s="21" t="e">
        <f>EXP(-LN(2)/25)*EW109+(1-EXP(-LN(2)/25))/(LN(2)/25)*Calculateur!ER110*Calculateur!ET110*VLOOKUP('Données projet'!$B$15,Paramètres!$A$1:$I$89,3,0)*0.475*44/12</f>
        <v>#N/A</v>
      </c>
      <c r="EX110" s="21" t="e">
        <f>EXP(-LN(2)/2)*EX109+(1-EXP(-LN(2)/2))/(LN(2)/2)*ER110*EU110*VLOOKUP('Données projet'!$B$15,Paramètres!$A$1:$I$89,3,0)*0.475*44/12</f>
        <v>#N/A</v>
      </c>
      <c r="EY110" s="22" t="e">
        <f t="shared" si="75"/>
        <v>#N/A</v>
      </c>
      <c r="EZ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9" t="e">
        <f t="shared" si="77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45">
      <c r="A111" s="10">
        <f t="shared" si="85"/>
        <v>108</v>
      </c>
      <c r="B111" s="73">
        <f>'Scénario référence'!$B$16*5+'Scénario référence'!$B$17*0+'Scénario référence'!$B$18*5</f>
        <v>0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96.033600000000163</v>
      </c>
      <c r="D111" s="11">
        <f t="shared" si="86"/>
        <v>26.014843211471252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">
        <f>IF(OR('Scénario référence'!$F$8&gt;0,'Scénario référence'!$F$9&gt;0),('Scénario référence'!$F$8+'Scénario référence'!$F$9)*10,0)</f>
        <v>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942.12833356223564</v>
      </c>
      <c r="H111" s="67">
        <f t="shared" si="56"/>
        <v>469.23437192664602</v>
      </c>
      <c r="I111" s="7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>
        <f>VLOOKUP(A111,'Données projet'!$A$35:$I$55,2,0)</f>
        <v>502.84</v>
      </c>
      <c r="L111" s="12">
        <f>VLOOKUP(A111,'Données projet'!$A$35:$I$55,9,0)</f>
        <v>5.6049999999999995</v>
      </c>
      <c r="M111" s="12">
        <f t="array" ref="M111">INDEX(L:L,MIN(IF(ISNUMBER(L111:L307),ROW(L111:L307),"")))</f>
        <v>5.6049999999999995</v>
      </c>
      <c r="N111" s="13">
        <f>IF('Données projet'!$A$36&gt;35,N110+M111-V110,IF(A111&lt;'Données projet'!$A$36,$K$205^A111,IF(A111='Données projet'!$A$36,'Données projet'!$B$36,N110+M111-V110)))</f>
        <v>502.83999999999992</v>
      </c>
      <c r="O111" s="13">
        <f>N111*VLOOKUP('Données projet'!$B$9,Paramètres!$A$1:$I$89,3,0)*VLOOKUP('Données projet'!$B$9,Paramètres!$A$1:$I$89,5,0)</f>
        <v>281.08755999999994</v>
      </c>
      <c r="P111" s="13">
        <f t="shared" si="87"/>
        <v>67.19678969238592</v>
      </c>
      <c r="Q111" s="20">
        <f t="shared" si="107"/>
        <v>606.59524238090523</v>
      </c>
      <c r="R111" s="59">
        <f t="shared" si="55"/>
        <v>899.9285757142386</v>
      </c>
      <c r="S111" s="59">
        <f ca="1">AVERAGE(OFFSET($R$3,0,0,'Données projet'!$E$9+1,1))-AVERAGE(OFFSET($H$3,0,0,'Données projet'!$E$9+1,1))</f>
        <v>280.69347314340195</v>
      </c>
      <c r="T111" s="59">
        <f t="shared" si="88"/>
        <v>152.40533828556482</v>
      </c>
      <c r="U111" s="15">
        <f>IF(ISNA(VLOOKUP(A111,'Données projet'!$A$35:$I$55,3,0)),0,VLOOKUP(A111,'Données projet'!$A$35:$I$55,3,0))</f>
        <v>8</v>
      </c>
      <c r="V111" s="15">
        <f>IF(ISNA(VLOOKUP(A111,'Données projet'!$A$35:$I$55,4,0)),0,VLOOKUP(A111,'Données projet'!$A$35:$I$55,4,0))</f>
        <v>65.25</v>
      </c>
      <c r="W111" s="16">
        <f>IF(ISNA(VLOOKUP(A111,'Données projet'!$A$35:$I$55,5,0)),0%,VLOOKUP(A111,'Données projet'!$A$35:$I$55,5,0)*VLOOKUP('Données projet'!$B$9,Paramètres!$A$1:$I$89,7,0))</f>
        <v>0.33</v>
      </c>
      <c r="X111" s="16">
        <f>IF(ISNA(VLOOKUP(A111,'Données projet'!$A$35:$I$55,6,0)),0%,VLOOKUP(A111,'Données projet'!$A$35:$I$55,6,0)*VLOOKUP('Données projet'!$B$9,Paramètres!$A$1:$I$89,7,0))</f>
        <v>0.11000000000000001</v>
      </c>
      <c r="Y111" s="16">
        <f>IF(ISNA(VLOOKUP(A111,'Données projet'!$A$35:$I$55,7,0)),0%,VLOOKUP(A111,'Données projet'!$A$35:$I$55,7,0))</f>
        <v>0.2</v>
      </c>
      <c r="Z111" s="21">
        <f>EXP(-LN(2)/35)*Z110+(1-EXP(-LN(2)/35))/(LN(2)/35)*V111*W111*VLOOKUP('Données projet'!$B$9,Paramètres!$A$1:$I$89,3,0)*0.475*44/12</f>
        <v>64.408480424005077</v>
      </c>
      <c r="AA111" s="21">
        <f>EXP(-LN(2)/25)*AA110+(1-EXP(-LN(2)/25))/(LN(2)/25)*Calculateur!V111*Calculateur!X111*VLOOKUP('Données projet'!$B$9,Paramètres!$A$1:$I$89,3,0)*0.475*44/12</f>
        <v>20.662830446969643</v>
      </c>
      <c r="AB111" s="21">
        <f>EXP(-LN(2)/2)*AB110+(1-EXP(-LN(2)/2))/(LN(2)/2)*V111*Y111*VLOOKUP('Données projet'!$B$9,Paramètres!$A$1:$I$89,3,0)*0.475*44/12</f>
        <v>8.4088741900455748</v>
      </c>
      <c r="AC111" s="22">
        <f t="shared" si="57"/>
        <v>93.480185061020293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0</v>
      </c>
      <c r="AI111" s="13">
        <f>IF('Données projet'!$A$62&gt;35,AI110+AH111-AQ110,IF(A111&lt;'Données projet'!$A$62,$AF$205^A111,IF(A111='Données projet'!$A$62,'Données projet'!$B$62,AI110+AH111-AQ110)))</f>
        <v>0</v>
      </c>
      <c r="AJ111" s="13">
        <f>AI111*VLOOKUP('Données projet'!$B$10,Paramètres!$A$1:$I$89,3,0)*VLOOKUP('Données projet'!$B$10,Paramètres!$A$1:$I$89,5,0)</f>
        <v>0</v>
      </c>
      <c r="AK111" s="13" t="e">
        <f t="shared" si="89"/>
        <v>#NUM!</v>
      </c>
      <c r="AL111" s="20" t="e">
        <f t="shared" si="58"/>
        <v>#NUM!</v>
      </c>
      <c r="AM111" s="59" t="e">
        <f t="shared" si="59"/>
        <v>#NUM!</v>
      </c>
      <c r="AN111" s="59">
        <f ca="1">AVERAGE(OFFSET($AM$3,0,0,'Données projet'!$E$10+1,1))-AVERAGE(OFFSET($H$3,0,0,'Données projet'!$E$10+1,1))</f>
        <v>179.4725256147085</v>
      </c>
      <c r="AO111" s="59">
        <f t="shared" si="90"/>
        <v>282.16750121151176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55.806508078235908</v>
      </c>
      <c r="AV111" s="21">
        <f>EXP(-LN(2)/25)*AV110+(1-EXP(-LN(2)/25))/(LN(2)/25)*Calculateur!AQ111*Calculateur!AS111*VLOOKUP('Données projet'!$B$10,Paramètres!$A$1:$I$89,3,0)*0.475*44/12</f>
        <v>12.912248181645522</v>
      </c>
      <c r="AW111" s="21">
        <f>EXP(-LN(2)/2)*AW110+(1-EXP(-LN(2)/2))/(LN(2)/2)*AQ111*AT111*VLOOKUP('Données projet'!$B$10,Paramètres!$A$1:$I$89,3,0)*0.475*44/12</f>
        <v>2.5701759978964438E-6</v>
      </c>
      <c r="AX111" s="21">
        <f t="shared" si="60"/>
        <v>68.718758830057425</v>
      </c>
      <c r="AY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8.4449999999999985</v>
      </c>
      <c r="BD111" s="12">
        <f>IF('Données projet'!$A$88&gt;35,BD110+BC111-BL110,IF(A111&lt;'Données projet'!$A$88,$BA$205^A111,IF(A111='Données projet'!$A$88,'Données projet'!$B$88,BD110+BC111-BL110)))</f>
        <v>305.55500000000058</v>
      </c>
      <c r="BE111" s="13">
        <f>BD111*VLOOKUP('Données projet'!$B$11,Paramètres!$A$1:$I$89,3,0)*VLOOKUP('Données projet'!$B$11,Paramètres!$A$1:$I$89,5,0)</f>
        <v>262.16619000000054</v>
      </c>
      <c r="BF111" s="13">
        <f t="shared" si="91"/>
        <v>63.183898920919454</v>
      </c>
      <c r="BG111" s="20">
        <f t="shared" si="61"/>
        <v>566.65140487060228</v>
      </c>
      <c r="BH111" s="59">
        <f t="shared" si="62"/>
        <v>859.98473820393565</v>
      </c>
      <c r="BI111" s="59">
        <f ca="1">AVERAGE(OFFSET($BH$3,0,0,'Données projet'!$E$11+1,1))-AVERAGE(OFFSET($H$3,0,0,'Données projet'!$E$11+1,1))</f>
        <v>312.89478437044261</v>
      </c>
      <c r="BJ111" s="59">
        <f t="shared" si="92"/>
        <v>276.16555507854571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>
        <f>EXP(-LN(2)/35)*BP110+(1-EXP(-LN(2)/35))/(LN(2)/35)*BL111*BM111*VLOOKUP('Données projet'!$B$11,Paramètres!$A$1:$I$89,3,0)*0.475*44/12</f>
        <v>25.527750019786463</v>
      </c>
      <c r="BQ111" s="21">
        <f>EXP(-LN(2)/25)*BQ110+(1-EXP(-LN(2)/25))/(LN(2)/25)*Calculateur!BL111*Calculateur!BN111*VLOOKUP('Données projet'!$B$11,Paramètres!$A$1:$I$89,3,0)*0.475*44/12</f>
        <v>37.799899055992299</v>
      </c>
      <c r="BR111" s="21">
        <f>EXP(-LN(2)/2)*BR110+(1-EXP(-LN(2)/2))/(LN(2)/2)*BL111*BO111*VLOOKUP('Données projet'!$B$11,Paramètres!$A$1:$I$89,3,0)*0.475*44/12</f>
        <v>4.8566435609928771</v>
      </c>
      <c r="BS111" s="22">
        <f t="shared" si="63"/>
        <v>68.184292636771644</v>
      </c>
      <c r="BT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0</v>
      </c>
      <c r="BZ111" s="13" t="e">
        <f>BY111*VLOOKUP('Données projet'!$B$12,Paramètres!$A$1:$I$89,3,0)*VLOOKUP('Données projet'!$B$12,Paramètres!$A$1:$I$89,5,0)</f>
        <v>#N/A</v>
      </c>
      <c r="CA111" s="13" t="e">
        <f t="shared" si="93"/>
        <v>#N/A</v>
      </c>
      <c r="CB111" s="20" t="e">
        <f t="shared" si="64"/>
        <v>#N/A</v>
      </c>
      <c r="CC111" s="59" t="e">
        <f t="shared" si="65"/>
        <v>#N/A</v>
      </c>
      <c r="CD111" s="59" t="e">
        <f ca="1">AVERAGE(OFFSET($CC$3,0,0,'Données projet'!$E$12+1,1))-AVERAGE(OFFSET($H$3,0,0,'Données projet'!$E$12+1,1))</f>
        <v>#N/A</v>
      </c>
      <c r="CE111" s="59" t="e">
        <f t="shared" si="94"/>
        <v>#N/A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 t="e">
        <f>EXP(-LN(2)/35)*CK110+(1-EXP(-LN(2)/35))/(LN(2)/35)*CG111*CH111*VLOOKUP('Données projet'!$B$12,Paramètres!$A$1:$I$89,3,0)*0.475*44/12</f>
        <v>#N/A</v>
      </c>
      <c r="CL111" s="21" t="e">
        <f>EXP(-LN(2)/25)*CL110+(1-EXP(-LN(2)/25))/(LN(2)/25)*Calculateur!CG111*Calculateur!CI111*VLOOKUP('Données projet'!$B$12,Paramètres!$A$1:$I$89,3,0)*0.475*44/12</f>
        <v>#N/A</v>
      </c>
      <c r="CM111" s="21" t="e">
        <f>EXP(-LN(2)/2)*CM110+(1-EXP(-LN(2)/2))/(LN(2)/2)*CG111*CJ111*VLOOKUP('Données projet'!$B$12,Paramètres!$A$1:$I$89,3,0)*0.475*44/12</f>
        <v>#N/A</v>
      </c>
      <c r="CN111" s="22" t="e">
        <f t="shared" si="66"/>
        <v>#N/A</v>
      </c>
      <c r="CO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0</v>
      </c>
      <c r="CU111" s="17" t="e">
        <f>CT111*VLOOKUP('Données projet'!$B$13,Paramètres!$A$1:$I$89,3,0)*VLOOKUP('Données projet'!$B$13,Paramètres!$A$1:$I$89,5,0)</f>
        <v>#N/A</v>
      </c>
      <c r="CV111" s="13" t="e">
        <f t="shared" si="95"/>
        <v>#N/A</v>
      </c>
      <c r="CW111" s="20" t="e">
        <f t="shared" si="67"/>
        <v>#N/A</v>
      </c>
      <c r="CX111" s="59" t="e">
        <f t="shared" si="68"/>
        <v>#N/A</v>
      </c>
      <c r="CY111" s="59" t="e">
        <f ca="1">AVERAGE(OFFSET($CX$3,0,0,'Données projet'!$E$13+1,1))-AVERAGE(OFFSET($H$3,0,0,'Données projet'!$E$13+1,1))</f>
        <v>#N/A</v>
      </c>
      <c r="CZ111" s="59" t="e">
        <f t="shared" si="96"/>
        <v>#N/A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 t="e">
        <f>EXP(-LN(2)/35)*DF110+(1-EXP(-LN(2)/35))/(LN(2)/35)*DB111*DC111*VLOOKUP('Données projet'!$B$13,Paramètres!$A$1:$I$89,3,0)*0.475*44/12</f>
        <v>#N/A</v>
      </c>
      <c r="DG111" s="21" t="e">
        <f>EXP(-LN(2)/25)*DG110+(1-EXP(-LN(2)/25))/(LN(2)/25)*Calculateur!DB111*Calculateur!DD111*VLOOKUP('Données projet'!$B$13,Paramètres!$A$1:$I$89,3,0)*0.475*44/12</f>
        <v>#N/A</v>
      </c>
      <c r="DH111" s="21" t="e">
        <f>EXP(-LN(2)/2)*DH110+(1-EXP(-LN(2)/2))/(LN(2)/2)*DB111*DE111*VLOOKUP('Données projet'!$B$13,Paramètres!$A$1:$I$89,3,0)*0.475*44/12</f>
        <v>#N/A</v>
      </c>
      <c r="DI111" s="22" t="e">
        <f t="shared" si="69"/>
        <v>#N/A</v>
      </c>
      <c r="DJ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0</v>
      </c>
      <c r="DP111" s="17" t="e">
        <f>DO111*VLOOKUP('Données projet'!$B$14,Paramètres!$A$1:$I$89,3,0)*VLOOKUP('Données projet'!$B$14,Paramètres!$A$1:$I$89,5,0)</f>
        <v>#N/A</v>
      </c>
      <c r="DQ111" s="13" t="e">
        <f t="shared" si="97"/>
        <v>#N/A</v>
      </c>
      <c r="DR111" s="20" t="e">
        <f t="shared" si="70"/>
        <v>#N/A</v>
      </c>
      <c r="DS111" s="59" t="e">
        <f t="shared" si="71"/>
        <v>#N/A</v>
      </c>
      <c r="DT111" s="59" t="e">
        <f ca="1">AVERAGE(OFFSET($DS$3,0,0,'Données projet'!$E$14+1,1))-AVERAGE(OFFSET($H$3,0,0,'Données projet'!$E$14+1,1))</f>
        <v>#N/A</v>
      </c>
      <c r="DU111" s="59" t="e">
        <f t="shared" si="98"/>
        <v>#N/A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 t="e">
        <f>EXP(-LN(2)/35)*EA110+(1-EXP(-LN(2)/35))/(LN(2)/35)*DW111*DX111*VLOOKUP('Données projet'!$B$14,Paramètres!$A$1:$I$89,3,0)*0.475*44/12</f>
        <v>#N/A</v>
      </c>
      <c r="EB111" s="21" t="e">
        <f>EXP(-LN(2)/25)*EB110+(1-EXP(-LN(2)/25))/(LN(2)/25)*Calculateur!DW111*Calculateur!DY111*VLOOKUP('Données projet'!$B$14,Paramètres!$A$1:$I$89,3,0)*0.475*44/12</f>
        <v>#N/A</v>
      </c>
      <c r="EC111" s="21" t="e">
        <f>EXP(-LN(2)/2)*EC110+(1-EXP(-LN(2)/2))/(LN(2)/2)*DW111*DZ111*VLOOKUP('Données projet'!$B$14,Paramètres!$A$1:$I$89,3,0)*0.475*44/12</f>
        <v>#N/A</v>
      </c>
      <c r="ED111" s="22" t="e">
        <f t="shared" si="72"/>
        <v>#N/A</v>
      </c>
      <c r="EE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0</v>
      </c>
      <c r="EK111" s="17" t="e">
        <f>EJ111*VLOOKUP('Données projet'!$B$15,Paramètres!$A$1:$I$89,3,0)*VLOOKUP('Données projet'!$B$15,Paramètres!$A$1:$I$89,5,0)</f>
        <v>#N/A</v>
      </c>
      <c r="EL111" s="13" t="e">
        <f t="shared" si="99"/>
        <v>#N/A</v>
      </c>
      <c r="EM111" s="20" t="e">
        <f t="shared" si="73"/>
        <v>#N/A</v>
      </c>
      <c r="EN111" s="59" t="e">
        <f t="shared" si="74"/>
        <v>#N/A</v>
      </c>
      <c r="EO111" s="59" t="e">
        <f ca="1">AVERAGE(OFFSET($EN$3,0,0,'Données projet'!$E$15+1,1))-AVERAGE(OFFSET($H$3,0,0,'Données projet'!$E$15+1,1))</f>
        <v>#N/A</v>
      </c>
      <c r="EP111" s="59" t="e">
        <f t="shared" si="100"/>
        <v>#N/A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 t="e">
        <f>EXP(-LN(2)/35)*EV110+(1-EXP(-LN(2)/35))/(LN(2)/35)*ER111*ES111*VLOOKUP('Données projet'!$B$15,Paramètres!$A$1:$I$89,3,0)*0.475*44/12</f>
        <v>#N/A</v>
      </c>
      <c r="EW111" s="21" t="e">
        <f>EXP(-LN(2)/25)*EW110+(1-EXP(-LN(2)/25))/(LN(2)/25)*Calculateur!ER111*Calculateur!ET111*VLOOKUP('Données projet'!$B$15,Paramètres!$A$1:$I$89,3,0)*0.475*44/12</f>
        <v>#N/A</v>
      </c>
      <c r="EX111" s="21" t="e">
        <f>EXP(-LN(2)/2)*EX110+(1-EXP(-LN(2)/2))/(LN(2)/2)*ER111*EU111*VLOOKUP('Données projet'!$B$15,Paramètres!$A$1:$I$89,3,0)*0.475*44/12</f>
        <v>#N/A</v>
      </c>
      <c r="EY111" s="22" t="e">
        <f t="shared" si="75"/>
        <v>#N/A</v>
      </c>
      <c r="EZ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9" t="e">
        <f t="shared" si="77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45">
      <c r="A112" s="10">
        <f t="shared" si="85"/>
        <v>109</v>
      </c>
      <c r="B112" s="73">
        <f>'Scénario référence'!$B$16*5+'Scénario référence'!$B$17*0+'Scénario référence'!$B$18*5</f>
        <v>0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96.922800000000166</v>
      </c>
      <c r="D112" s="11">
        <f t="shared" si="86"/>
        <v>26.227568865645399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">
        <f>IF(OR('Scénario référence'!$F$8&gt;0,'Scénario référence'!$F$9&gt;0),('Scénario référence'!$F$8+'Scénario référence'!$F$9)*10,0)</f>
        <v>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950.6344263312991</v>
      </c>
      <c r="H112" s="67">
        <f t="shared" si="56"/>
        <v>471.15355910766601</v>
      </c>
      <c r="I112" s="7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4.3516666666666692</v>
      </c>
      <c r="N112" s="13">
        <f>IF('Données projet'!$A$36&gt;35,N111+M112-V111,IF(A112&lt;'Données projet'!$A$36,$K$205^A112,IF(A112='Données projet'!$A$36,'Données projet'!$B$36,N111+M112-V111)))</f>
        <v>441.94166666666661</v>
      </c>
      <c r="O112" s="13">
        <f>N112*VLOOKUP('Données projet'!$B$9,Paramètres!$A$1:$I$89,3,0)*VLOOKUP('Données projet'!$B$9,Paramètres!$A$1:$I$89,5,0)</f>
        <v>247.04539166666666</v>
      </c>
      <c r="P112" s="13">
        <f t="shared" si="87"/>
        <v>59.952818839099436</v>
      </c>
      <c r="Q112" s="20">
        <f t="shared" si="107"/>
        <v>534.6885499642093</v>
      </c>
      <c r="R112" s="59">
        <f t="shared" si="55"/>
        <v>828.02188329754267</v>
      </c>
      <c r="S112" s="59">
        <f ca="1">AVERAGE(OFFSET($R$3,0,0,'Données projet'!$E$9+1,1))-AVERAGE(OFFSET($H$3,0,0,'Données projet'!$E$9+1,1))</f>
        <v>280.69347314340195</v>
      </c>
      <c r="T112" s="59">
        <f t="shared" si="88"/>
        <v>152.40533828556482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63.145469408184297</v>
      </c>
      <c r="AA112" s="21">
        <f>EXP(-LN(2)/25)*AA111+(1-EXP(-LN(2)/25))/(LN(2)/25)*Calculateur!V112*Calculateur!X112*VLOOKUP('Données projet'!$B$9,Paramètres!$A$1:$I$89,3,0)*0.475*44/12</f>
        <v>20.09780426178623</v>
      </c>
      <c r="AB112" s="21">
        <f>EXP(-LN(2)/2)*AB111+(1-EXP(-LN(2)/2))/(LN(2)/2)*V112*Y112*VLOOKUP('Données projet'!$B$9,Paramètres!$A$1:$I$89,3,0)*0.475*44/12</f>
        <v>5.945971961925764</v>
      </c>
      <c r="AC112" s="22">
        <f t="shared" si="57"/>
        <v>89.189245631896299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0</v>
      </c>
      <c r="AI112" s="13">
        <f>IF('Données projet'!$A$62&gt;35,AI111+AH112-AQ111,IF(A112&lt;'Données projet'!$A$62,$AF$205^A112,IF(A112='Données projet'!$A$62,'Données projet'!$B$62,AI111+AH112-AQ111)))</f>
        <v>0</v>
      </c>
      <c r="AJ112" s="13">
        <f>AI112*VLOOKUP('Données projet'!$B$10,Paramètres!$A$1:$I$89,3,0)*VLOOKUP('Données projet'!$B$10,Paramètres!$A$1:$I$89,5,0)</f>
        <v>0</v>
      </c>
      <c r="AK112" s="13" t="e">
        <f t="shared" si="89"/>
        <v>#NUM!</v>
      </c>
      <c r="AL112" s="20" t="e">
        <f t="shared" si="58"/>
        <v>#NUM!</v>
      </c>
      <c r="AM112" s="59" t="e">
        <f t="shared" si="59"/>
        <v>#NUM!</v>
      </c>
      <c r="AN112" s="59">
        <f ca="1">AVERAGE(OFFSET($AM$3,0,0,'Données projet'!$E$10+1,1))-AVERAGE(OFFSET($H$3,0,0,'Données projet'!$E$10+1,1))</f>
        <v>179.4725256147085</v>
      </c>
      <c r="AO112" s="59">
        <f t="shared" si="90"/>
        <v>282.16750121151176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54.712176493430597</v>
      </c>
      <c r="AV112" s="21">
        <f>EXP(-LN(2)/25)*AV111+(1-EXP(-LN(2)/25))/(LN(2)/25)*Calculateur!AQ112*Calculateur!AS112*VLOOKUP('Données projet'!$B$10,Paramètres!$A$1:$I$89,3,0)*0.475*44/12</f>
        <v>12.559162076092804</v>
      </c>
      <c r="AW112" s="21">
        <f>EXP(-LN(2)/2)*AW111+(1-EXP(-LN(2)/2))/(LN(2)/2)*AQ112*AT112*VLOOKUP('Données projet'!$B$10,Paramètres!$A$1:$I$89,3,0)*0.475*44/12</f>
        <v>1.8173888769554771E-6</v>
      </c>
      <c r="AX112" s="21">
        <f t="shared" si="60"/>
        <v>67.271340386912286</v>
      </c>
      <c r="AY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8.4449999999999985</v>
      </c>
      <c r="BD112" s="12">
        <f>IF('Données projet'!$A$88&gt;35,BD111+BC112-BL111,IF(A112&lt;'Données projet'!$A$88,$BA$205^A112,IF(A112='Données projet'!$A$88,'Données projet'!$B$88,BD111+BC112-BL111)))</f>
        <v>314.00000000000057</v>
      </c>
      <c r="BE112" s="13">
        <f>BD112*VLOOKUP('Données projet'!$B$11,Paramètres!$A$1:$I$89,3,0)*VLOOKUP('Données projet'!$B$11,Paramètres!$A$1:$I$89,5,0)</f>
        <v>269.41200000000055</v>
      </c>
      <c r="BF112" s="13">
        <f t="shared" si="91"/>
        <v>64.72446501836292</v>
      </c>
      <c r="BG112" s="20">
        <f t="shared" si="61"/>
        <v>581.95434324031635</v>
      </c>
      <c r="BH112" s="59">
        <f t="shared" si="62"/>
        <v>875.28767657364961</v>
      </c>
      <c r="BI112" s="59">
        <f ca="1">AVERAGE(OFFSET($BH$3,0,0,'Données projet'!$E$11+1,1))-AVERAGE(OFFSET($H$3,0,0,'Données projet'!$E$11+1,1))</f>
        <v>312.89478437044261</v>
      </c>
      <c r="BJ112" s="59">
        <f t="shared" si="92"/>
        <v>276.16555507854571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>
        <f>EXP(-LN(2)/35)*BP111+(1-EXP(-LN(2)/35))/(LN(2)/35)*BL112*BM112*VLOOKUP('Données projet'!$B$11,Paramètres!$A$1:$I$89,3,0)*0.475*44/12</f>
        <v>25.027166412288516</v>
      </c>
      <c r="BQ112" s="21">
        <f>EXP(-LN(2)/25)*BQ111+(1-EXP(-LN(2)/25))/(LN(2)/25)*Calculateur!BL112*Calculateur!BN112*VLOOKUP('Données projet'!$B$11,Paramètres!$A$1:$I$89,3,0)*0.475*44/12</f>
        <v>36.766258828495893</v>
      </c>
      <c r="BR112" s="21">
        <f>EXP(-LN(2)/2)*BR111+(1-EXP(-LN(2)/2))/(LN(2)/2)*BL112*BO112*VLOOKUP('Données projet'!$B$11,Paramètres!$A$1:$I$89,3,0)*0.475*44/12</f>
        <v>3.4341655957840453</v>
      </c>
      <c r="BS112" s="22">
        <f t="shared" si="63"/>
        <v>65.227590836568453</v>
      </c>
      <c r="BT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0</v>
      </c>
      <c r="BZ112" s="13" t="e">
        <f>BY112*VLOOKUP('Données projet'!$B$12,Paramètres!$A$1:$I$89,3,0)*VLOOKUP('Données projet'!$B$12,Paramètres!$A$1:$I$89,5,0)</f>
        <v>#N/A</v>
      </c>
      <c r="CA112" s="13" t="e">
        <f t="shared" si="93"/>
        <v>#N/A</v>
      </c>
      <c r="CB112" s="20" t="e">
        <f t="shared" si="64"/>
        <v>#N/A</v>
      </c>
      <c r="CC112" s="59" t="e">
        <f t="shared" si="65"/>
        <v>#N/A</v>
      </c>
      <c r="CD112" s="59" t="e">
        <f ca="1">AVERAGE(OFFSET($CC$3,0,0,'Données projet'!$E$12+1,1))-AVERAGE(OFFSET($H$3,0,0,'Données projet'!$E$12+1,1))</f>
        <v>#N/A</v>
      </c>
      <c r="CE112" s="59" t="e">
        <f t="shared" si="94"/>
        <v>#N/A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 t="e">
        <f>EXP(-LN(2)/35)*CK111+(1-EXP(-LN(2)/35))/(LN(2)/35)*CG112*CH112*VLOOKUP('Données projet'!$B$12,Paramètres!$A$1:$I$89,3,0)*0.475*44/12</f>
        <v>#N/A</v>
      </c>
      <c r="CL112" s="21" t="e">
        <f>EXP(-LN(2)/25)*CL111+(1-EXP(-LN(2)/25))/(LN(2)/25)*Calculateur!CG112*Calculateur!CI112*VLOOKUP('Données projet'!$B$12,Paramètres!$A$1:$I$89,3,0)*0.475*44/12</f>
        <v>#N/A</v>
      </c>
      <c r="CM112" s="21" t="e">
        <f>EXP(-LN(2)/2)*CM111+(1-EXP(-LN(2)/2))/(LN(2)/2)*CG112*CJ112*VLOOKUP('Données projet'!$B$12,Paramètres!$A$1:$I$89,3,0)*0.475*44/12</f>
        <v>#N/A</v>
      </c>
      <c r="CN112" s="22" t="e">
        <f t="shared" si="66"/>
        <v>#N/A</v>
      </c>
      <c r="CO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0</v>
      </c>
      <c r="CU112" s="17" t="e">
        <f>CT112*VLOOKUP('Données projet'!$B$13,Paramètres!$A$1:$I$89,3,0)*VLOOKUP('Données projet'!$B$13,Paramètres!$A$1:$I$89,5,0)</f>
        <v>#N/A</v>
      </c>
      <c r="CV112" s="13" t="e">
        <f t="shared" si="95"/>
        <v>#N/A</v>
      </c>
      <c r="CW112" s="20" t="e">
        <f t="shared" si="67"/>
        <v>#N/A</v>
      </c>
      <c r="CX112" s="59" t="e">
        <f t="shared" si="68"/>
        <v>#N/A</v>
      </c>
      <c r="CY112" s="59" t="e">
        <f ca="1">AVERAGE(OFFSET($CX$3,0,0,'Données projet'!$E$13+1,1))-AVERAGE(OFFSET($H$3,0,0,'Données projet'!$E$13+1,1))</f>
        <v>#N/A</v>
      </c>
      <c r="CZ112" s="59" t="e">
        <f t="shared" si="96"/>
        <v>#N/A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 t="e">
        <f>EXP(-LN(2)/35)*DF111+(1-EXP(-LN(2)/35))/(LN(2)/35)*DB112*DC112*VLOOKUP('Données projet'!$B$13,Paramètres!$A$1:$I$89,3,0)*0.475*44/12</f>
        <v>#N/A</v>
      </c>
      <c r="DG112" s="21" t="e">
        <f>EXP(-LN(2)/25)*DG111+(1-EXP(-LN(2)/25))/(LN(2)/25)*Calculateur!DB112*Calculateur!DD112*VLOOKUP('Données projet'!$B$13,Paramètres!$A$1:$I$89,3,0)*0.475*44/12</f>
        <v>#N/A</v>
      </c>
      <c r="DH112" s="21" t="e">
        <f>EXP(-LN(2)/2)*DH111+(1-EXP(-LN(2)/2))/(LN(2)/2)*DB112*DE112*VLOOKUP('Données projet'!$B$13,Paramètres!$A$1:$I$89,3,0)*0.475*44/12</f>
        <v>#N/A</v>
      </c>
      <c r="DI112" s="22" t="e">
        <f t="shared" si="69"/>
        <v>#N/A</v>
      </c>
      <c r="DJ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0</v>
      </c>
      <c r="DP112" s="17" t="e">
        <f>DO112*VLOOKUP('Données projet'!$B$14,Paramètres!$A$1:$I$89,3,0)*VLOOKUP('Données projet'!$B$14,Paramètres!$A$1:$I$89,5,0)</f>
        <v>#N/A</v>
      </c>
      <c r="DQ112" s="13" t="e">
        <f t="shared" si="97"/>
        <v>#N/A</v>
      </c>
      <c r="DR112" s="20" t="e">
        <f t="shared" si="70"/>
        <v>#N/A</v>
      </c>
      <c r="DS112" s="59" t="e">
        <f t="shared" si="71"/>
        <v>#N/A</v>
      </c>
      <c r="DT112" s="59" t="e">
        <f ca="1">AVERAGE(OFFSET($DS$3,0,0,'Données projet'!$E$14+1,1))-AVERAGE(OFFSET($H$3,0,0,'Données projet'!$E$14+1,1))</f>
        <v>#N/A</v>
      </c>
      <c r="DU112" s="59" t="e">
        <f t="shared" si="98"/>
        <v>#N/A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 t="e">
        <f>EXP(-LN(2)/35)*EA111+(1-EXP(-LN(2)/35))/(LN(2)/35)*DW112*DX112*VLOOKUP('Données projet'!$B$14,Paramètres!$A$1:$I$89,3,0)*0.475*44/12</f>
        <v>#N/A</v>
      </c>
      <c r="EB112" s="21" t="e">
        <f>EXP(-LN(2)/25)*EB111+(1-EXP(-LN(2)/25))/(LN(2)/25)*Calculateur!DW112*Calculateur!DY112*VLOOKUP('Données projet'!$B$14,Paramètres!$A$1:$I$89,3,0)*0.475*44/12</f>
        <v>#N/A</v>
      </c>
      <c r="EC112" s="21" t="e">
        <f>EXP(-LN(2)/2)*EC111+(1-EXP(-LN(2)/2))/(LN(2)/2)*DW112*DZ112*VLOOKUP('Données projet'!$B$14,Paramètres!$A$1:$I$89,3,0)*0.475*44/12</f>
        <v>#N/A</v>
      </c>
      <c r="ED112" s="22" t="e">
        <f t="shared" si="72"/>
        <v>#N/A</v>
      </c>
      <c r="EE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0</v>
      </c>
      <c r="EK112" s="17" t="e">
        <f>EJ112*VLOOKUP('Données projet'!$B$15,Paramètres!$A$1:$I$89,3,0)*VLOOKUP('Données projet'!$B$15,Paramètres!$A$1:$I$89,5,0)</f>
        <v>#N/A</v>
      </c>
      <c r="EL112" s="13" t="e">
        <f t="shared" si="99"/>
        <v>#N/A</v>
      </c>
      <c r="EM112" s="20" t="e">
        <f t="shared" si="73"/>
        <v>#N/A</v>
      </c>
      <c r="EN112" s="59" t="e">
        <f t="shared" si="74"/>
        <v>#N/A</v>
      </c>
      <c r="EO112" s="59" t="e">
        <f ca="1">AVERAGE(OFFSET($EN$3,0,0,'Données projet'!$E$15+1,1))-AVERAGE(OFFSET($H$3,0,0,'Données projet'!$E$15+1,1))</f>
        <v>#N/A</v>
      </c>
      <c r="EP112" s="59" t="e">
        <f t="shared" si="100"/>
        <v>#N/A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 t="e">
        <f>EXP(-LN(2)/35)*EV111+(1-EXP(-LN(2)/35))/(LN(2)/35)*ER112*ES112*VLOOKUP('Données projet'!$B$15,Paramètres!$A$1:$I$89,3,0)*0.475*44/12</f>
        <v>#N/A</v>
      </c>
      <c r="EW112" s="21" t="e">
        <f>EXP(-LN(2)/25)*EW111+(1-EXP(-LN(2)/25))/(LN(2)/25)*Calculateur!ER112*Calculateur!ET112*VLOOKUP('Données projet'!$B$15,Paramètres!$A$1:$I$89,3,0)*0.475*44/12</f>
        <v>#N/A</v>
      </c>
      <c r="EX112" s="21" t="e">
        <f>EXP(-LN(2)/2)*EX111+(1-EXP(-LN(2)/2))/(LN(2)/2)*ER112*EU112*VLOOKUP('Données projet'!$B$15,Paramètres!$A$1:$I$89,3,0)*0.475*44/12</f>
        <v>#N/A</v>
      </c>
      <c r="EY112" s="22" t="e">
        <f t="shared" si="75"/>
        <v>#N/A</v>
      </c>
      <c r="EZ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9" t="e">
        <f t="shared" si="77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45">
      <c r="A113" s="10">
        <f t="shared" si="85"/>
        <v>110</v>
      </c>
      <c r="B113" s="73">
        <f>'Scénario référence'!$B$16*5+'Scénario référence'!$B$17*0+'Scénario référence'!$B$18*5</f>
        <v>0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97.812000000000168</v>
      </c>
      <c r="D113" s="11">
        <f t="shared" si="86"/>
        <v>26.440067470123306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">
        <f>IF(OR('Scénario référence'!$F$8&gt;0,'Scénario référence'!$F$9&gt;0),('Scénario référence'!$F$8+'Scénario référence'!$F$9)*10,0)</f>
        <v>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959.1387664360409</v>
      </c>
      <c r="H113" s="67">
        <f t="shared" si="56"/>
        <v>473.0723508437984</v>
      </c>
      <c r="I113" s="7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4.3516666666666692</v>
      </c>
      <c r="N113" s="13">
        <f>IF('Données projet'!$A$36&gt;35,N112+M113-V112,IF(A113&lt;'Données projet'!$A$36,$K$205^A113,IF(A113='Données projet'!$A$36,'Données projet'!$B$36,N112+M113-V112)))</f>
        <v>446.29333333333329</v>
      </c>
      <c r="O113" s="13">
        <f>N113*VLOOKUP('Données projet'!$B$9,Paramètres!$A$1:$I$89,3,0)*VLOOKUP('Données projet'!$B$9,Paramètres!$A$1:$I$89,5,0)</f>
        <v>249.47797333333332</v>
      </c>
      <c r="P113" s="13">
        <f t="shared" si="87"/>
        <v>60.474143103068428</v>
      </c>
      <c r="Q113" s="20">
        <f t="shared" si="107"/>
        <v>539.83326946006639</v>
      </c>
      <c r="R113" s="59">
        <f t="shared" si="55"/>
        <v>833.16660279339976</v>
      </c>
      <c r="S113" s="59">
        <f ca="1">AVERAGE(OFFSET($R$3,0,0,'Données projet'!$E$9+1,1))-AVERAGE(OFFSET($H$3,0,0,'Données projet'!$E$9+1,1))</f>
        <v>280.69347314340195</v>
      </c>
      <c r="T113" s="59">
        <f t="shared" si="88"/>
        <v>152.40533828556482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61.907225268023112</v>
      </c>
      <c r="AA113" s="21">
        <f>EXP(-LN(2)/25)*AA112+(1-EXP(-LN(2)/25))/(LN(2)/25)*Calculateur!V113*Calculateur!X113*VLOOKUP('Données projet'!$B$9,Paramètres!$A$1:$I$89,3,0)*0.475*44/12</f>
        <v>19.548228747350095</v>
      </c>
      <c r="AB113" s="21">
        <f>EXP(-LN(2)/2)*AB112+(1-EXP(-LN(2)/2))/(LN(2)/2)*V113*Y113*VLOOKUP('Données projet'!$B$9,Paramètres!$A$1:$I$89,3,0)*0.475*44/12</f>
        <v>4.2044370950227883</v>
      </c>
      <c r="AC113" s="22">
        <f t="shared" si="57"/>
        <v>85.659891110395989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0</v>
      </c>
      <c r="AI113" s="13">
        <f>IF('Données projet'!$A$62&gt;35,AI112+AH113-AQ112,IF(A113&lt;'Données projet'!$A$62,$AF$205^A113,IF(A113='Données projet'!$A$62,'Données projet'!$B$62,AI112+AH113-AQ112)))</f>
        <v>0</v>
      </c>
      <c r="AJ113" s="13">
        <f>AI113*VLOOKUP('Données projet'!$B$10,Paramètres!$A$1:$I$89,3,0)*VLOOKUP('Données projet'!$B$10,Paramètres!$A$1:$I$89,5,0)</f>
        <v>0</v>
      </c>
      <c r="AK113" s="13" t="e">
        <f t="shared" si="89"/>
        <v>#NUM!</v>
      </c>
      <c r="AL113" s="20" t="e">
        <f t="shared" si="58"/>
        <v>#NUM!</v>
      </c>
      <c r="AM113" s="59" t="e">
        <f t="shared" si="59"/>
        <v>#NUM!</v>
      </c>
      <c r="AN113" s="59">
        <f ca="1">AVERAGE(OFFSET($AM$3,0,0,'Données projet'!$E$10+1,1))-AVERAGE(OFFSET($H$3,0,0,'Données projet'!$E$10+1,1))</f>
        <v>179.4725256147085</v>
      </c>
      <c r="AO113" s="59">
        <f t="shared" si="90"/>
        <v>282.16750121151176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53.639304083526959</v>
      </c>
      <c r="AV113" s="21">
        <f>EXP(-LN(2)/25)*AV112+(1-EXP(-LN(2)/25))/(LN(2)/25)*Calculateur!AQ113*Calculateur!AS113*VLOOKUP('Données projet'!$B$10,Paramètres!$A$1:$I$89,3,0)*0.475*44/12</f>
        <v>12.215731128664418</v>
      </c>
      <c r="AW113" s="21">
        <f>EXP(-LN(2)/2)*AW112+(1-EXP(-LN(2)/2))/(LN(2)/2)*AQ113*AT113*VLOOKUP('Données projet'!$B$10,Paramètres!$A$1:$I$89,3,0)*0.475*44/12</f>
        <v>1.2850879989482219E-6</v>
      </c>
      <c r="AX113" s="21">
        <f t="shared" si="60"/>
        <v>65.855036497279386</v>
      </c>
      <c r="AY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8.4449999999999985</v>
      </c>
      <c r="BD113" s="12">
        <f>IF('Données projet'!$A$88&gt;35,BD112+BC113-BL112,IF(A113&lt;'Données projet'!$A$88,$BA$205^A113,IF(A113='Données projet'!$A$88,'Données projet'!$B$88,BD112+BC113-BL112)))</f>
        <v>322.44500000000056</v>
      </c>
      <c r="BE113" s="13">
        <f>BD113*VLOOKUP('Données projet'!$B$11,Paramètres!$A$1:$I$89,3,0)*VLOOKUP('Données projet'!$B$11,Paramètres!$A$1:$I$89,5,0)</f>
        <v>276.6578100000005</v>
      </c>
      <c r="BF113" s="13">
        <f t="shared" si="91"/>
        <v>66.26021519833084</v>
      </c>
      <c r="BG113" s="20">
        <f t="shared" si="61"/>
        <v>597.2488938870938</v>
      </c>
      <c r="BH113" s="59">
        <f t="shared" si="62"/>
        <v>890.58222722042706</v>
      </c>
      <c r="BI113" s="59">
        <f ca="1">AVERAGE(OFFSET($BH$3,0,0,'Données projet'!$E$11+1,1))-AVERAGE(OFFSET($H$3,0,0,'Données projet'!$E$11+1,1))</f>
        <v>312.89478437044261</v>
      </c>
      <c r="BJ113" s="59">
        <f t="shared" si="92"/>
        <v>276.16555507854571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>
        <f>EXP(-LN(2)/35)*BP112+(1-EXP(-LN(2)/35))/(LN(2)/35)*BL113*BM113*VLOOKUP('Données projet'!$B$11,Paramètres!$A$1:$I$89,3,0)*0.475*44/12</f>
        <v>24.53639894400775</v>
      </c>
      <c r="BQ113" s="21">
        <f>EXP(-LN(2)/25)*BQ112+(1-EXP(-LN(2)/25))/(LN(2)/25)*Calculateur!BL113*Calculateur!BN113*VLOOKUP('Données projet'!$B$11,Paramètres!$A$1:$I$89,3,0)*0.475*44/12</f>
        <v>35.760883547377148</v>
      </c>
      <c r="BR113" s="21">
        <f>EXP(-LN(2)/2)*BR112+(1-EXP(-LN(2)/2))/(LN(2)/2)*BL113*BO113*VLOOKUP('Données projet'!$B$11,Paramètres!$A$1:$I$89,3,0)*0.475*44/12</f>
        <v>2.4283217804964385</v>
      </c>
      <c r="BS113" s="22">
        <f t="shared" si="63"/>
        <v>62.725604271881338</v>
      </c>
      <c r="BT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0</v>
      </c>
      <c r="BZ113" s="13" t="e">
        <f>BY113*VLOOKUP('Données projet'!$B$12,Paramètres!$A$1:$I$89,3,0)*VLOOKUP('Données projet'!$B$12,Paramètres!$A$1:$I$89,5,0)</f>
        <v>#N/A</v>
      </c>
      <c r="CA113" s="13" t="e">
        <f t="shared" si="93"/>
        <v>#N/A</v>
      </c>
      <c r="CB113" s="20" t="e">
        <f t="shared" si="64"/>
        <v>#N/A</v>
      </c>
      <c r="CC113" s="59" t="e">
        <f t="shared" si="65"/>
        <v>#N/A</v>
      </c>
      <c r="CD113" s="59" t="e">
        <f ca="1">AVERAGE(OFFSET($CC$3,0,0,'Données projet'!$E$12+1,1))-AVERAGE(OFFSET($H$3,0,0,'Données projet'!$E$12+1,1))</f>
        <v>#N/A</v>
      </c>
      <c r="CE113" s="59" t="e">
        <f t="shared" si="94"/>
        <v>#N/A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 t="e">
        <f>EXP(-LN(2)/35)*CK112+(1-EXP(-LN(2)/35))/(LN(2)/35)*CG113*CH113*VLOOKUP('Données projet'!$B$12,Paramètres!$A$1:$I$89,3,0)*0.475*44/12</f>
        <v>#N/A</v>
      </c>
      <c r="CL113" s="21" t="e">
        <f>EXP(-LN(2)/25)*CL112+(1-EXP(-LN(2)/25))/(LN(2)/25)*Calculateur!CG113*Calculateur!CI113*VLOOKUP('Données projet'!$B$12,Paramètres!$A$1:$I$89,3,0)*0.475*44/12</f>
        <v>#N/A</v>
      </c>
      <c r="CM113" s="21" t="e">
        <f>EXP(-LN(2)/2)*CM112+(1-EXP(-LN(2)/2))/(LN(2)/2)*CG113*CJ113*VLOOKUP('Données projet'!$B$12,Paramètres!$A$1:$I$89,3,0)*0.475*44/12</f>
        <v>#N/A</v>
      </c>
      <c r="CN113" s="22" t="e">
        <f t="shared" si="66"/>
        <v>#N/A</v>
      </c>
      <c r="CO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0</v>
      </c>
      <c r="CU113" s="17" t="e">
        <f>CT113*VLOOKUP('Données projet'!$B$13,Paramètres!$A$1:$I$89,3,0)*VLOOKUP('Données projet'!$B$13,Paramètres!$A$1:$I$89,5,0)</f>
        <v>#N/A</v>
      </c>
      <c r="CV113" s="13" t="e">
        <f t="shared" si="95"/>
        <v>#N/A</v>
      </c>
      <c r="CW113" s="20" t="e">
        <f t="shared" si="67"/>
        <v>#N/A</v>
      </c>
      <c r="CX113" s="59" t="e">
        <f t="shared" si="68"/>
        <v>#N/A</v>
      </c>
      <c r="CY113" s="59" t="e">
        <f ca="1">AVERAGE(OFFSET($CX$3,0,0,'Données projet'!$E$13+1,1))-AVERAGE(OFFSET($H$3,0,0,'Données projet'!$E$13+1,1))</f>
        <v>#N/A</v>
      </c>
      <c r="CZ113" s="59" t="e">
        <f t="shared" si="96"/>
        <v>#N/A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 t="e">
        <f>EXP(-LN(2)/35)*DF112+(1-EXP(-LN(2)/35))/(LN(2)/35)*DB113*DC113*VLOOKUP('Données projet'!$B$13,Paramètres!$A$1:$I$89,3,0)*0.475*44/12</f>
        <v>#N/A</v>
      </c>
      <c r="DG113" s="21" t="e">
        <f>EXP(-LN(2)/25)*DG112+(1-EXP(-LN(2)/25))/(LN(2)/25)*Calculateur!DB113*Calculateur!DD113*VLOOKUP('Données projet'!$B$13,Paramètres!$A$1:$I$89,3,0)*0.475*44/12</f>
        <v>#N/A</v>
      </c>
      <c r="DH113" s="21" t="e">
        <f>EXP(-LN(2)/2)*DH112+(1-EXP(-LN(2)/2))/(LN(2)/2)*DB113*DE113*VLOOKUP('Données projet'!$B$13,Paramètres!$A$1:$I$89,3,0)*0.475*44/12</f>
        <v>#N/A</v>
      </c>
      <c r="DI113" s="22" t="e">
        <f t="shared" si="69"/>
        <v>#N/A</v>
      </c>
      <c r="DJ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0</v>
      </c>
      <c r="DP113" s="17" t="e">
        <f>DO113*VLOOKUP('Données projet'!$B$14,Paramètres!$A$1:$I$89,3,0)*VLOOKUP('Données projet'!$B$14,Paramètres!$A$1:$I$89,5,0)</f>
        <v>#N/A</v>
      </c>
      <c r="DQ113" s="13" t="e">
        <f t="shared" si="97"/>
        <v>#N/A</v>
      </c>
      <c r="DR113" s="20" t="e">
        <f t="shared" si="70"/>
        <v>#N/A</v>
      </c>
      <c r="DS113" s="59" t="e">
        <f t="shared" si="71"/>
        <v>#N/A</v>
      </c>
      <c r="DT113" s="59" t="e">
        <f ca="1">AVERAGE(OFFSET($DS$3,0,0,'Données projet'!$E$14+1,1))-AVERAGE(OFFSET($H$3,0,0,'Données projet'!$E$14+1,1))</f>
        <v>#N/A</v>
      </c>
      <c r="DU113" s="59" t="e">
        <f t="shared" si="98"/>
        <v>#N/A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 t="e">
        <f>EXP(-LN(2)/35)*EA112+(1-EXP(-LN(2)/35))/(LN(2)/35)*DW113*DX113*VLOOKUP('Données projet'!$B$14,Paramètres!$A$1:$I$89,3,0)*0.475*44/12</f>
        <v>#N/A</v>
      </c>
      <c r="EB113" s="21" t="e">
        <f>EXP(-LN(2)/25)*EB112+(1-EXP(-LN(2)/25))/(LN(2)/25)*Calculateur!DW113*Calculateur!DY113*VLOOKUP('Données projet'!$B$14,Paramètres!$A$1:$I$89,3,0)*0.475*44/12</f>
        <v>#N/A</v>
      </c>
      <c r="EC113" s="21" t="e">
        <f>EXP(-LN(2)/2)*EC112+(1-EXP(-LN(2)/2))/(LN(2)/2)*DW113*DZ113*VLOOKUP('Données projet'!$B$14,Paramètres!$A$1:$I$89,3,0)*0.475*44/12</f>
        <v>#N/A</v>
      </c>
      <c r="ED113" s="22" t="e">
        <f t="shared" si="72"/>
        <v>#N/A</v>
      </c>
      <c r="EE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0</v>
      </c>
      <c r="EK113" s="17" t="e">
        <f>EJ113*VLOOKUP('Données projet'!$B$15,Paramètres!$A$1:$I$89,3,0)*VLOOKUP('Données projet'!$B$15,Paramètres!$A$1:$I$89,5,0)</f>
        <v>#N/A</v>
      </c>
      <c r="EL113" s="13" t="e">
        <f t="shared" si="99"/>
        <v>#N/A</v>
      </c>
      <c r="EM113" s="20" t="e">
        <f t="shared" si="73"/>
        <v>#N/A</v>
      </c>
      <c r="EN113" s="59" t="e">
        <f t="shared" si="74"/>
        <v>#N/A</v>
      </c>
      <c r="EO113" s="59" t="e">
        <f ca="1">AVERAGE(OFFSET($EN$3,0,0,'Données projet'!$E$15+1,1))-AVERAGE(OFFSET($H$3,0,0,'Données projet'!$E$15+1,1))</f>
        <v>#N/A</v>
      </c>
      <c r="EP113" s="59" t="e">
        <f t="shared" si="100"/>
        <v>#N/A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 t="e">
        <f>EXP(-LN(2)/35)*EV112+(1-EXP(-LN(2)/35))/(LN(2)/35)*ER113*ES113*VLOOKUP('Données projet'!$B$15,Paramètres!$A$1:$I$89,3,0)*0.475*44/12</f>
        <v>#N/A</v>
      </c>
      <c r="EW113" s="21" t="e">
        <f>EXP(-LN(2)/25)*EW112+(1-EXP(-LN(2)/25))/(LN(2)/25)*Calculateur!ER113*Calculateur!ET113*VLOOKUP('Données projet'!$B$15,Paramètres!$A$1:$I$89,3,0)*0.475*44/12</f>
        <v>#N/A</v>
      </c>
      <c r="EX113" s="21" t="e">
        <f>EXP(-LN(2)/2)*EX112+(1-EXP(-LN(2)/2))/(LN(2)/2)*ER113*EU113*VLOOKUP('Données projet'!$B$15,Paramètres!$A$1:$I$89,3,0)*0.475*44/12</f>
        <v>#N/A</v>
      </c>
      <c r="EY113" s="22" t="e">
        <f t="shared" si="75"/>
        <v>#N/A</v>
      </c>
      <c r="EZ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9" t="e">
        <f t="shared" si="77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45">
      <c r="A114" s="10">
        <f t="shared" si="85"/>
        <v>111</v>
      </c>
      <c r="B114" s="73">
        <f>'Scénario référence'!$B$16*5+'Scénario référence'!$B$17*0+'Scénario référence'!$B$18*5</f>
        <v>0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98.701200000000171</v>
      </c>
      <c r="D114" s="11">
        <f t="shared" si="86"/>
        <v>26.65234132809799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">
        <f>IF(OR('Scénario référence'!$F$8&gt;0,'Scénario référence'!$F$9&gt;0),('Scénario référence'!$F$8+'Scénario référence'!$F$9)*10,0)</f>
        <v>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967.64137165549471</v>
      </c>
      <c r="H114" s="67">
        <f t="shared" si="56"/>
        <v>474.99075114643767</v>
      </c>
      <c r="I114" s="7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4.3516666666666692</v>
      </c>
      <c r="N114" s="13">
        <f>IF('Données projet'!$A$36&gt;35,N113+M114-V113,IF(A114&lt;'Données projet'!$A$36,$K$205^A114,IF(A114='Données projet'!$A$36,'Données projet'!$B$36,N113+M114-V113)))</f>
        <v>450.64499999999998</v>
      </c>
      <c r="O114" s="13">
        <f>N114*VLOOKUP('Données projet'!$B$9,Paramètres!$A$1:$I$89,3,0)*VLOOKUP('Données projet'!$B$9,Paramètres!$A$1:$I$89,5,0)</f>
        <v>251.91055499999999</v>
      </c>
      <c r="P114" s="13">
        <f t="shared" si="87"/>
        <v>60.994876000174997</v>
      </c>
      <c r="Q114" s="20">
        <f t="shared" si="107"/>
        <v>544.9769589919714</v>
      </c>
      <c r="R114" s="59">
        <f t="shared" si="55"/>
        <v>838.31029232530477</v>
      </c>
      <c r="S114" s="59">
        <f ca="1">AVERAGE(OFFSET($R$3,0,0,'Données projet'!$E$9+1,1))-AVERAGE(OFFSET($H$3,0,0,'Données projet'!$E$9+1,1))</f>
        <v>280.69347314340195</v>
      </c>
      <c r="T114" s="59">
        <f t="shared" si="88"/>
        <v>152.40533828556482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60.693262340196135</v>
      </c>
      <c r="AA114" s="21">
        <f>EXP(-LN(2)/25)*AA113+(1-EXP(-LN(2)/25))/(LN(2)/25)*Calculateur!V114*Calculateur!X114*VLOOKUP('Données projet'!$B$9,Paramètres!$A$1:$I$89,3,0)*0.475*44/12</f>
        <v>19.013681404257134</v>
      </c>
      <c r="AB114" s="21">
        <f>EXP(-LN(2)/2)*AB113+(1-EXP(-LN(2)/2))/(LN(2)/2)*V114*Y114*VLOOKUP('Données projet'!$B$9,Paramètres!$A$1:$I$89,3,0)*0.475*44/12</f>
        <v>2.9729859809628825</v>
      </c>
      <c r="AC114" s="22">
        <f t="shared" si="57"/>
        <v>82.679929725416159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0</v>
      </c>
      <c r="AI114" s="13">
        <f>IF('Données projet'!$A$62&gt;35,AI113+AH114-AQ113,IF(A114&lt;'Données projet'!$A$62,$AF$205^A114,IF(A114='Données projet'!$A$62,'Données projet'!$B$62,AI113+AH114-AQ113)))</f>
        <v>0</v>
      </c>
      <c r="AJ114" s="13">
        <f>AI114*VLOOKUP('Données projet'!$B$10,Paramètres!$A$1:$I$89,3,0)*VLOOKUP('Données projet'!$B$10,Paramètres!$A$1:$I$89,5,0)</f>
        <v>0</v>
      </c>
      <c r="AK114" s="13" t="e">
        <f t="shared" si="89"/>
        <v>#NUM!</v>
      </c>
      <c r="AL114" s="20" t="e">
        <f t="shared" si="58"/>
        <v>#NUM!</v>
      </c>
      <c r="AM114" s="59" t="e">
        <f t="shared" si="59"/>
        <v>#NUM!</v>
      </c>
      <c r="AN114" s="59">
        <f ca="1">AVERAGE(OFFSET($AM$3,0,0,'Données projet'!$E$10+1,1))-AVERAGE(OFFSET($H$3,0,0,'Données projet'!$E$10+1,1))</f>
        <v>179.4725256147085</v>
      </c>
      <c r="AO114" s="59">
        <f t="shared" si="90"/>
        <v>282.16750121151176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52.587470047193975</v>
      </c>
      <c r="AV114" s="21">
        <f>EXP(-LN(2)/25)*AV113+(1-EXP(-LN(2)/25))/(LN(2)/25)*Calculateur!AQ114*Calculateur!AS114*VLOOKUP('Données projet'!$B$10,Paramètres!$A$1:$I$89,3,0)*0.475*44/12</f>
        <v>11.881691318553708</v>
      </c>
      <c r="AW114" s="21">
        <f>EXP(-LN(2)/2)*AW113+(1-EXP(-LN(2)/2))/(LN(2)/2)*AQ114*AT114*VLOOKUP('Données projet'!$B$10,Paramètres!$A$1:$I$89,3,0)*0.475*44/12</f>
        <v>9.0869443847773857E-7</v>
      </c>
      <c r="AX114" s="21">
        <f t="shared" si="60"/>
        <v>64.469162274442112</v>
      </c>
      <c r="AY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8.4449999999999985</v>
      </c>
      <c r="BD114" s="12">
        <f>IF('Données projet'!$A$88&gt;35,BD113+BC114-BL113,IF(A114&lt;'Données projet'!$A$88,$BA$205^A114,IF(A114='Données projet'!$A$88,'Données projet'!$B$88,BD113+BC114-BL113)))</f>
        <v>330.89000000000055</v>
      </c>
      <c r="BE114" s="13">
        <f>BD114*VLOOKUP('Données projet'!$B$11,Paramètres!$A$1:$I$89,3,0)*VLOOKUP('Données projet'!$B$11,Paramètres!$A$1:$I$89,5,0)</f>
        <v>283.90362000000056</v>
      </c>
      <c r="BF114" s="13">
        <f t="shared" si="91"/>
        <v>67.791290091983981</v>
      </c>
      <c r="BG114" s="20">
        <f t="shared" si="61"/>
        <v>612.53530174353966</v>
      </c>
      <c r="BH114" s="59">
        <f t="shared" si="62"/>
        <v>905.86863507687303</v>
      </c>
      <c r="BI114" s="59">
        <f ca="1">AVERAGE(OFFSET($BH$3,0,0,'Données projet'!$E$11+1,1))-AVERAGE(OFFSET($H$3,0,0,'Données projet'!$E$11+1,1))</f>
        <v>312.89478437044261</v>
      </c>
      <c r="BJ114" s="59">
        <f t="shared" si="92"/>
        <v>276.16555507854571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>
        <f>EXP(-LN(2)/35)*BP113+(1-EXP(-LN(2)/35))/(LN(2)/35)*BL114*BM114*VLOOKUP('Données projet'!$B$11,Paramètres!$A$1:$I$89,3,0)*0.475*44/12</f>
        <v>24.05525512644137</v>
      </c>
      <c r="BQ114" s="21">
        <f>EXP(-LN(2)/25)*BQ113+(1-EXP(-LN(2)/25))/(LN(2)/25)*Calculateur!BL114*Calculateur!BN114*VLOOKUP('Données projet'!$B$11,Paramètres!$A$1:$I$89,3,0)*0.475*44/12</f>
        <v>34.783000306190985</v>
      </c>
      <c r="BR114" s="21">
        <f>EXP(-LN(2)/2)*BR113+(1-EXP(-LN(2)/2))/(LN(2)/2)*BL114*BO114*VLOOKUP('Données projet'!$B$11,Paramètres!$A$1:$I$89,3,0)*0.475*44/12</f>
        <v>1.7170827978920227</v>
      </c>
      <c r="BS114" s="22">
        <f t="shared" si="63"/>
        <v>60.555338230524377</v>
      </c>
      <c r="BT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0</v>
      </c>
      <c r="BZ114" s="13" t="e">
        <f>BY114*VLOOKUP('Données projet'!$B$12,Paramètres!$A$1:$I$89,3,0)*VLOOKUP('Données projet'!$B$12,Paramètres!$A$1:$I$89,5,0)</f>
        <v>#N/A</v>
      </c>
      <c r="CA114" s="13" t="e">
        <f t="shared" si="93"/>
        <v>#N/A</v>
      </c>
      <c r="CB114" s="20" t="e">
        <f t="shared" si="64"/>
        <v>#N/A</v>
      </c>
      <c r="CC114" s="59" t="e">
        <f t="shared" si="65"/>
        <v>#N/A</v>
      </c>
      <c r="CD114" s="59" t="e">
        <f ca="1">AVERAGE(OFFSET($CC$3,0,0,'Données projet'!$E$12+1,1))-AVERAGE(OFFSET($H$3,0,0,'Données projet'!$E$12+1,1))</f>
        <v>#N/A</v>
      </c>
      <c r="CE114" s="59" t="e">
        <f t="shared" si="94"/>
        <v>#N/A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 t="e">
        <f>EXP(-LN(2)/35)*CK113+(1-EXP(-LN(2)/35))/(LN(2)/35)*CG114*CH114*VLOOKUP('Données projet'!$B$12,Paramètres!$A$1:$I$89,3,0)*0.475*44/12</f>
        <v>#N/A</v>
      </c>
      <c r="CL114" s="21" t="e">
        <f>EXP(-LN(2)/25)*CL113+(1-EXP(-LN(2)/25))/(LN(2)/25)*Calculateur!CG114*Calculateur!CI114*VLOOKUP('Données projet'!$B$12,Paramètres!$A$1:$I$89,3,0)*0.475*44/12</f>
        <v>#N/A</v>
      </c>
      <c r="CM114" s="21" t="e">
        <f>EXP(-LN(2)/2)*CM113+(1-EXP(-LN(2)/2))/(LN(2)/2)*CG114*CJ114*VLOOKUP('Données projet'!$B$12,Paramètres!$A$1:$I$89,3,0)*0.475*44/12</f>
        <v>#N/A</v>
      </c>
      <c r="CN114" s="22" t="e">
        <f t="shared" si="66"/>
        <v>#N/A</v>
      </c>
      <c r="CO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0</v>
      </c>
      <c r="CU114" s="17" t="e">
        <f>CT114*VLOOKUP('Données projet'!$B$13,Paramètres!$A$1:$I$89,3,0)*VLOOKUP('Données projet'!$B$13,Paramètres!$A$1:$I$89,5,0)</f>
        <v>#N/A</v>
      </c>
      <c r="CV114" s="13" t="e">
        <f t="shared" si="95"/>
        <v>#N/A</v>
      </c>
      <c r="CW114" s="20" t="e">
        <f t="shared" si="67"/>
        <v>#N/A</v>
      </c>
      <c r="CX114" s="59" t="e">
        <f t="shared" si="68"/>
        <v>#N/A</v>
      </c>
      <c r="CY114" s="59" t="e">
        <f ca="1">AVERAGE(OFFSET($CX$3,0,0,'Données projet'!$E$13+1,1))-AVERAGE(OFFSET($H$3,0,0,'Données projet'!$E$13+1,1))</f>
        <v>#N/A</v>
      </c>
      <c r="CZ114" s="59" t="e">
        <f t="shared" si="96"/>
        <v>#N/A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 t="e">
        <f>EXP(-LN(2)/35)*DF113+(1-EXP(-LN(2)/35))/(LN(2)/35)*DB114*DC114*VLOOKUP('Données projet'!$B$13,Paramètres!$A$1:$I$89,3,0)*0.475*44/12</f>
        <v>#N/A</v>
      </c>
      <c r="DG114" s="21" t="e">
        <f>EXP(-LN(2)/25)*DG113+(1-EXP(-LN(2)/25))/(LN(2)/25)*Calculateur!DB114*Calculateur!DD114*VLOOKUP('Données projet'!$B$13,Paramètres!$A$1:$I$89,3,0)*0.475*44/12</f>
        <v>#N/A</v>
      </c>
      <c r="DH114" s="21" t="e">
        <f>EXP(-LN(2)/2)*DH113+(1-EXP(-LN(2)/2))/(LN(2)/2)*DB114*DE114*VLOOKUP('Données projet'!$B$13,Paramètres!$A$1:$I$89,3,0)*0.475*44/12</f>
        <v>#N/A</v>
      </c>
      <c r="DI114" s="22" t="e">
        <f t="shared" si="69"/>
        <v>#N/A</v>
      </c>
      <c r="DJ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0</v>
      </c>
      <c r="DP114" s="17" t="e">
        <f>DO114*VLOOKUP('Données projet'!$B$14,Paramètres!$A$1:$I$89,3,0)*VLOOKUP('Données projet'!$B$14,Paramètres!$A$1:$I$89,5,0)</f>
        <v>#N/A</v>
      </c>
      <c r="DQ114" s="13" t="e">
        <f t="shared" si="97"/>
        <v>#N/A</v>
      </c>
      <c r="DR114" s="20" t="e">
        <f t="shared" si="70"/>
        <v>#N/A</v>
      </c>
      <c r="DS114" s="59" t="e">
        <f t="shared" si="71"/>
        <v>#N/A</v>
      </c>
      <c r="DT114" s="59" t="e">
        <f ca="1">AVERAGE(OFFSET($DS$3,0,0,'Données projet'!$E$14+1,1))-AVERAGE(OFFSET($H$3,0,0,'Données projet'!$E$14+1,1))</f>
        <v>#N/A</v>
      </c>
      <c r="DU114" s="59" t="e">
        <f t="shared" si="98"/>
        <v>#N/A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 t="e">
        <f>EXP(-LN(2)/35)*EA113+(1-EXP(-LN(2)/35))/(LN(2)/35)*DW114*DX114*VLOOKUP('Données projet'!$B$14,Paramètres!$A$1:$I$89,3,0)*0.475*44/12</f>
        <v>#N/A</v>
      </c>
      <c r="EB114" s="21" t="e">
        <f>EXP(-LN(2)/25)*EB113+(1-EXP(-LN(2)/25))/(LN(2)/25)*Calculateur!DW114*Calculateur!DY114*VLOOKUP('Données projet'!$B$14,Paramètres!$A$1:$I$89,3,0)*0.475*44/12</f>
        <v>#N/A</v>
      </c>
      <c r="EC114" s="21" t="e">
        <f>EXP(-LN(2)/2)*EC113+(1-EXP(-LN(2)/2))/(LN(2)/2)*DW114*DZ114*VLOOKUP('Données projet'!$B$14,Paramètres!$A$1:$I$89,3,0)*0.475*44/12</f>
        <v>#N/A</v>
      </c>
      <c r="ED114" s="22" t="e">
        <f t="shared" si="72"/>
        <v>#N/A</v>
      </c>
      <c r="EE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0</v>
      </c>
      <c r="EK114" s="17" t="e">
        <f>EJ114*VLOOKUP('Données projet'!$B$15,Paramètres!$A$1:$I$89,3,0)*VLOOKUP('Données projet'!$B$15,Paramètres!$A$1:$I$89,5,0)</f>
        <v>#N/A</v>
      </c>
      <c r="EL114" s="13" t="e">
        <f t="shared" si="99"/>
        <v>#N/A</v>
      </c>
      <c r="EM114" s="20" t="e">
        <f t="shared" si="73"/>
        <v>#N/A</v>
      </c>
      <c r="EN114" s="59" t="e">
        <f t="shared" si="74"/>
        <v>#N/A</v>
      </c>
      <c r="EO114" s="59" t="e">
        <f ca="1">AVERAGE(OFFSET($EN$3,0,0,'Données projet'!$E$15+1,1))-AVERAGE(OFFSET($H$3,0,0,'Données projet'!$E$15+1,1))</f>
        <v>#N/A</v>
      </c>
      <c r="EP114" s="59" t="e">
        <f t="shared" si="100"/>
        <v>#N/A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 t="e">
        <f>EXP(-LN(2)/35)*EV113+(1-EXP(-LN(2)/35))/(LN(2)/35)*ER114*ES114*VLOOKUP('Données projet'!$B$15,Paramètres!$A$1:$I$89,3,0)*0.475*44/12</f>
        <v>#N/A</v>
      </c>
      <c r="EW114" s="21" t="e">
        <f>EXP(-LN(2)/25)*EW113+(1-EXP(-LN(2)/25))/(LN(2)/25)*Calculateur!ER114*Calculateur!ET114*VLOOKUP('Données projet'!$B$15,Paramètres!$A$1:$I$89,3,0)*0.475*44/12</f>
        <v>#N/A</v>
      </c>
      <c r="EX114" s="21" t="e">
        <f>EXP(-LN(2)/2)*EX113+(1-EXP(-LN(2)/2))/(LN(2)/2)*ER114*EU114*VLOOKUP('Données projet'!$B$15,Paramètres!$A$1:$I$89,3,0)*0.475*44/12</f>
        <v>#N/A</v>
      </c>
      <c r="EY114" s="22" t="e">
        <f t="shared" si="75"/>
        <v>#N/A</v>
      </c>
      <c r="EZ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9" t="e">
        <f t="shared" si="77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45">
      <c r="A115" s="10">
        <f t="shared" si="85"/>
        <v>112</v>
      </c>
      <c r="B115" s="73">
        <f>'Scénario référence'!$B$16*5+'Scénario référence'!$B$17*0+'Scénario référence'!$B$18*5</f>
        <v>0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99.590400000000173</v>
      </c>
      <c r="D115" s="11">
        <f t="shared" si="86"/>
        <v>26.864392698869374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">
        <f>IF(OR('Scénario référence'!$F$8&gt;0,'Scénario référence'!$F$9&gt;0),('Scénario référence'!$F$8+'Scénario référence'!$F$9)*10,0)</f>
        <v>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976.14225942987014</v>
      </c>
      <c r="H115" s="67">
        <f t="shared" si="56"/>
        <v>476.90876395053112</v>
      </c>
      <c r="I115" s="7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4.3516666666666692</v>
      </c>
      <c r="N115" s="13">
        <f>IF('Données projet'!$A$36&gt;35,N114+M115-V114,IF(A115&lt;'Données projet'!$A$36,$K$205^A115,IF(A115='Données projet'!$A$36,'Données projet'!$B$36,N114+M115-V114)))</f>
        <v>454.99666666666667</v>
      </c>
      <c r="O115" s="13">
        <f>N115*VLOOKUP('Données projet'!$B$9,Paramètres!$A$1:$I$89,3,0)*VLOOKUP('Données projet'!$B$9,Paramètres!$A$1:$I$89,5,0)</f>
        <v>254.34313666666665</v>
      </c>
      <c r="P115" s="13">
        <f t="shared" si="87"/>
        <v>61.51502390229593</v>
      </c>
      <c r="Q115" s="20">
        <f t="shared" si="107"/>
        <v>550.11962965760983</v>
      </c>
      <c r="R115" s="59">
        <f t="shared" si="55"/>
        <v>843.45296299094321</v>
      </c>
      <c r="S115" s="59">
        <f ca="1">AVERAGE(OFFSET($R$3,0,0,'Données projet'!$E$9+1,1))-AVERAGE(OFFSET($H$3,0,0,'Données projet'!$E$9+1,1))</f>
        <v>280.69347314340195</v>
      </c>
      <c r="T115" s="59">
        <f t="shared" si="88"/>
        <v>152.40533828556482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59.50310448493957</v>
      </c>
      <c r="AA115" s="21">
        <f>EXP(-LN(2)/25)*AA114+(1-EXP(-LN(2)/25))/(LN(2)/25)*Calculateur!V115*Calculateur!X115*VLOOKUP('Données projet'!$B$9,Paramètres!$A$1:$I$89,3,0)*0.475*44/12</f>
        <v>18.493751286371676</v>
      </c>
      <c r="AB115" s="21">
        <f>EXP(-LN(2)/2)*AB114+(1-EXP(-LN(2)/2))/(LN(2)/2)*V115*Y115*VLOOKUP('Données projet'!$B$9,Paramètres!$A$1:$I$89,3,0)*0.475*44/12</f>
        <v>2.1022185475113946</v>
      </c>
      <c r="AC115" s="22">
        <f t="shared" si="57"/>
        <v>80.099074318822645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0</v>
      </c>
      <c r="AI115" s="13">
        <f>IF('Données projet'!$A$62&gt;35,AI114+AH115-AQ114,IF(A115&lt;'Données projet'!$A$62,$AF$205^A115,IF(A115='Données projet'!$A$62,'Données projet'!$B$62,AI114+AH115-AQ114)))</f>
        <v>0</v>
      </c>
      <c r="AJ115" s="13">
        <f>AI115*VLOOKUP('Données projet'!$B$10,Paramètres!$A$1:$I$89,3,0)*VLOOKUP('Données projet'!$B$10,Paramètres!$A$1:$I$89,5,0)</f>
        <v>0</v>
      </c>
      <c r="AK115" s="13" t="e">
        <f t="shared" si="89"/>
        <v>#NUM!</v>
      </c>
      <c r="AL115" s="20" t="e">
        <f t="shared" si="58"/>
        <v>#NUM!</v>
      </c>
      <c r="AM115" s="59" t="e">
        <f t="shared" si="59"/>
        <v>#NUM!</v>
      </c>
      <c r="AN115" s="59">
        <f ca="1">AVERAGE(OFFSET($AM$3,0,0,'Données projet'!$E$10+1,1))-AVERAGE(OFFSET($H$3,0,0,'Données projet'!$E$10+1,1))</f>
        <v>179.4725256147085</v>
      </c>
      <c r="AO115" s="59">
        <f t="shared" si="90"/>
        <v>282.16750121151176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51.556261834758068</v>
      </c>
      <c r="AV115" s="21">
        <f>EXP(-LN(2)/25)*AV114+(1-EXP(-LN(2)/25))/(LN(2)/25)*Calculateur!AQ115*Calculateur!AS115*VLOOKUP('Données projet'!$B$10,Paramètres!$A$1:$I$89,3,0)*0.475*44/12</f>
        <v>11.556785844616867</v>
      </c>
      <c r="AW115" s="21">
        <f>EXP(-LN(2)/2)*AW114+(1-EXP(-LN(2)/2))/(LN(2)/2)*AQ115*AT115*VLOOKUP('Données projet'!$B$10,Paramètres!$A$1:$I$89,3,0)*0.475*44/12</f>
        <v>6.4254399947411095E-7</v>
      </c>
      <c r="AX115" s="21">
        <f t="shared" si="60"/>
        <v>63.113048321918939</v>
      </c>
      <c r="AY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8.4449999999999985</v>
      </c>
      <c r="BD115" s="12">
        <f>IF('Données projet'!$A$88&gt;35,BD114+BC115-BL114,IF(A115&lt;'Données projet'!$A$88,$BA$205^A115,IF(A115='Données projet'!$A$88,'Données projet'!$B$88,BD114+BC115-BL114)))</f>
        <v>339.33500000000055</v>
      </c>
      <c r="BE115" s="13">
        <f>BD115*VLOOKUP('Données projet'!$B$11,Paramètres!$A$1:$I$89,3,0)*VLOOKUP('Données projet'!$B$11,Paramètres!$A$1:$I$89,5,0)</f>
        <v>291.14943000000051</v>
      </c>
      <c r="BF115" s="13">
        <f t="shared" si="91"/>
        <v>69.317822743089025</v>
      </c>
      <c r="BG115" s="20">
        <f t="shared" si="61"/>
        <v>627.81379852754765</v>
      </c>
      <c r="BH115" s="59">
        <f t="shared" si="62"/>
        <v>921.14713186088102</v>
      </c>
      <c r="BI115" s="59">
        <f ca="1">AVERAGE(OFFSET($BH$3,0,0,'Données projet'!$E$11+1,1))-AVERAGE(OFFSET($H$3,0,0,'Données projet'!$E$11+1,1))</f>
        <v>312.89478437044261</v>
      </c>
      <c r="BJ115" s="59">
        <f t="shared" si="92"/>
        <v>276.16555507854571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>
        <f>EXP(-LN(2)/35)*BP114+(1-EXP(-LN(2)/35))/(LN(2)/35)*BL115*BM115*VLOOKUP('Données projet'!$B$11,Paramètres!$A$1:$I$89,3,0)*0.475*44/12</f>
        <v>23.583546245668717</v>
      </c>
      <c r="BQ115" s="21">
        <f>EXP(-LN(2)/25)*BQ114+(1-EXP(-LN(2)/25))/(LN(2)/25)*Calculateur!BL115*Calculateur!BN115*VLOOKUP('Données projet'!$B$11,Paramètres!$A$1:$I$89,3,0)*0.475*44/12</f>
        <v>33.831857333659705</v>
      </c>
      <c r="BR115" s="21">
        <f>EXP(-LN(2)/2)*BR114+(1-EXP(-LN(2)/2))/(LN(2)/2)*BL115*BO115*VLOOKUP('Données projet'!$B$11,Paramètres!$A$1:$I$89,3,0)*0.475*44/12</f>
        <v>1.2141608902482193</v>
      </c>
      <c r="BS115" s="22">
        <f t="shared" si="63"/>
        <v>58.629564469576643</v>
      </c>
      <c r="BT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0</v>
      </c>
      <c r="BZ115" s="13" t="e">
        <f>BY115*VLOOKUP('Données projet'!$B$12,Paramètres!$A$1:$I$89,3,0)*VLOOKUP('Données projet'!$B$12,Paramètres!$A$1:$I$89,5,0)</f>
        <v>#N/A</v>
      </c>
      <c r="CA115" s="13" t="e">
        <f t="shared" si="93"/>
        <v>#N/A</v>
      </c>
      <c r="CB115" s="20" t="e">
        <f t="shared" si="64"/>
        <v>#N/A</v>
      </c>
      <c r="CC115" s="59" t="e">
        <f t="shared" si="65"/>
        <v>#N/A</v>
      </c>
      <c r="CD115" s="59" t="e">
        <f ca="1">AVERAGE(OFFSET($CC$3,0,0,'Données projet'!$E$12+1,1))-AVERAGE(OFFSET($H$3,0,0,'Données projet'!$E$12+1,1))</f>
        <v>#N/A</v>
      </c>
      <c r="CE115" s="59" t="e">
        <f t="shared" si="94"/>
        <v>#N/A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 t="e">
        <f>EXP(-LN(2)/35)*CK114+(1-EXP(-LN(2)/35))/(LN(2)/35)*CG115*CH115*VLOOKUP('Données projet'!$B$12,Paramètres!$A$1:$I$89,3,0)*0.475*44/12</f>
        <v>#N/A</v>
      </c>
      <c r="CL115" s="21" t="e">
        <f>EXP(-LN(2)/25)*CL114+(1-EXP(-LN(2)/25))/(LN(2)/25)*Calculateur!CG115*Calculateur!CI115*VLOOKUP('Données projet'!$B$12,Paramètres!$A$1:$I$89,3,0)*0.475*44/12</f>
        <v>#N/A</v>
      </c>
      <c r="CM115" s="21" t="e">
        <f>EXP(-LN(2)/2)*CM114+(1-EXP(-LN(2)/2))/(LN(2)/2)*CG115*CJ115*VLOOKUP('Données projet'!$B$12,Paramètres!$A$1:$I$89,3,0)*0.475*44/12</f>
        <v>#N/A</v>
      </c>
      <c r="CN115" s="22" t="e">
        <f t="shared" si="66"/>
        <v>#N/A</v>
      </c>
      <c r="CO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0</v>
      </c>
      <c r="CU115" s="17" t="e">
        <f>CT115*VLOOKUP('Données projet'!$B$13,Paramètres!$A$1:$I$89,3,0)*VLOOKUP('Données projet'!$B$13,Paramètres!$A$1:$I$89,5,0)</f>
        <v>#N/A</v>
      </c>
      <c r="CV115" s="13" t="e">
        <f t="shared" si="95"/>
        <v>#N/A</v>
      </c>
      <c r="CW115" s="20" t="e">
        <f t="shared" si="67"/>
        <v>#N/A</v>
      </c>
      <c r="CX115" s="59" t="e">
        <f t="shared" si="68"/>
        <v>#N/A</v>
      </c>
      <c r="CY115" s="59" t="e">
        <f ca="1">AVERAGE(OFFSET($CX$3,0,0,'Données projet'!$E$13+1,1))-AVERAGE(OFFSET($H$3,0,0,'Données projet'!$E$13+1,1))</f>
        <v>#N/A</v>
      </c>
      <c r="CZ115" s="59" t="e">
        <f t="shared" si="96"/>
        <v>#N/A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 t="e">
        <f>EXP(-LN(2)/35)*DF114+(1-EXP(-LN(2)/35))/(LN(2)/35)*DB115*DC115*VLOOKUP('Données projet'!$B$13,Paramètres!$A$1:$I$89,3,0)*0.475*44/12</f>
        <v>#N/A</v>
      </c>
      <c r="DG115" s="21" t="e">
        <f>EXP(-LN(2)/25)*DG114+(1-EXP(-LN(2)/25))/(LN(2)/25)*Calculateur!DB115*Calculateur!DD115*VLOOKUP('Données projet'!$B$13,Paramètres!$A$1:$I$89,3,0)*0.475*44/12</f>
        <v>#N/A</v>
      </c>
      <c r="DH115" s="21" t="e">
        <f>EXP(-LN(2)/2)*DH114+(1-EXP(-LN(2)/2))/(LN(2)/2)*DB115*DE115*VLOOKUP('Données projet'!$B$13,Paramètres!$A$1:$I$89,3,0)*0.475*44/12</f>
        <v>#N/A</v>
      </c>
      <c r="DI115" s="22" t="e">
        <f t="shared" si="69"/>
        <v>#N/A</v>
      </c>
      <c r="DJ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0</v>
      </c>
      <c r="DP115" s="17" t="e">
        <f>DO115*VLOOKUP('Données projet'!$B$14,Paramètres!$A$1:$I$89,3,0)*VLOOKUP('Données projet'!$B$14,Paramètres!$A$1:$I$89,5,0)</f>
        <v>#N/A</v>
      </c>
      <c r="DQ115" s="13" t="e">
        <f t="shared" si="97"/>
        <v>#N/A</v>
      </c>
      <c r="DR115" s="20" t="e">
        <f t="shared" si="70"/>
        <v>#N/A</v>
      </c>
      <c r="DS115" s="59" t="e">
        <f t="shared" si="71"/>
        <v>#N/A</v>
      </c>
      <c r="DT115" s="59" t="e">
        <f ca="1">AVERAGE(OFFSET($DS$3,0,0,'Données projet'!$E$14+1,1))-AVERAGE(OFFSET($H$3,0,0,'Données projet'!$E$14+1,1))</f>
        <v>#N/A</v>
      </c>
      <c r="DU115" s="59" t="e">
        <f t="shared" si="98"/>
        <v>#N/A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 t="e">
        <f>EXP(-LN(2)/35)*EA114+(1-EXP(-LN(2)/35))/(LN(2)/35)*DW115*DX115*VLOOKUP('Données projet'!$B$14,Paramètres!$A$1:$I$89,3,0)*0.475*44/12</f>
        <v>#N/A</v>
      </c>
      <c r="EB115" s="21" t="e">
        <f>EXP(-LN(2)/25)*EB114+(1-EXP(-LN(2)/25))/(LN(2)/25)*Calculateur!DW115*Calculateur!DY115*VLOOKUP('Données projet'!$B$14,Paramètres!$A$1:$I$89,3,0)*0.475*44/12</f>
        <v>#N/A</v>
      </c>
      <c r="EC115" s="21" t="e">
        <f>EXP(-LN(2)/2)*EC114+(1-EXP(-LN(2)/2))/(LN(2)/2)*DW115*DZ115*VLOOKUP('Données projet'!$B$14,Paramètres!$A$1:$I$89,3,0)*0.475*44/12</f>
        <v>#N/A</v>
      </c>
      <c r="ED115" s="22" t="e">
        <f t="shared" si="72"/>
        <v>#N/A</v>
      </c>
      <c r="EE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0</v>
      </c>
      <c r="EK115" s="17" t="e">
        <f>EJ115*VLOOKUP('Données projet'!$B$15,Paramètres!$A$1:$I$89,3,0)*VLOOKUP('Données projet'!$B$15,Paramètres!$A$1:$I$89,5,0)</f>
        <v>#N/A</v>
      </c>
      <c r="EL115" s="13" t="e">
        <f t="shared" si="99"/>
        <v>#N/A</v>
      </c>
      <c r="EM115" s="20" t="e">
        <f t="shared" si="73"/>
        <v>#N/A</v>
      </c>
      <c r="EN115" s="59" t="e">
        <f t="shared" si="74"/>
        <v>#N/A</v>
      </c>
      <c r="EO115" s="59" t="e">
        <f ca="1">AVERAGE(OFFSET($EN$3,0,0,'Données projet'!$E$15+1,1))-AVERAGE(OFFSET($H$3,0,0,'Données projet'!$E$15+1,1))</f>
        <v>#N/A</v>
      </c>
      <c r="EP115" s="59" t="e">
        <f t="shared" si="100"/>
        <v>#N/A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 t="e">
        <f>EXP(-LN(2)/35)*EV114+(1-EXP(-LN(2)/35))/(LN(2)/35)*ER115*ES115*VLOOKUP('Données projet'!$B$15,Paramètres!$A$1:$I$89,3,0)*0.475*44/12</f>
        <v>#N/A</v>
      </c>
      <c r="EW115" s="21" t="e">
        <f>EXP(-LN(2)/25)*EW114+(1-EXP(-LN(2)/25))/(LN(2)/25)*Calculateur!ER115*Calculateur!ET115*VLOOKUP('Données projet'!$B$15,Paramètres!$A$1:$I$89,3,0)*0.475*44/12</f>
        <v>#N/A</v>
      </c>
      <c r="EX115" s="21" t="e">
        <f>EXP(-LN(2)/2)*EX114+(1-EXP(-LN(2)/2))/(LN(2)/2)*ER115*EU115*VLOOKUP('Données projet'!$B$15,Paramètres!$A$1:$I$89,3,0)*0.475*44/12</f>
        <v>#N/A</v>
      </c>
      <c r="EY115" s="22" t="e">
        <f t="shared" si="75"/>
        <v>#N/A</v>
      </c>
      <c r="EZ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9" t="e">
        <f t="shared" si="77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45">
      <c r="A116" s="10">
        <f t="shared" si="85"/>
        <v>113</v>
      </c>
      <c r="B116" s="73">
        <f>'Scénario référence'!$B$16*5+'Scénario référence'!$B$17*0+'Scénario référence'!$B$18*5</f>
        <v>0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100.47960000000018</v>
      </c>
      <c r="D116" s="11">
        <f t="shared" si="86"/>
        <v>27.076223799065254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">
        <f>IF(OR('Scénario référence'!$F$8&gt;0,'Scénario référence'!$F$9&gt;0),('Scénario référence'!$F$8+'Scénario référence'!$F$9)*10,0)</f>
        <v>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984.64144686997872</v>
      </c>
      <c r="H116" s="67">
        <f t="shared" si="56"/>
        <v>478.82639311670562</v>
      </c>
      <c r="I116" s="7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4.3516666666666692</v>
      </c>
      <c r="N116" s="13">
        <f>IF('Données projet'!$A$36&gt;35,N115+M116-V115,IF(A116&lt;'Données projet'!$A$36,$K$205^A116,IF(A116='Données projet'!$A$36,'Données projet'!$B$36,N115+M116-V115)))</f>
        <v>459.34833333333336</v>
      </c>
      <c r="O116" s="13">
        <f>N116*VLOOKUP('Données projet'!$B$9,Paramètres!$A$1:$I$89,3,0)*VLOOKUP('Données projet'!$B$9,Paramètres!$A$1:$I$89,5,0)</f>
        <v>256.77571833333337</v>
      </c>
      <c r="P116" s="13">
        <f t="shared" si="87"/>
        <v>62.034593052397071</v>
      </c>
      <c r="Q116" s="20">
        <f t="shared" si="107"/>
        <v>555.26129233014706</v>
      </c>
      <c r="R116" s="59">
        <f t="shared" si="55"/>
        <v>848.59462566348043</v>
      </c>
      <c r="S116" s="59">
        <f ca="1">AVERAGE(OFFSET($R$3,0,0,'Données projet'!$E$9+1,1))-AVERAGE(OFFSET($H$3,0,0,'Données projet'!$E$9+1,1))</f>
        <v>280.69347314340195</v>
      </c>
      <c r="T116" s="59">
        <f t="shared" si="88"/>
        <v>152.40533828556482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58.336284899299976</v>
      </c>
      <c r="AA116" s="21">
        <f>EXP(-LN(2)/25)*AA115+(1-EXP(-LN(2)/25))/(LN(2)/25)*Calculateur!V116*Calculateur!X116*VLOOKUP('Données projet'!$B$9,Paramètres!$A$1:$I$89,3,0)*0.475*44/12</f>
        <v>17.988038684901731</v>
      </c>
      <c r="AB116" s="21">
        <f>EXP(-LN(2)/2)*AB115+(1-EXP(-LN(2)/2))/(LN(2)/2)*V116*Y116*VLOOKUP('Données projet'!$B$9,Paramètres!$A$1:$I$89,3,0)*0.475*44/12</f>
        <v>1.4864929904814415</v>
      </c>
      <c r="AC116" s="22">
        <f t="shared" si="57"/>
        <v>77.810816574683145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0</v>
      </c>
      <c r="AI116" s="13">
        <f>IF('Données projet'!$A$62&gt;35,AI115+AH116-AQ115,IF(A116&lt;'Données projet'!$A$62,$AF$205^A116,IF(A116='Données projet'!$A$62,'Données projet'!$B$62,AI115+AH116-AQ115)))</f>
        <v>0</v>
      </c>
      <c r="AJ116" s="13">
        <f>AI116*VLOOKUP('Données projet'!$B$10,Paramètres!$A$1:$I$89,3,0)*VLOOKUP('Données projet'!$B$10,Paramètres!$A$1:$I$89,5,0)</f>
        <v>0</v>
      </c>
      <c r="AK116" s="13" t="e">
        <f t="shared" si="89"/>
        <v>#NUM!</v>
      </c>
      <c r="AL116" s="20" t="e">
        <f t="shared" si="58"/>
        <v>#NUM!</v>
      </c>
      <c r="AM116" s="59" t="e">
        <f t="shared" si="59"/>
        <v>#NUM!</v>
      </c>
      <c r="AN116" s="59">
        <f ca="1">AVERAGE(OFFSET($AM$3,0,0,'Données projet'!$E$10+1,1))-AVERAGE(OFFSET($H$3,0,0,'Données projet'!$E$10+1,1))</f>
        <v>179.4725256147085</v>
      </c>
      <c r="AO116" s="59">
        <f t="shared" si="90"/>
        <v>282.16750121151176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50.545274986393125</v>
      </c>
      <c r="AV116" s="21">
        <f>EXP(-LN(2)/25)*AV115+(1-EXP(-LN(2)/25))/(LN(2)/25)*Calculateur!AQ116*Calculateur!AS116*VLOOKUP('Données projet'!$B$10,Paramètres!$A$1:$I$89,3,0)*0.475*44/12</f>
        <v>11.240764927950865</v>
      </c>
      <c r="AW116" s="21">
        <f>EXP(-LN(2)/2)*AW115+(1-EXP(-LN(2)/2))/(LN(2)/2)*AQ116*AT116*VLOOKUP('Données projet'!$B$10,Paramètres!$A$1:$I$89,3,0)*0.475*44/12</f>
        <v>4.5434721923886929E-7</v>
      </c>
      <c r="AX116" s="21">
        <f t="shared" si="60"/>
        <v>61.786040368691204</v>
      </c>
      <c r="AY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8.4449999999999985</v>
      </c>
      <c r="BD116" s="12">
        <f>IF('Données projet'!$A$88&gt;35,BD115+BC116-BL115,IF(A116&lt;'Données projet'!$A$88,$BA$205^A116,IF(A116='Données projet'!$A$88,'Données projet'!$B$88,BD115+BC116-BL115)))</f>
        <v>347.78000000000054</v>
      </c>
      <c r="BE116" s="13">
        <f>BD116*VLOOKUP('Données projet'!$B$11,Paramètres!$A$1:$I$89,3,0)*VLOOKUP('Données projet'!$B$11,Paramètres!$A$1:$I$89,5,0)</f>
        <v>298.39524000000051</v>
      </c>
      <c r="BF116" s="13">
        <f t="shared" si="91"/>
        <v>70.83993919587239</v>
      </c>
      <c r="BG116" s="20">
        <f t="shared" si="61"/>
        <v>643.08460376614528</v>
      </c>
      <c r="BH116" s="59">
        <f t="shared" si="62"/>
        <v>936.41793709947865</v>
      </c>
      <c r="BI116" s="59">
        <f ca="1">AVERAGE(OFFSET($BH$3,0,0,'Données projet'!$E$11+1,1))-AVERAGE(OFFSET($H$3,0,0,'Données projet'!$E$11+1,1))</f>
        <v>312.89478437044261</v>
      </c>
      <c r="BJ116" s="59">
        <f t="shared" si="92"/>
        <v>276.16555507854571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>
        <f>EXP(-LN(2)/35)*BP115+(1-EXP(-LN(2)/35))/(LN(2)/35)*BL116*BM116*VLOOKUP('Données projet'!$B$11,Paramètres!$A$1:$I$89,3,0)*0.475*44/12</f>
        <v>23.121087288334007</v>
      </c>
      <c r="BQ116" s="21">
        <f>EXP(-LN(2)/25)*BQ115+(1-EXP(-LN(2)/25))/(LN(2)/25)*Calculateur!BL116*Calculateur!BN116*VLOOKUP('Données projet'!$B$11,Paramètres!$A$1:$I$89,3,0)*0.475*44/12</f>
        <v>32.906723415730724</v>
      </c>
      <c r="BR116" s="21">
        <f>EXP(-LN(2)/2)*BR115+(1-EXP(-LN(2)/2))/(LN(2)/2)*BL116*BO116*VLOOKUP('Données projet'!$B$11,Paramètres!$A$1:$I$89,3,0)*0.475*44/12</f>
        <v>0.85854139894601134</v>
      </c>
      <c r="BS116" s="22">
        <f t="shared" si="63"/>
        <v>56.886352103010744</v>
      </c>
      <c r="BT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0</v>
      </c>
      <c r="BZ116" s="13" t="e">
        <f>BY116*VLOOKUP('Données projet'!$B$12,Paramètres!$A$1:$I$89,3,0)*VLOOKUP('Données projet'!$B$12,Paramètres!$A$1:$I$89,5,0)</f>
        <v>#N/A</v>
      </c>
      <c r="CA116" s="13" t="e">
        <f t="shared" si="93"/>
        <v>#N/A</v>
      </c>
      <c r="CB116" s="20" t="e">
        <f t="shared" si="64"/>
        <v>#N/A</v>
      </c>
      <c r="CC116" s="59" t="e">
        <f t="shared" si="65"/>
        <v>#N/A</v>
      </c>
      <c r="CD116" s="59" t="e">
        <f ca="1">AVERAGE(OFFSET($CC$3,0,0,'Données projet'!$E$12+1,1))-AVERAGE(OFFSET($H$3,0,0,'Données projet'!$E$12+1,1))</f>
        <v>#N/A</v>
      </c>
      <c r="CE116" s="59" t="e">
        <f t="shared" si="94"/>
        <v>#N/A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 t="e">
        <f>EXP(-LN(2)/35)*CK115+(1-EXP(-LN(2)/35))/(LN(2)/35)*CG116*CH116*VLOOKUP('Données projet'!$B$12,Paramètres!$A$1:$I$89,3,0)*0.475*44/12</f>
        <v>#N/A</v>
      </c>
      <c r="CL116" s="21" t="e">
        <f>EXP(-LN(2)/25)*CL115+(1-EXP(-LN(2)/25))/(LN(2)/25)*Calculateur!CG116*Calculateur!CI116*VLOOKUP('Données projet'!$B$12,Paramètres!$A$1:$I$89,3,0)*0.475*44/12</f>
        <v>#N/A</v>
      </c>
      <c r="CM116" s="21" t="e">
        <f>EXP(-LN(2)/2)*CM115+(1-EXP(-LN(2)/2))/(LN(2)/2)*CG116*CJ116*VLOOKUP('Données projet'!$B$12,Paramètres!$A$1:$I$89,3,0)*0.475*44/12</f>
        <v>#N/A</v>
      </c>
      <c r="CN116" s="22" t="e">
        <f t="shared" si="66"/>
        <v>#N/A</v>
      </c>
      <c r="CO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0</v>
      </c>
      <c r="CU116" s="17" t="e">
        <f>CT116*VLOOKUP('Données projet'!$B$13,Paramètres!$A$1:$I$89,3,0)*VLOOKUP('Données projet'!$B$13,Paramètres!$A$1:$I$89,5,0)</f>
        <v>#N/A</v>
      </c>
      <c r="CV116" s="13" t="e">
        <f t="shared" si="95"/>
        <v>#N/A</v>
      </c>
      <c r="CW116" s="20" t="e">
        <f t="shared" si="67"/>
        <v>#N/A</v>
      </c>
      <c r="CX116" s="59" t="e">
        <f t="shared" si="68"/>
        <v>#N/A</v>
      </c>
      <c r="CY116" s="59" t="e">
        <f ca="1">AVERAGE(OFFSET($CX$3,0,0,'Données projet'!$E$13+1,1))-AVERAGE(OFFSET($H$3,0,0,'Données projet'!$E$13+1,1))</f>
        <v>#N/A</v>
      </c>
      <c r="CZ116" s="59" t="e">
        <f t="shared" si="96"/>
        <v>#N/A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 t="e">
        <f>EXP(-LN(2)/35)*DF115+(1-EXP(-LN(2)/35))/(LN(2)/35)*DB116*DC116*VLOOKUP('Données projet'!$B$13,Paramètres!$A$1:$I$89,3,0)*0.475*44/12</f>
        <v>#N/A</v>
      </c>
      <c r="DG116" s="21" t="e">
        <f>EXP(-LN(2)/25)*DG115+(1-EXP(-LN(2)/25))/(LN(2)/25)*Calculateur!DB116*Calculateur!DD116*VLOOKUP('Données projet'!$B$13,Paramètres!$A$1:$I$89,3,0)*0.475*44/12</f>
        <v>#N/A</v>
      </c>
      <c r="DH116" s="21" t="e">
        <f>EXP(-LN(2)/2)*DH115+(1-EXP(-LN(2)/2))/(LN(2)/2)*DB116*DE116*VLOOKUP('Données projet'!$B$13,Paramètres!$A$1:$I$89,3,0)*0.475*44/12</f>
        <v>#N/A</v>
      </c>
      <c r="DI116" s="22" t="e">
        <f t="shared" si="69"/>
        <v>#N/A</v>
      </c>
      <c r="DJ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0</v>
      </c>
      <c r="DP116" s="17" t="e">
        <f>DO116*VLOOKUP('Données projet'!$B$14,Paramètres!$A$1:$I$89,3,0)*VLOOKUP('Données projet'!$B$14,Paramètres!$A$1:$I$89,5,0)</f>
        <v>#N/A</v>
      </c>
      <c r="DQ116" s="13" t="e">
        <f t="shared" si="97"/>
        <v>#N/A</v>
      </c>
      <c r="DR116" s="20" t="e">
        <f t="shared" si="70"/>
        <v>#N/A</v>
      </c>
      <c r="DS116" s="59" t="e">
        <f t="shared" si="71"/>
        <v>#N/A</v>
      </c>
      <c r="DT116" s="59" t="e">
        <f ca="1">AVERAGE(OFFSET($DS$3,0,0,'Données projet'!$E$14+1,1))-AVERAGE(OFFSET($H$3,0,0,'Données projet'!$E$14+1,1))</f>
        <v>#N/A</v>
      </c>
      <c r="DU116" s="59" t="e">
        <f t="shared" si="98"/>
        <v>#N/A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 t="e">
        <f>EXP(-LN(2)/35)*EA115+(1-EXP(-LN(2)/35))/(LN(2)/35)*DW116*DX116*VLOOKUP('Données projet'!$B$14,Paramètres!$A$1:$I$89,3,0)*0.475*44/12</f>
        <v>#N/A</v>
      </c>
      <c r="EB116" s="21" t="e">
        <f>EXP(-LN(2)/25)*EB115+(1-EXP(-LN(2)/25))/(LN(2)/25)*Calculateur!DW116*Calculateur!DY116*VLOOKUP('Données projet'!$B$14,Paramètres!$A$1:$I$89,3,0)*0.475*44/12</f>
        <v>#N/A</v>
      </c>
      <c r="EC116" s="21" t="e">
        <f>EXP(-LN(2)/2)*EC115+(1-EXP(-LN(2)/2))/(LN(2)/2)*DW116*DZ116*VLOOKUP('Données projet'!$B$14,Paramètres!$A$1:$I$89,3,0)*0.475*44/12</f>
        <v>#N/A</v>
      </c>
      <c r="ED116" s="22" t="e">
        <f t="shared" si="72"/>
        <v>#N/A</v>
      </c>
      <c r="EE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0</v>
      </c>
      <c r="EK116" s="17" t="e">
        <f>EJ116*VLOOKUP('Données projet'!$B$15,Paramètres!$A$1:$I$89,3,0)*VLOOKUP('Données projet'!$B$15,Paramètres!$A$1:$I$89,5,0)</f>
        <v>#N/A</v>
      </c>
      <c r="EL116" s="13" t="e">
        <f t="shared" si="99"/>
        <v>#N/A</v>
      </c>
      <c r="EM116" s="20" t="e">
        <f t="shared" si="73"/>
        <v>#N/A</v>
      </c>
      <c r="EN116" s="59" t="e">
        <f t="shared" si="74"/>
        <v>#N/A</v>
      </c>
      <c r="EO116" s="59" t="e">
        <f ca="1">AVERAGE(OFFSET($EN$3,0,0,'Données projet'!$E$15+1,1))-AVERAGE(OFFSET($H$3,0,0,'Données projet'!$E$15+1,1))</f>
        <v>#N/A</v>
      </c>
      <c r="EP116" s="59" t="e">
        <f t="shared" si="100"/>
        <v>#N/A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 t="e">
        <f>EXP(-LN(2)/35)*EV115+(1-EXP(-LN(2)/35))/(LN(2)/35)*ER116*ES116*VLOOKUP('Données projet'!$B$15,Paramètres!$A$1:$I$89,3,0)*0.475*44/12</f>
        <v>#N/A</v>
      </c>
      <c r="EW116" s="21" t="e">
        <f>EXP(-LN(2)/25)*EW115+(1-EXP(-LN(2)/25))/(LN(2)/25)*Calculateur!ER116*Calculateur!ET116*VLOOKUP('Données projet'!$B$15,Paramètres!$A$1:$I$89,3,0)*0.475*44/12</f>
        <v>#N/A</v>
      </c>
      <c r="EX116" s="21" t="e">
        <f>EXP(-LN(2)/2)*EX115+(1-EXP(-LN(2)/2))/(LN(2)/2)*ER116*EU116*VLOOKUP('Données projet'!$B$15,Paramètres!$A$1:$I$89,3,0)*0.475*44/12</f>
        <v>#N/A</v>
      </c>
      <c r="EY116" s="22" t="e">
        <f t="shared" si="75"/>
        <v>#N/A</v>
      </c>
      <c r="EZ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9" t="e">
        <f t="shared" si="77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45">
      <c r="A117" s="10">
        <f t="shared" si="85"/>
        <v>114</v>
      </c>
      <c r="B117" s="73">
        <f>'Scénario référence'!$B$16*5+'Scénario référence'!$B$17*0+'Scénario référence'!$B$18*5</f>
        <v>0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101.36880000000018</v>
      </c>
      <c r="D117" s="11">
        <f t="shared" si="86"/>
        <v>27.287836803817498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">
        <f>IF(OR('Scénario référence'!$F$8&gt;0,'Scénario référence'!$F$9&gt;0),('Scénario référence'!$F$8+'Scénario référence'!$F$9)*10,0)</f>
        <v>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993.13895076631172</v>
      </c>
      <c r="H117" s="67">
        <f t="shared" si="56"/>
        <v>480.74364243331581</v>
      </c>
      <c r="I117" s="7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4.3516666666666692</v>
      </c>
      <c r="N117" s="13">
        <f>IF('Données projet'!$A$36&gt;35,N116+M117-V116,IF(A117&lt;'Données projet'!$A$36,$K$205^A117,IF(A117='Données projet'!$A$36,'Données projet'!$B$36,N116+M117-V116)))</f>
        <v>463.70000000000005</v>
      </c>
      <c r="O117" s="13">
        <f>N117*VLOOKUP('Données projet'!$B$9,Paramètres!$A$1:$I$89,3,0)*VLOOKUP('Données projet'!$B$9,Paramètres!$A$1:$I$89,5,0)</f>
        <v>259.20830000000001</v>
      </c>
      <c r="P117" s="13">
        <f t="shared" si="87"/>
        <v>62.553589568337109</v>
      </c>
      <c r="Q117" s="20">
        <f t="shared" si="107"/>
        <v>560.40195766485374</v>
      </c>
      <c r="R117" s="59">
        <f t="shared" si="55"/>
        <v>853.73529099818711</v>
      </c>
      <c r="S117" s="59">
        <f ca="1">AVERAGE(OFFSET($R$3,0,0,'Données projet'!$E$9+1,1))-AVERAGE(OFFSET($H$3,0,0,'Données projet'!$E$9+1,1))</f>
        <v>280.69347314340195</v>
      </c>
      <c r="T117" s="59">
        <f t="shared" si="88"/>
        <v>152.40533828556482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57.1923459340451</v>
      </c>
      <c r="AA117" s="21">
        <f>EXP(-LN(2)/25)*AA116+(1-EXP(-LN(2)/25))/(LN(2)/25)*Calculateur!V117*Calculateur!X117*VLOOKUP('Données projet'!$B$9,Paramètres!$A$1:$I$89,3,0)*0.475*44/12</f>
        <v>17.496154821113251</v>
      </c>
      <c r="AB117" s="21">
        <f>EXP(-LN(2)/2)*AB116+(1-EXP(-LN(2)/2))/(LN(2)/2)*V117*Y117*VLOOKUP('Données projet'!$B$9,Paramètres!$A$1:$I$89,3,0)*0.475*44/12</f>
        <v>1.0511092737556973</v>
      </c>
      <c r="AC117" s="22">
        <f t="shared" si="57"/>
        <v>75.739610028914043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0</v>
      </c>
      <c r="AI117" s="13">
        <f>IF('Données projet'!$A$62&gt;35,AI116+AH117-AQ116,IF(A117&lt;'Données projet'!$A$62,$AF$205^A117,IF(A117='Données projet'!$A$62,'Données projet'!$B$62,AI116+AH117-AQ116)))</f>
        <v>0</v>
      </c>
      <c r="AJ117" s="13">
        <f>AI117*VLOOKUP('Données projet'!$B$10,Paramètres!$A$1:$I$89,3,0)*VLOOKUP('Données projet'!$B$10,Paramètres!$A$1:$I$89,5,0)</f>
        <v>0</v>
      </c>
      <c r="AK117" s="13" t="e">
        <f t="shared" si="89"/>
        <v>#NUM!</v>
      </c>
      <c r="AL117" s="20" t="e">
        <f t="shared" si="58"/>
        <v>#NUM!</v>
      </c>
      <c r="AM117" s="59" t="e">
        <f t="shared" si="59"/>
        <v>#NUM!</v>
      </c>
      <c r="AN117" s="59">
        <f ca="1">AVERAGE(OFFSET($AM$3,0,0,'Données projet'!$E$10+1,1))-AVERAGE(OFFSET($H$3,0,0,'Données projet'!$E$10+1,1))</f>
        <v>179.4725256147085</v>
      </c>
      <c r="AO117" s="59">
        <f t="shared" si="90"/>
        <v>282.16750121151176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49.554112973483527</v>
      </c>
      <c r="AV117" s="21">
        <f>EXP(-LN(2)/25)*AV116+(1-EXP(-LN(2)/25))/(LN(2)/25)*Calculateur!AQ117*Calculateur!AS117*VLOOKUP('Données projet'!$B$10,Paramètres!$A$1:$I$89,3,0)*0.475*44/12</f>
        <v>10.933385619869911</v>
      </c>
      <c r="AW117" s="21">
        <f>EXP(-LN(2)/2)*AW116+(1-EXP(-LN(2)/2))/(LN(2)/2)*AQ117*AT117*VLOOKUP('Données projet'!$B$10,Paramètres!$A$1:$I$89,3,0)*0.475*44/12</f>
        <v>3.2127199973705548E-7</v>
      </c>
      <c r="AX117" s="21">
        <f t="shared" si="60"/>
        <v>60.487498914625434</v>
      </c>
      <c r="AY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8.4449999999999985</v>
      </c>
      <c r="BD117" s="12">
        <f>IF('Données projet'!$A$88&gt;35,BD116+BC117-BL116,IF(A117&lt;'Données projet'!$A$88,$BA$205^A117,IF(A117='Données projet'!$A$88,'Données projet'!$B$88,BD116+BC117-BL116)))</f>
        <v>356.22500000000053</v>
      </c>
      <c r="BE117" s="13">
        <f>BD117*VLOOKUP('Données projet'!$B$11,Paramètres!$A$1:$I$89,3,0)*VLOOKUP('Données projet'!$B$11,Paramètres!$A$1:$I$89,5,0)</f>
        <v>305.64105000000046</v>
      </c>
      <c r="BF117" s="13">
        <f t="shared" si="91"/>
        <v>72.357759024165901</v>
      </c>
      <c r="BG117" s="20">
        <f t="shared" si="61"/>
        <v>658.34792571708965</v>
      </c>
      <c r="BH117" s="59">
        <f t="shared" si="62"/>
        <v>951.68125905042302</v>
      </c>
      <c r="BI117" s="59">
        <f ca="1">AVERAGE(OFFSET($BH$3,0,0,'Données projet'!$E$11+1,1))-AVERAGE(OFFSET($H$3,0,0,'Données projet'!$E$11+1,1))</f>
        <v>312.89478437044261</v>
      </c>
      <c r="BJ117" s="59">
        <f t="shared" si="92"/>
        <v>276.16555507854571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>
        <f>EXP(-LN(2)/35)*BP116+(1-EXP(-LN(2)/35))/(LN(2)/35)*BL117*BM117*VLOOKUP('Données projet'!$B$11,Paramètres!$A$1:$I$89,3,0)*0.475*44/12</f>
        <v>22.667696869080519</v>
      </c>
      <c r="BQ117" s="21">
        <f>EXP(-LN(2)/25)*BQ116+(1-EXP(-LN(2)/25))/(LN(2)/25)*Calculateur!BL117*Calculateur!BN117*VLOOKUP('Données projet'!$B$11,Paramètres!$A$1:$I$89,3,0)*0.475*44/12</f>
        <v>32.006887333438193</v>
      </c>
      <c r="BR117" s="21">
        <f>EXP(-LN(2)/2)*BR116+(1-EXP(-LN(2)/2))/(LN(2)/2)*BL117*BO117*VLOOKUP('Données projet'!$B$11,Paramètres!$A$1:$I$89,3,0)*0.475*44/12</f>
        <v>0.60708044512410964</v>
      </c>
      <c r="BS117" s="22">
        <f t="shared" si="63"/>
        <v>55.281664647642828</v>
      </c>
      <c r="BT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0</v>
      </c>
      <c r="BZ117" s="13" t="e">
        <f>BY117*VLOOKUP('Données projet'!$B$12,Paramètres!$A$1:$I$89,3,0)*VLOOKUP('Données projet'!$B$12,Paramètres!$A$1:$I$89,5,0)</f>
        <v>#N/A</v>
      </c>
      <c r="CA117" s="13" t="e">
        <f t="shared" si="93"/>
        <v>#N/A</v>
      </c>
      <c r="CB117" s="20" t="e">
        <f t="shared" si="64"/>
        <v>#N/A</v>
      </c>
      <c r="CC117" s="59" t="e">
        <f t="shared" si="65"/>
        <v>#N/A</v>
      </c>
      <c r="CD117" s="59" t="e">
        <f ca="1">AVERAGE(OFFSET($CC$3,0,0,'Données projet'!$E$12+1,1))-AVERAGE(OFFSET($H$3,0,0,'Données projet'!$E$12+1,1))</f>
        <v>#N/A</v>
      </c>
      <c r="CE117" s="59" t="e">
        <f t="shared" si="94"/>
        <v>#N/A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 t="e">
        <f>EXP(-LN(2)/35)*CK116+(1-EXP(-LN(2)/35))/(LN(2)/35)*CG117*CH117*VLOOKUP('Données projet'!$B$12,Paramètres!$A$1:$I$89,3,0)*0.475*44/12</f>
        <v>#N/A</v>
      </c>
      <c r="CL117" s="21" t="e">
        <f>EXP(-LN(2)/25)*CL116+(1-EXP(-LN(2)/25))/(LN(2)/25)*Calculateur!CG117*Calculateur!CI117*VLOOKUP('Données projet'!$B$12,Paramètres!$A$1:$I$89,3,0)*0.475*44/12</f>
        <v>#N/A</v>
      </c>
      <c r="CM117" s="21" t="e">
        <f>EXP(-LN(2)/2)*CM116+(1-EXP(-LN(2)/2))/(LN(2)/2)*CG117*CJ117*VLOOKUP('Données projet'!$B$12,Paramètres!$A$1:$I$89,3,0)*0.475*44/12</f>
        <v>#N/A</v>
      </c>
      <c r="CN117" s="22" t="e">
        <f t="shared" si="66"/>
        <v>#N/A</v>
      </c>
      <c r="CO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0</v>
      </c>
      <c r="CU117" s="17" t="e">
        <f>CT117*VLOOKUP('Données projet'!$B$13,Paramètres!$A$1:$I$89,3,0)*VLOOKUP('Données projet'!$B$13,Paramètres!$A$1:$I$89,5,0)</f>
        <v>#N/A</v>
      </c>
      <c r="CV117" s="13" t="e">
        <f t="shared" si="95"/>
        <v>#N/A</v>
      </c>
      <c r="CW117" s="20" t="e">
        <f t="shared" si="67"/>
        <v>#N/A</v>
      </c>
      <c r="CX117" s="59" t="e">
        <f t="shared" si="68"/>
        <v>#N/A</v>
      </c>
      <c r="CY117" s="59" t="e">
        <f ca="1">AVERAGE(OFFSET($CX$3,0,0,'Données projet'!$E$13+1,1))-AVERAGE(OFFSET($H$3,0,0,'Données projet'!$E$13+1,1))</f>
        <v>#N/A</v>
      </c>
      <c r="CZ117" s="59" t="e">
        <f t="shared" si="96"/>
        <v>#N/A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 t="e">
        <f>EXP(-LN(2)/35)*DF116+(1-EXP(-LN(2)/35))/(LN(2)/35)*DB117*DC117*VLOOKUP('Données projet'!$B$13,Paramètres!$A$1:$I$89,3,0)*0.475*44/12</f>
        <v>#N/A</v>
      </c>
      <c r="DG117" s="21" t="e">
        <f>EXP(-LN(2)/25)*DG116+(1-EXP(-LN(2)/25))/(LN(2)/25)*Calculateur!DB117*Calculateur!DD117*VLOOKUP('Données projet'!$B$13,Paramètres!$A$1:$I$89,3,0)*0.475*44/12</f>
        <v>#N/A</v>
      </c>
      <c r="DH117" s="21" t="e">
        <f>EXP(-LN(2)/2)*DH116+(1-EXP(-LN(2)/2))/(LN(2)/2)*DB117*DE117*VLOOKUP('Données projet'!$B$13,Paramètres!$A$1:$I$89,3,0)*0.475*44/12</f>
        <v>#N/A</v>
      </c>
      <c r="DI117" s="22" t="e">
        <f t="shared" si="69"/>
        <v>#N/A</v>
      </c>
      <c r="DJ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0</v>
      </c>
      <c r="DP117" s="17" t="e">
        <f>DO117*VLOOKUP('Données projet'!$B$14,Paramètres!$A$1:$I$89,3,0)*VLOOKUP('Données projet'!$B$14,Paramètres!$A$1:$I$89,5,0)</f>
        <v>#N/A</v>
      </c>
      <c r="DQ117" s="13" t="e">
        <f t="shared" si="97"/>
        <v>#N/A</v>
      </c>
      <c r="DR117" s="20" t="e">
        <f t="shared" si="70"/>
        <v>#N/A</v>
      </c>
      <c r="DS117" s="59" t="e">
        <f t="shared" si="71"/>
        <v>#N/A</v>
      </c>
      <c r="DT117" s="59" t="e">
        <f ca="1">AVERAGE(OFFSET($DS$3,0,0,'Données projet'!$E$14+1,1))-AVERAGE(OFFSET($H$3,0,0,'Données projet'!$E$14+1,1))</f>
        <v>#N/A</v>
      </c>
      <c r="DU117" s="59" t="e">
        <f t="shared" si="98"/>
        <v>#N/A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 t="e">
        <f>EXP(-LN(2)/35)*EA116+(1-EXP(-LN(2)/35))/(LN(2)/35)*DW117*DX117*VLOOKUP('Données projet'!$B$14,Paramètres!$A$1:$I$89,3,0)*0.475*44/12</f>
        <v>#N/A</v>
      </c>
      <c r="EB117" s="21" t="e">
        <f>EXP(-LN(2)/25)*EB116+(1-EXP(-LN(2)/25))/(LN(2)/25)*Calculateur!DW117*Calculateur!DY117*VLOOKUP('Données projet'!$B$14,Paramètres!$A$1:$I$89,3,0)*0.475*44/12</f>
        <v>#N/A</v>
      </c>
      <c r="EC117" s="21" t="e">
        <f>EXP(-LN(2)/2)*EC116+(1-EXP(-LN(2)/2))/(LN(2)/2)*DW117*DZ117*VLOOKUP('Données projet'!$B$14,Paramètres!$A$1:$I$89,3,0)*0.475*44/12</f>
        <v>#N/A</v>
      </c>
      <c r="ED117" s="22" t="e">
        <f t="shared" si="72"/>
        <v>#N/A</v>
      </c>
      <c r="EE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0</v>
      </c>
      <c r="EK117" s="17" t="e">
        <f>EJ117*VLOOKUP('Données projet'!$B$15,Paramètres!$A$1:$I$89,3,0)*VLOOKUP('Données projet'!$B$15,Paramètres!$A$1:$I$89,5,0)</f>
        <v>#N/A</v>
      </c>
      <c r="EL117" s="13" t="e">
        <f t="shared" si="99"/>
        <v>#N/A</v>
      </c>
      <c r="EM117" s="20" t="e">
        <f t="shared" si="73"/>
        <v>#N/A</v>
      </c>
      <c r="EN117" s="59" t="e">
        <f t="shared" si="74"/>
        <v>#N/A</v>
      </c>
      <c r="EO117" s="59" t="e">
        <f ca="1">AVERAGE(OFFSET($EN$3,0,0,'Données projet'!$E$15+1,1))-AVERAGE(OFFSET($H$3,0,0,'Données projet'!$E$15+1,1))</f>
        <v>#N/A</v>
      </c>
      <c r="EP117" s="59" t="e">
        <f t="shared" si="100"/>
        <v>#N/A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 t="e">
        <f>EXP(-LN(2)/35)*EV116+(1-EXP(-LN(2)/35))/(LN(2)/35)*ER117*ES117*VLOOKUP('Données projet'!$B$15,Paramètres!$A$1:$I$89,3,0)*0.475*44/12</f>
        <v>#N/A</v>
      </c>
      <c r="EW117" s="21" t="e">
        <f>EXP(-LN(2)/25)*EW116+(1-EXP(-LN(2)/25))/(LN(2)/25)*Calculateur!ER117*Calculateur!ET117*VLOOKUP('Données projet'!$B$15,Paramètres!$A$1:$I$89,3,0)*0.475*44/12</f>
        <v>#N/A</v>
      </c>
      <c r="EX117" s="21" t="e">
        <f>EXP(-LN(2)/2)*EX116+(1-EXP(-LN(2)/2))/(LN(2)/2)*ER117*EU117*VLOOKUP('Données projet'!$B$15,Paramètres!$A$1:$I$89,3,0)*0.475*44/12</f>
        <v>#N/A</v>
      </c>
      <c r="EY117" s="22" t="e">
        <f t="shared" si="75"/>
        <v>#N/A</v>
      </c>
      <c r="EZ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9" t="e">
        <f t="shared" si="77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45">
      <c r="A118" s="10">
        <f t="shared" si="85"/>
        <v>115</v>
      </c>
      <c r="B118" s="73">
        <f>'Scénario référence'!$B$16*5+'Scénario référence'!$B$17*0+'Scénario référence'!$B$18*5</f>
        <v>0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102.25800000000018</v>
      </c>
      <c r="D118" s="11">
        <f t="shared" si="86"/>
        <v>27.499233847895908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">
        <f>IF(OR('Scénario référence'!$F$8&gt;0,'Scénario référence'!$F$9&gt;0),('Scénario référence'!$F$8+'Scénario référence'!$F$9)*10,0)</f>
        <v>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1001.6347875977945</v>
      </c>
      <c r="H118" s="67">
        <f t="shared" si="56"/>
        <v>482.66051561841903</v>
      </c>
      <c r="I118" s="7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4.3516666666666692</v>
      </c>
      <c r="N118" s="13">
        <f>IF('Données projet'!$A$36&gt;35,N117+M118-V117,IF(A118&lt;'Données projet'!$A$36,$K$205^A118,IF(A118='Données projet'!$A$36,'Données projet'!$B$36,N117+M118-V117)))</f>
        <v>468.05166666666673</v>
      </c>
      <c r="O118" s="13">
        <f>N118*VLOOKUP('Données projet'!$B$9,Paramètres!$A$1:$I$89,3,0)*VLOOKUP('Données projet'!$B$9,Paramètres!$A$1:$I$89,5,0)</f>
        <v>261.6408816666667</v>
      </c>
      <c r="P118" s="13">
        <f t="shared" si="87"/>
        <v>63.072019446524735</v>
      </c>
      <c r="Q118" s="20">
        <f t="shared" si="107"/>
        <v>565.54163610547505</v>
      </c>
      <c r="R118" s="59">
        <f t="shared" si="55"/>
        <v>858.87496943880842</v>
      </c>
      <c r="S118" s="59">
        <f ca="1">AVERAGE(OFFSET($R$3,0,0,'Données projet'!$E$9+1,1))-AVERAGE(OFFSET($H$3,0,0,'Données projet'!$E$9+1,1))</f>
        <v>280.69347314340195</v>
      </c>
      <c r="T118" s="59">
        <f t="shared" si="88"/>
        <v>152.40533828556482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56.070838914164995</v>
      </c>
      <c r="AA118" s="21">
        <f>EXP(-LN(2)/25)*AA117+(1-EXP(-LN(2)/25))/(LN(2)/25)*Calculateur!V118*Calculateur!X118*VLOOKUP('Données projet'!$B$9,Paramètres!$A$1:$I$89,3,0)*0.475*44/12</f>
        <v>17.017721547447113</v>
      </c>
      <c r="AB118" s="21">
        <f>EXP(-LN(2)/2)*AB117+(1-EXP(-LN(2)/2))/(LN(2)/2)*V118*Y118*VLOOKUP('Données projet'!$B$9,Paramètres!$A$1:$I$89,3,0)*0.475*44/12</f>
        <v>0.74324649524072073</v>
      </c>
      <c r="AC118" s="22">
        <f t="shared" si="57"/>
        <v>73.83180695685283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0</v>
      </c>
      <c r="AI118" s="13">
        <f>IF('Données projet'!$A$62&gt;35,AI117+AH118-AQ117,IF(A118&lt;'Données projet'!$A$62,$AF$205^A118,IF(A118='Données projet'!$A$62,'Données projet'!$B$62,AI117+AH118-AQ117)))</f>
        <v>0</v>
      </c>
      <c r="AJ118" s="13">
        <f>AI118*VLOOKUP('Données projet'!$B$10,Paramètres!$A$1:$I$89,3,0)*VLOOKUP('Données projet'!$B$10,Paramètres!$A$1:$I$89,5,0)</f>
        <v>0</v>
      </c>
      <c r="AK118" s="13" t="e">
        <f t="shared" si="89"/>
        <v>#NUM!</v>
      </c>
      <c r="AL118" s="20" t="e">
        <f t="shared" si="58"/>
        <v>#NUM!</v>
      </c>
      <c r="AM118" s="59" t="e">
        <f t="shared" si="59"/>
        <v>#NUM!</v>
      </c>
      <c r="AN118" s="59">
        <f ca="1">AVERAGE(OFFSET($AM$3,0,0,'Données projet'!$E$10+1,1))-AVERAGE(OFFSET($H$3,0,0,'Données projet'!$E$10+1,1))</f>
        <v>179.4725256147085</v>
      </c>
      <c r="AO118" s="59">
        <f t="shared" si="90"/>
        <v>282.16750121151176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48.582387043097953</v>
      </c>
      <c r="AV118" s="21">
        <f>EXP(-LN(2)/25)*AV117+(1-EXP(-LN(2)/25))/(LN(2)/25)*Calculateur!AQ118*Calculateur!AS118*VLOOKUP('Données projet'!$B$10,Paramètres!$A$1:$I$89,3,0)*0.475*44/12</f>
        <v>10.634411615132807</v>
      </c>
      <c r="AW118" s="21">
        <f>EXP(-LN(2)/2)*AW117+(1-EXP(-LN(2)/2))/(LN(2)/2)*AQ118*AT118*VLOOKUP('Données projet'!$B$10,Paramètres!$A$1:$I$89,3,0)*0.475*44/12</f>
        <v>2.2717360961943464E-7</v>
      </c>
      <c r="AX118" s="21">
        <f t="shared" si="60"/>
        <v>59.216798885404366</v>
      </c>
      <c r="AY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8.4449999999999985</v>
      </c>
      <c r="BD118" s="12">
        <f>IF('Données projet'!$A$88&gt;35,BD117+BC118-BL117,IF(A118&lt;'Données projet'!$A$88,$BA$205^A118,IF(A118='Données projet'!$A$88,'Données projet'!$B$88,BD117+BC118-BL117)))</f>
        <v>364.67000000000053</v>
      </c>
      <c r="BE118" s="13">
        <f>BD118*VLOOKUP('Données projet'!$B$11,Paramètres!$A$1:$I$89,3,0)*VLOOKUP('Données projet'!$B$11,Paramètres!$A$1:$I$89,5,0)</f>
        <v>312.88686000000052</v>
      </c>
      <c r="BF118" s="13">
        <f t="shared" si="91"/>
        <v>73.871395808963157</v>
      </c>
      <c r="BG118" s="20">
        <f t="shared" si="61"/>
        <v>673.60396220061159</v>
      </c>
      <c r="BH118" s="59">
        <f t="shared" si="62"/>
        <v>966.93729553394496</v>
      </c>
      <c r="BI118" s="59">
        <f ca="1">AVERAGE(OFFSET($BH$3,0,0,'Données projet'!$E$11+1,1))-AVERAGE(OFFSET($H$3,0,0,'Données projet'!$E$11+1,1))</f>
        <v>312.89478437044261</v>
      </c>
      <c r="BJ118" s="59">
        <f t="shared" si="92"/>
        <v>276.16555507854571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>
        <f>EXP(-LN(2)/35)*BP117+(1-EXP(-LN(2)/35))/(LN(2)/35)*BL118*BM118*VLOOKUP('Données projet'!$B$11,Paramètres!$A$1:$I$89,3,0)*0.475*44/12</f>
        <v>22.223197159407743</v>
      </c>
      <c r="BQ118" s="21">
        <f>EXP(-LN(2)/25)*BQ117+(1-EXP(-LN(2)/25))/(LN(2)/25)*Calculateur!BL118*Calculateur!BN118*VLOOKUP('Données projet'!$B$11,Paramètres!$A$1:$I$89,3,0)*0.475*44/12</f>
        <v>31.131657316136273</v>
      </c>
      <c r="BR118" s="21">
        <f>EXP(-LN(2)/2)*BR117+(1-EXP(-LN(2)/2))/(LN(2)/2)*BL118*BO118*VLOOKUP('Données projet'!$B$11,Paramètres!$A$1:$I$89,3,0)*0.475*44/12</f>
        <v>0.42927069947300567</v>
      </c>
      <c r="BS118" s="22">
        <f t="shared" si="63"/>
        <v>53.784125175017024</v>
      </c>
      <c r="BT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0</v>
      </c>
      <c r="BZ118" s="13" t="e">
        <f>BY118*VLOOKUP('Données projet'!$B$12,Paramètres!$A$1:$I$89,3,0)*VLOOKUP('Données projet'!$B$12,Paramètres!$A$1:$I$89,5,0)</f>
        <v>#N/A</v>
      </c>
      <c r="CA118" s="13" t="e">
        <f t="shared" si="93"/>
        <v>#N/A</v>
      </c>
      <c r="CB118" s="20" t="e">
        <f t="shared" si="64"/>
        <v>#N/A</v>
      </c>
      <c r="CC118" s="59" t="e">
        <f t="shared" si="65"/>
        <v>#N/A</v>
      </c>
      <c r="CD118" s="59" t="e">
        <f ca="1">AVERAGE(OFFSET($CC$3,0,0,'Données projet'!$E$12+1,1))-AVERAGE(OFFSET($H$3,0,0,'Données projet'!$E$12+1,1))</f>
        <v>#N/A</v>
      </c>
      <c r="CE118" s="59" t="e">
        <f t="shared" si="94"/>
        <v>#N/A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 t="e">
        <f>EXP(-LN(2)/35)*CK117+(1-EXP(-LN(2)/35))/(LN(2)/35)*CG118*CH118*VLOOKUP('Données projet'!$B$12,Paramètres!$A$1:$I$89,3,0)*0.475*44/12</f>
        <v>#N/A</v>
      </c>
      <c r="CL118" s="21" t="e">
        <f>EXP(-LN(2)/25)*CL117+(1-EXP(-LN(2)/25))/(LN(2)/25)*Calculateur!CG118*Calculateur!CI118*VLOOKUP('Données projet'!$B$12,Paramètres!$A$1:$I$89,3,0)*0.475*44/12</f>
        <v>#N/A</v>
      </c>
      <c r="CM118" s="21" t="e">
        <f>EXP(-LN(2)/2)*CM117+(1-EXP(-LN(2)/2))/(LN(2)/2)*CG118*CJ118*VLOOKUP('Données projet'!$B$12,Paramètres!$A$1:$I$89,3,0)*0.475*44/12</f>
        <v>#N/A</v>
      </c>
      <c r="CN118" s="22" t="e">
        <f t="shared" si="66"/>
        <v>#N/A</v>
      </c>
      <c r="CO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0</v>
      </c>
      <c r="CU118" s="17" t="e">
        <f>CT118*VLOOKUP('Données projet'!$B$13,Paramètres!$A$1:$I$89,3,0)*VLOOKUP('Données projet'!$B$13,Paramètres!$A$1:$I$89,5,0)</f>
        <v>#N/A</v>
      </c>
      <c r="CV118" s="13" t="e">
        <f t="shared" si="95"/>
        <v>#N/A</v>
      </c>
      <c r="CW118" s="20" t="e">
        <f t="shared" si="67"/>
        <v>#N/A</v>
      </c>
      <c r="CX118" s="59" t="e">
        <f t="shared" si="68"/>
        <v>#N/A</v>
      </c>
      <c r="CY118" s="59" t="e">
        <f ca="1">AVERAGE(OFFSET($CX$3,0,0,'Données projet'!$E$13+1,1))-AVERAGE(OFFSET($H$3,0,0,'Données projet'!$E$13+1,1))</f>
        <v>#N/A</v>
      </c>
      <c r="CZ118" s="59" t="e">
        <f t="shared" si="96"/>
        <v>#N/A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 t="e">
        <f>EXP(-LN(2)/35)*DF117+(1-EXP(-LN(2)/35))/(LN(2)/35)*DB118*DC118*VLOOKUP('Données projet'!$B$13,Paramètres!$A$1:$I$89,3,0)*0.475*44/12</f>
        <v>#N/A</v>
      </c>
      <c r="DG118" s="21" t="e">
        <f>EXP(-LN(2)/25)*DG117+(1-EXP(-LN(2)/25))/(LN(2)/25)*Calculateur!DB118*Calculateur!DD118*VLOOKUP('Données projet'!$B$13,Paramètres!$A$1:$I$89,3,0)*0.475*44/12</f>
        <v>#N/A</v>
      </c>
      <c r="DH118" s="21" t="e">
        <f>EXP(-LN(2)/2)*DH117+(1-EXP(-LN(2)/2))/(LN(2)/2)*DB118*DE118*VLOOKUP('Données projet'!$B$13,Paramètres!$A$1:$I$89,3,0)*0.475*44/12</f>
        <v>#N/A</v>
      </c>
      <c r="DI118" s="22" t="e">
        <f t="shared" si="69"/>
        <v>#N/A</v>
      </c>
      <c r="DJ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0</v>
      </c>
      <c r="DP118" s="17" t="e">
        <f>DO118*VLOOKUP('Données projet'!$B$14,Paramètres!$A$1:$I$89,3,0)*VLOOKUP('Données projet'!$B$14,Paramètres!$A$1:$I$89,5,0)</f>
        <v>#N/A</v>
      </c>
      <c r="DQ118" s="13" t="e">
        <f t="shared" si="97"/>
        <v>#N/A</v>
      </c>
      <c r="DR118" s="20" t="e">
        <f t="shared" si="70"/>
        <v>#N/A</v>
      </c>
      <c r="DS118" s="59" t="e">
        <f t="shared" si="71"/>
        <v>#N/A</v>
      </c>
      <c r="DT118" s="59" t="e">
        <f ca="1">AVERAGE(OFFSET($DS$3,0,0,'Données projet'!$E$14+1,1))-AVERAGE(OFFSET($H$3,0,0,'Données projet'!$E$14+1,1))</f>
        <v>#N/A</v>
      </c>
      <c r="DU118" s="59" t="e">
        <f t="shared" si="98"/>
        <v>#N/A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 t="e">
        <f>EXP(-LN(2)/35)*EA117+(1-EXP(-LN(2)/35))/(LN(2)/35)*DW118*DX118*VLOOKUP('Données projet'!$B$14,Paramètres!$A$1:$I$89,3,0)*0.475*44/12</f>
        <v>#N/A</v>
      </c>
      <c r="EB118" s="21" t="e">
        <f>EXP(-LN(2)/25)*EB117+(1-EXP(-LN(2)/25))/(LN(2)/25)*Calculateur!DW118*Calculateur!DY118*VLOOKUP('Données projet'!$B$14,Paramètres!$A$1:$I$89,3,0)*0.475*44/12</f>
        <v>#N/A</v>
      </c>
      <c r="EC118" s="21" t="e">
        <f>EXP(-LN(2)/2)*EC117+(1-EXP(-LN(2)/2))/(LN(2)/2)*DW118*DZ118*VLOOKUP('Données projet'!$B$14,Paramètres!$A$1:$I$89,3,0)*0.475*44/12</f>
        <v>#N/A</v>
      </c>
      <c r="ED118" s="22" t="e">
        <f t="shared" si="72"/>
        <v>#N/A</v>
      </c>
      <c r="EE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0</v>
      </c>
      <c r="EK118" s="17" t="e">
        <f>EJ118*VLOOKUP('Données projet'!$B$15,Paramètres!$A$1:$I$89,3,0)*VLOOKUP('Données projet'!$B$15,Paramètres!$A$1:$I$89,5,0)</f>
        <v>#N/A</v>
      </c>
      <c r="EL118" s="13" t="e">
        <f t="shared" si="99"/>
        <v>#N/A</v>
      </c>
      <c r="EM118" s="20" t="e">
        <f t="shared" si="73"/>
        <v>#N/A</v>
      </c>
      <c r="EN118" s="59" t="e">
        <f t="shared" si="74"/>
        <v>#N/A</v>
      </c>
      <c r="EO118" s="59" t="e">
        <f ca="1">AVERAGE(OFFSET($EN$3,0,0,'Données projet'!$E$15+1,1))-AVERAGE(OFFSET($H$3,0,0,'Données projet'!$E$15+1,1))</f>
        <v>#N/A</v>
      </c>
      <c r="EP118" s="59" t="e">
        <f t="shared" si="100"/>
        <v>#N/A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 t="e">
        <f>EXP(-LN(2)/35)*EV117+(1-EXP(-LN(2)/35))/(LN(2)/35)*ER118*ES118*VLOOKUP('Données projet'!$B$15,Paramètres!$A$1:$I$89,3,0)*0.475*44/12</f>
        <v>#N/A</v>
      </c>
      <c r="EW118" s="21" t="e">
        <f>EXP(-LN(2)/25)*EW117+(1-EXP(-LN(2)/25))/(LN(2)/25)*Calculateur!ER118*Calculateur!ET118*VLOOKUP('Données projet'!$B$15,Paramètres!$A$1:$I$89,3,0)*0.475*44/12</f>
        <v>#N/A</v>
      </c>
      <c r="EX118" s="21" t="e">
        <f>EXP(-LN(2)/2)*EX117+(1-EXP(-LN(2)/2))/(LN(2)/2)*ER118*EU118*VLOOKUP('Données projet'!$B$15,Paramètres!$A$1:$I$89,3,0)*0.475*44/12</f>
        <v>#N/A</v>
      </c>
      <c r="EY118" s="22" t="e">
        <f t="shared" si="75"/>
        <v>#N/A</v>
      </c>
      <c r="EZ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9" t="e">
        <f t="shared" si="77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45">
      <c r="A119" s="10">
        <f t="shared" si="85"/>
        <v>116</v>
      </c>
      <c r="B119" s="73">
        <f>'Scénario référence'!$B$16*5+'Scénario référence'!$B$17*0+'Scénario référence'!$B$18*5</f>
        <v>0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103.14720000000018</v>
      </c>
      <c r="D119" s="11">
        <f t="shared" si="86"/>
        <v>27.710417026801501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">
        <f>IF(OR('Scénario référence'!$F$8&gt;0,'Scénario référence'!$F$9&gt;0),('Scénario référence'!$F$8+'Scénario référence'!$F$9)*10,0)</f>
        <v>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1010.1289735402235</v>
      </c>
      <c r="H119" s="67">
        <f t="shared" si="56"/>
        <v>484.57701632167959</v>
      </c>
      <c r="I119" s="7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4.3516666666666692</v>
      </c>
      <c r="N119" s="13">
        <f>IF('Données projet'!$A$36&gt;35,N118+M119-V118,IF(A119&lt;'Données projet'!$A$36,$K$205^A119,IF(A119='Données projet'!$A$36,'Données projet'!$B$36,N118+M119-V118)))</f>
        <v>472.40333333333342</v>
      </c>
      <c r="O119" s="13">
        <f>N119*VLOOKUP('Données projet'!$B$9,Paramètres!$A$1:$I$89,3,0)*VLOOKUP('Données projet'!$B$9,Paramètres!$A$1:$I$89,5,0)</f>
        <v>264.07346333333339</v>
      </c>
      <c r="P119" s="13">
        <f t="shared" si="87"/>
        <v>63.589888565435864</v>
      </c>
      <c r="Q119" s="20">
        <f t="shared" si="107"/>
        <v>570.68033789035644</v>
      </c>
      <c r="R119" s="59">
        <f t="shared" si="55"/>
        <v>864.0136712236897</v>
      </c>
      <c r="S119" s="59">
        <f ca="1">AVERAGE(OFFSET($R$3,0,0,'Données projet'!$E$9+1,1))-AVERAGE(OFFSET($H$3,0,0,'Données projet'!$E$9+1,1))</f>
        <v>280.69347314340195</v>
      </c>
      <c r="T119" s="59">
        <f t="shared" si="88"/>
        <v>152.40533828556482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54.971323962893003</v>
      </c>
      <c r="AA119" s="21">
        <f>EXP(-LN(2)/25)*AA118+(1-EXP(-LN(2)/25))/(LN(2)/25)*Calculateur!V119*Calculateur!X119*VLOOKUP('Données projet'!$B$9,Paramètres!$A$1:$I$89,3,0)*0.475*44/12</f>
        <v>16.55237105680909</v>
      </c>
      <c r="AB119" s="21">
        <f>EXP(-LN(2)/2)*AB118+(1-EXP(-LN(2)/2))/(LN(2)/2)*V119*Y119*VLOOKUP('Données projet'!$B$9,Paramètres!$A$1:$I$89,3,0)*0.475*44/12</f>
        <v>0.52555463687784865</v>
      </c>
      <c r="AC119" s="22">
        <f t="shared" si="57"/>
        <v>72.049249656579931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0</v>
      </c>
      <c r="AI119" s="13">
        <f>IF('Données projet'!$A$62&gt;35,AI118+AH119-AQ118,IF(A119&lt;'Données projet'!$A$62,$AF$205^A119,IF(A119='Données projet'!$A$62,'Données projet'!$B$62,AI118+AH119-AQ118)))</f>
        <v>0</v>
      </c>
      <c r="AJ119" s="13">
        <f>AI119*VLOOKUP('Données projet'!$B$10,Paramètres!$A$1:$I$89,3,0)*VLOOKUP('Données projet'!$B$10,Paramètres!$A$1:$I$89,5,0)</f>
        <v>0</v>
      </c>
      <c r="AK119" s="13" t="e">
        <f t="shared" si="89"/>
        <v>#NUM!</v>
      </c>
      <c r="AL119" s="20" t="e">
        <f t="shared" si="58"/>
        <v>#NUM!</v>
      </c>
      <c r="AM119" s="59" t="e">
        <f t="shared" si="59"/>
        <v>#NUM!</v>
      </c>
      <c r="AN119" s="59">
        <f ca="1">AVERAGE(OFFSET($AM$3,0,0,'Données projet'!$E$10+1,1))-AVERAGE(OFFSET($H$3,0,0,'Données projet'!$E$10+1,1))</f>
        <v>179.4725256147085</v>
      </c>
      <c r="AO119" s="59">
        <f t="shared" si="90"/>
        <v>282.16750121151176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47.629716065512952</v>
      </c>
      <c r="AV119" s="21">
        <f>EXP(-LN(2)/25)*AV118+(1-EXP(-LN(2)/25))/(LN(2)/25)*Calculateur!AQ119*Calculateur!AS119*VLOOKUP('Données projet'!$B$10,Paramètres!$A$1:$I$89,3,0)*0.475*44/12</f>
        <v>10.343613070277598</v>
      </c>
      <c r="AW119" s="21">
        <f>EXP(-LN(2)/2)*AW118+(1-EXP(-LN(2)/2))/(LN(2)/2)*AQ119*AT119*VLOOKUP('Données projet'!$B$10,Paramètres!$A$1:$I$89,3,0)*0.475*44/12</f>
        <v>1.6063599986852774E-7</v>
      </c>
      <c r="AX119" s="21">
        <f t="shared" si="60"/>
        <v>57.973329296426549</v>
      </c>
      <c r="AY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8.4449999999999985</v>
      </c>
      <c r="BD119" s="12">
        <f>IF('Données projet'!$A$88&gt;35,BD118+BC119-BL118,IF(A119&lt;'Données projet'!$A$88,$BA$205^A119,IF(A119='Données projet'!$A$88,'Données projet'!$B$88,BD118+BC119-BL118)))</f>
        <v>373.11500000000052</v>
      </c>
      <c r="BE119" s="13">
        <f>BD119*VLOOKUP('Données projet'!$B$11,Paramètres!$A$1:$I$89,3,0)*VLOOKUP('Données projet'!$B$11,Paramètres!$A$1:$I$89,5,0)</f>
        <v>320.13267000000047</v>
      </c>
      <c r="BF119" s="13">
        <f t="shared" si="91"/>
        <v>75.380957570491191</v>
      </c>
      <c r="BG119" s="20">
        <f t="shared" si="61"/>
        <v>688.85290135193964</v>
      </c>
      <c r="BH119" s="59">
        <f t="shared" si="62"/>
        <v>982.18623468527289</v>
      </c>
      <c r="BI119" s="59">
        <f ca="1">AVERAGE(OFFSET($BH$3,0,0,'Données projet'!$E$11+1,1))-AVERAGE(OFFSET($H$3,0,0,'Données projet'!$E$11+1,1))</f>
        <v>312.89478437044261</v>
      </c>
      <c r="BJ119" s="59">
        <f t="shared" si="92"/>
        <v>276.16555507854571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>
        <f>EXP(-LN(2)/35)*BP118+(1-EXP(-LN(2)/35))/(LN(2)/35)*BL119*BM119*VLOOKUP('Données projet'!$B$11,Paramètres!$A$1:$I$89,3,0)*0.475*44/12</f>
        <v>21.787413817923596</v>
      </c>
      <c r="BQ119" s="21">
        <f>EXP(-LN(2)/25)*BQ118+(1-EXP(-LN(2)/25))/(LN(2)/25)*Calculateur!BL119*Calculateur!BN119*VLOOKUP('Données projet'!$B$11,Paramètres!$A$1:$I$89,3,0)*0.475*44/12</f>
        <v>30.28036050968382</v>
      </c>
      <c r="BR119" s="21">
        <f>EXP(-LN(2)/2)*BR118+(1-EXP(-LN(2)/2))/(LN(2)/2)*BL119*BO119*VLOOKUP('Données projet'!$B$11,Paramètres!$A$1:$I$89,3,0)*0.475*44/12</f>
        <v>0.30354022256205482</v>
      </c>
      <c r="BS119" s="22">
        <f t="shared" si="63"/>
        <v>52.371314550169473</v>
      </c>
      <c r="BT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0</v>
      </c>
      <c r="BZ119" s="13" t="e">
        <f>BY119*VLOOKUP('Données projet'!$B$12,Paramètres!$A$1:$I$89,3,0)*VLOOKUP('Données projet'!$B$12,Paramètres!$A$1:$I$89,5,0)</f>
        <v>#N/A</v>
      </c>
      <c r="CA119" s="13" t="e">
        <f t="shared" si="93"/>
        <v>#N/A</v>
      </c>
      <c r="CB119" s="20" t="e">
        <f t="shared" si="64"/>
        <v>#N/A</v>
      </c>
      <c r="CC119" s="59" t="e">
        <f t="shared" si="65"/>
        <v>#N/A</v>
      </c>
      <c r="CD119" s="59" t="e">
        <f ca="1">AVERAGE(OFFSET($CC$3,0,0,'Données projet'!$E$12+1,1))-AVERAGE(OFFSET($H$3,0,0,'Données projet'!$E$12+1,1))</f>
        <v>#N/A</v>
      </c>
      <c r="CE119" s="59" t="e">
        <f t="shared" si="94"/>
        <v>#N/A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 t="e">
        <f>EXP(-LN(2)/35)*CK118+(1-EXP(-LN(2)/35))/(LN(2)/35)*CG119*CH119*VLOOKUP('Données projet'!$B$12,Paramètres!$A$1:$I$89,3,0)*0.475*44/12</f>
        <v>#N/A</v>
      </c>
      <c r="CL119" s="21" t="e">
        <f>EXP(-LN(2)/25)*CL118+(1-EXP(-LN(2)/25))/(LN(2)/25)*Calculateur!CG119*Calculateur!CI119*VLOOKUP('Données projet'!$B$12,Paramètres!$A$1:$I$89,3,0)*0.475*44/12</f>
        <v>#N/A</v>
      </c>
      <c r="CM119" s="21" t="e">
        <f>EXP(-LN(2)/2)*CM118+(1-EXP(-LN(2)/2))/(LN(2)/2)*CG119*CJ119*VLOOKUP('Données projet'!$B$12,Paramètres!$A$1:$I$89,3,0)*0.475*44/12</f>
        <v>#N/A</v>
      </c>
      <c r="CN119" s="22" t="e">
        <f t="shared" si="66"/>
        <v>#N/A</v>
      </c>
      <c r="CO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0</v>
      </c>
      <c r="CU119" s="17" t="e">
        <f>CT119*VLOOKUP('Données projet'!$B$13,Paramètres!$A$1:$I$89,3,0)*VLOOKUP('Données projet'!$B$13,Paramètres!$A$1:$I$89,5,0)</f>
        <v>#N/A</v>
      </c>
      <c r="CV119" s="13" t="e">
        <f t="shared" si="95"/>
        <v>#N/A</v>
      </c>
      <c r="CW119" s="20" t="e">
        <f t="shared" si="67"/>
        <v>#N/A</v>
      </c>
      <c r="CX119" s="59" t="e">
        <f t="shared" si="68"/>
        <v>#N/A</v>
      </c>
      <c r="CY119" s="59" t="e">
        <f ca="1">AVERAGE(OFFSET($CX$3,0,0,'Données projet'!$E$13+1,1))-AVERAGE(OFFSET($H$3,0,0,'Données projet'!$E$13+1,1))</f>
        <v>#N/A</v>
      </c>
      <c r="CZ119" s="59" t="e">
        <f t="shared" si="96"/>
        <v>#N/A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 t="e">
        <f>EXP(-LN(2)/35)*DF118+(1-EXP(-LN(2)/35))/(LN(2)/35)*DB119*DC119*VLOOKUP('Données projet'!$B$13,Paramètres!$A$1:$I$89,3,0)*0.475*44/12</f>
        <v>#N/A</v>
      </c>
      <c r="DG119" s="21" t="e">
        <f>EXP(-LN(2)/25)*DG118+(1-EXP(-LN(2)/25))/(LN(2)/25)*Calculateur!DB119*Calculateur!DD119*VLOOKUP('Données projet'!$B$13,Paramètres!$A$1:$I$89,3,0)*0.475*44/12</f>
        <v>#N/A</v>
      </c>
      <c r="DH119" s="21" t="e">
        <f>EXP(-LN(2)/2)*DH118+(1-EXP(-LN(2)/2))/(LN(2)/2)*DB119*DE119*VLOOKUP('Données projet'!$B$13,Paramètres!$A$1:$I$89,3,0)*0.475*44/12</f>
        <v>#N/A</v>
      </c>
      <c r="DI119" s="22" t="e">
        <f t="shared" si="69"/>
        <v>#N/A</v>
      </c>
      <c r="DJ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0</v>
      </c>
      <c r="DP119" s="17" t="e">
        <f>DO119*VLOOKUP('Données projet'!$B$14,Paramètres!$A$1:$I$89,3,0)*VLOOKUP('Données projet'!$B$14,Paramètres!$A$1:$I$89,5,0)</f>
        <v>#N/A</v>
      </c>
      <c r="DQ119" s="13" t="e">
        <f t="shared" si="97"/>
        <v>#N/A</v>
      </c>
      <c r="DR119" s="20" t="e">
        <f t="shared" si="70"/>
        <v>#N/A</v>
      </c>
      <c r="DS119" s="59" t="e">
        <f t="shared" si="71"/>
        <v>#N/A</v>
      </c>
      <c r="DT119" s="59" t="e">
        <f ca="1">AVERAGE(OFFSET($DS$3,0,0,'Données projet'!$E$14+1,1))-AVERAGE(OFFSET($H$3,0,0,'Données projet'!$E$14+1,1))</f>
        <v>#N/A</v>
      </c>
      <c r="DU119" s="59" t="e">
        <f t="shared" si="98"/>
        <v>#N/A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 t="e">
        <f>EXP(-LN(2)/35)*EA118+(1-EXP(-LN(2)/35))/(LN(2)/35)*DW119*DX119*VLOOKUP('Données projet'!$B$14,Paramètres!$A$1:$I$89,3,0)*0.475*44/12</f>
        <v>#N/A</v>
      </c>
      <c r="EB119" s="21" t="e">
        <f>EXP(-LN(2)/25)*EB118+(1-EXP(-LN(2)/25))/(LN(2)/25)*Calculateur!DW119*Calculateur!DY119*VLOOKUP('Données projet'!$B$14,Paramètres!$A$1:$I$89,3,0)*0.475*44/12</f>
        <v>#N/A</v>
      </c>
      <c r="EC119" s="21" t="e">
        <f>EXP(-LN(2)/2)*EC118+(1-EXP(-LN(2)/2))/(LN(2)/2)*DW119*DZ119*VLOOKUP('Données projet'!$B$14,Paramètres!$A$1:$I$89,3,0)*0.475*44/12</f>
        <v>#N/A</v>
      </c>
      <c r="ED119" s="22" t="e">
        <f t="shared" si="72"/>
        <v>#N/A</v>
      </c>
      <c r="EE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0</v>
      </c>
      <c r="EK119" s="17" t="e">
        <f>EJ119*VLOOKUP('Données projet'!$B$15,Paramètres!$A$1:$I$89,3,0)*VLOOKUP('Données projet'!$B$15,Paramètres!$A$1:$I$89,5,0)</f>
        <v>#N/A</v>
      </c>
      <c r="EL119" s="13" t="e">
        <f t="shared" si="99"/>
        <v>#N/A</v>
      </c>
      <c r="EM119" s="20" t="e">
        <f t="shared" si="73"/>
        <v>#N/A</v>
      </c>
      <c r="EN119" s="59" t="e">
        <f t="shared" si="74"/>
        <v>#N/A</v>
      </c>
      <c r="EO119" s="59" t="e">
        <f ca="1">AVERAGE(OFFSET($EN$3,0,0,'Données projet'!$E$15+1,1))-AVERAGE(OFFSET($H$3,0,0,'Données projet'!$E$15+1,1))</f>
        <v>#N/A</v>
      </c>
      <c r="EP119" s="59" t="e">
        <f t="shared" si="100"/>
        <v>#N/A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 t="e">
        <f>EXP(-LN(2)/35)*EV118+(1-EXP(-LN(2)/35))/(LN(2)/35)*ER119*ES119*VLOOKUP('Données projet'!$B$15,Paramètres!$A$1:$I$89,3,0)*0.475*44/12</f>
        <v>#N/A</v>
      </c>
      <c r="EW119" s="21" t="e">
        <f>EXP(-LN(2)/25)*EW118+(1-EXP(-LN(2)/25))/(LN(2)/25)*Calculateur!ER119*Calculateur!ET119*VLOOKUP('Données projet'!$B$15,Paramètres!$A$1:$I$89,3,0)*0.475*44/12</f>
        <v>#N/A</v>
      </c>
      <c r="EX119" s="21" t="e">
        <f>EXP(-LN(2)/2)*EX118+(1-EXP(-LN(2)/2))/(LN(2)/2)*ER119*EU119*VLOOKUP('Données projet'!$B$15,Paramètres!$A$1:$I$89,3,0)*0.475*44/12</f>
        <v>#N/A</v>
      </c>
      <c r="EY119" s="22" t="e">
        <f t="shared" si="75"/>
        <v>#N/A</v>
      </c>
      <c r="EZ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9" t="e">
        <f t="shared" si="77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45">
      <c r="A120" s="10">
        <f t="shared" si="85"/>
        <v>117</v>
      </c>
      <c r="B120" s="73">
        <f>'Scénario référence'!$B$16*5+'Scénario référence'!$B$17*0+'Scénario référence'!$B$18*5</f>
        <v>0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104.03640000000019</v>
      </c>
      <c r="D120" s="11">
        <f t="shared" si="86"/>
        <v>27.921388397821048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">
        <f>IF(OR('Scénario référence'!$F$8&gt;0,'Scénario référence'!$F$9&gt;0),('Scénario référence'!$F$8+'Scénario référence'!$F$9)*10,0)</f>
        <v>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1018.6215244744094</v>
      </c>
      <c r="H120" s="67">
        <f t="shared" si="56"/>
        <v>486.49314812620531</v>
      </c>
      <c r="I120" s="7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4.3516666666666692</v>
      </c>
      <c r="N120" s="13">
        <f>IF('Données projet'!$A$36&gt;35,N119+M120-V119,IF(A120&lt;'Données projet'!$A$36,$K$205^A120,IF(A120='Données projet'!$A$36,'Données projet'!$B$36,N119+M120-V119)))</f>
        <v>476.75500000000011</v>
      </c>
      <c r="O120" s="13">
        <f>N120*VLOOKUP('Données projet'!$B$9,Paramètres!$A$1:$I$89,3,0)*VLOOKUP('Données projet'!$B$9,Paramètres!$A$1:$I$89,5,0)</f>
        <v>266.50604500000009</v>
      </c>
      <c r="P120" s="13">
        <f t="shared" si="87"/>
        <v>64.10720268899766</v>
      </c>
      <c r="Q120" s="20">
        <f t="shared" si="107"/>
        <v>575.81807305833763</v>
      </c>
      <c r="R120" s="59">
        <f t="shared" si="55"/>
        <v>869.15140639167089</v>
      </c>
      <c r="S120" s="59">
        <f ca="1">AVERAGE(OFFSET($R$3,0,0,'Données projet'!$E$9+1,1))-AVERAGE(OFFSET($H$3,0,0,'Données projet'!$E$9+1,1))</f>
        <v>280.69347314340195</v>
      </c>
      <c r="T120" s="59">
        <f t="shared" si="88"/>
        <v>152.40533828556482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53.893369829177558</v>
      </c>
      <c r="AA120" s="21">
        <f>EXP(-LN(2)/25)*AA119+(1-EXP(-LN(2)/25))/(LN(2)/25)*Calculateur!V120*Calculateur!X120*VLOOKUP('Données projet'!$B$9,Paramètres!$A$1:$I$89,3,0)*0.475*44/12</f>
        <v>16.099745599809282</v>
      </c>
      <c r="AB120" s="21">
        <f>EXP(-LN(2)/2)*AB119+(1-EXP(-LN(2)/2))/(LN(2)/2)*V120*Y120*VLOOKUP('Données projet'!$B$9,Paramètres!$A$1:$I$89,3,0)*0.475*44/12</f>
        <v>0.37162324762036036</v>
      </c>
      <c r="AC120" s="22">
        <f t="shared" si="57"/>
        <v>70.364738676607203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0</v>
      </c>
      <c r="AI120" s="13">
        <f>IF('Données projet'!$A$62&gt;35,AI119+AH120-AQ119,IF(A120&lt;'Données projet'!$A$62,$AF$205^A120,IF(A120='Données projet'!$A$62,'Données projet'!$B$62,AI119+AH120-AQ119)))</f>
        <v>0</v>
      </c>
      <c r="AJ120" s="13">
        <f>AI120*VLOOKUP('Données projet'!$B$10,Paramètres!$A$1:$I$89,3,0)*VLOOKUP('Données projet'!$B$10,Paramètres!$A$1:$I$89,5,0)</f>
        <v>0</v>
      </c>
      <c r="AK120" s="13" t="e">
        <f t="shared" si="89"/>
        <v>#NUM!</v>
      </c>
      <c r="AL120" s="20" t="e">
        <f t="shared" si="58"/>
        <v>#NUM!</v>
      </c>
      <c r="AM120" s="59" t="e">
        <f t="shared" si="59"/>
        <v>#NUM!</v>
      </c>
      <c r="AN120" s="59">
        <f ca="1">AVERAGE(OFFSET($AM$3,0,0,'Données projet'!$E$10+1,1))-AVERAGE(OFFSET($H$3,0,0,'Données projet'!$E$10+1,1))</f>
        <v>179.4725256147085</v>
      </c>
      <c r="AO120" s="59">
        <f t="shared" si="90"/>
        <v>282.16750121151176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46.69572638472647</v>
      </c>
      <c r="AV120" s="21">
        <f>EXP(-LN(2)/25)*AV119+(1-EXP(-LN(2)/25))/(LN(2)/25)*Calculateur!AQ120*Calculateur!AS120*VLOOKUP('Données projet'!$B$10,Paramètres!$A$1:$I$89,3,0)*0.475*44/12</f>
        <v>10.060766426923887</v>
      </c>
      <c r="AW120" s="21">
        <f>EXP(-LN(2)/2)*AW119+(1-EXP(-LN(2)/2))/(LN(2)/2)*AQ120*AT120*VLOOKUP('Données projet'!$B$10,Paramètres!$A$1:$I$89,3,0)*0.475*44/12</f>
        <v>1.1358680480971732E-7</v>
      </c>
      <c r="AX120" s="21">
        <f t="shared" si="60"/>
        <v>56.756492925237168</v>
      </c>
      <c r="AY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>
        <f>VLOOKUP(A120,'Données projet'!$A$87:$I$107,2,0)</f>
        <v>381.56</v>
      </c>
      <c r="BB120" s="12">
        <f>VLOOKUP(A120,'Données projet'!$A$87:$I$107,9,0)</f>
        <v>8.4449999999999985</v>
      </c>
      <c r="BC120" s="12">
        <f t="array" ref="BC120">INDEX(BB:BB,MIN(IF(ISNUMBER(BB120:BB316),ROW(BB120:BB316),"")))</f>
        <v>8.4449999999999985</v>
      </c>
      <c r="BD120" s="12">
        <f>IF('Données projet'!$A$88&gt;35,BD119+BC120-BL119,IF(A120&lt;'Données projet'!$A$88,$BA$205^A120,IF(A120='Données projet'!$A$88,'Données projet'!$B$88,BD119+BC120-BL119)))</f>
        <v>381.56000000000051</v>
      </c>
      <c r="BE120" s="13">
        <f>BD120*VLOOKUP('Données projet'!$B$11,Paramètres!$A$1:$I$89,3,0)*VLOOKUP('Données projet'!$B$11,Paramètres!$A$1:$I$89,5,0)</f>
        <v>327.37848000000048</v>
      </c>
      <c r="BF120" s="13">
        <f t="shared" si="91"/>
        <v>76.886547160062776</v>
      </c>
      <c r="BG120" s="20">
        <f t="shared" si="61"/>
        <v>704.09492230377691</v>
      </c>
      <c r="BH120" s="59">
        <f t="shared" si="62"/>
        <v>997.42825563711017</v>
      </c>
      <c r="BI120" s="59">
        <f ca="1">AVERAGE(OFFSET($BH$3,0,0,'Données projet'!$E$11+1,1))-AVERAGE(OFFSET($H$3,0,0,'Données projet'!$E$11+1,1))</f>
        <v>312.89478437044261</v>
      </c>
      <c r="BJ120" s="59">
        <f t="shared" si="92"/>
        <v>276.16555507854571</v>
      </c>
      <c r="BK120" s="15">
        <f>IF(ISNA(VLOOKUP(A120,'Données projet'!$A$87:$I$107,3,0)),0,VLOOKUP(A120,'Données projet'!$A$87:$I$107,3,0))</f>
        <v>7</v>
      </c>
      <c r="BL120" s="15">
        <f>IF(ISNA(VLOOKUP(A120,'Données projet'!$A$87:$I$107,4,0)),0,VLOOKUP(A120,'Données projet'!$A$87:$I$107,4,0))</f>
        <v>73.949999999999989</v>
      </c>
      <c r="BM120" s="16">
        <f>IF(ISNA(VLOOKUP(A120,'Données projet'!$A$87:$I$107,5,0)),0%,VLOOKUP(A120,'Données projet'!$A$87:$I$107,5,0)*VLOOKUP('Données projet'!$B$11,Paramètres!$A$1:$I$89,7,0))</f>
        <v>0.159</v>
      </c>
      <c r="BN120" s="16">
        <f>IF(ISNA(VLOOKUP(A120,'Données projet'!$A$87:$I$107,6,0)),0%,VLOOKUP(A120,'Données projet'!$A$87:$I$107,6,0)*VLOOKUP('Données projet'!$B$11,Paramètres!$A$1:$I$89,7,0))</f>
        <v>0.10600000000000001</v>
      </c>
      <c r="BO120" s="16">
        <f>IF(ISNA(VLOOKUP(A120,'Données projet'!$A$87:$I$107,7,0)),0%,VLOOKUP(A120,'Données projet'!$A$87:$I$107,7,0))</f>
        <v>0.2</v>
      </c>
      <c r="BP120" s="21">
        <f>EXP(-LN(2)/35)*BP119+(1-EXP(-LN(2)/35))/(LN(2)/35)*BL120*BM120*VLOOKUP('Données projet'!$B$11,Paramètres!$A$1:$I$89,3,0)*0.475*44/12</f>
        <v>32.512610926590192</v>
      </c>
      <c r="BQ120" s="21">
        <f>EXP(-LN(2)/25)*BQ119+(1-EXP(-LN(2)/25))/(LN(2)/25)*Calculateur!BL120*Calculateur!BN120*VLOOKUP('Données projet'!$B$11,Paramètres!$A$1:$I$89,3,0)*0.475*44/12</f>
        <v>36.858024871572724</v>
      </c>
      <c r="BR120" s="21">
        <f>EXP(-LN(2)/2)*BR119+(1-EXP(-LN(2)/2))/(LN(2)/2)*BL120*BO120*VLOOKUP('Données projet'!$B$11,Paramètres!$A$1:$I$89,3,0)*0.475*44/12</f>
        <v>12.18782206123425</v>
      </c>
      <c r="BS120" s="22">
        <f t="shared" si="63"/>
        <v>81.558457859397151</v>
      </c>
      <c r="BT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0</v>
      </c>
      <c r="BZ120" s="13" t="e">
        <f>BY120*VLOOKUP('Données projet'!$B$12,Paramètres!$A$1:$I$89,3,0)*VLOOKUP('Données projet'!$B$12,Paramètres!$A$1:$I$89,5,0)</f>
        <v>#N/A</v>
      </c>
      <c r="CA120" s="13" t="e">
        <f t="shared" si="93"/>
        <v>#N/A</v>
      </c>
      <c r="CB120" s="20" t="e">
        <f t="shared" si="64"/>
        <v>#N/A</v>
      </c>
      <c r="CC120" s="59" t="e">
        <f t="shared" si="65"/>
        <v>#N/A</v>
      </c>
      <c r="CD120" s="59" t="e">
        <f ca="1">AVERAGE(OFFSET($CC$3,0,0,'Données projet'!$E$12+1,1))-AVERAGE(OFFSET($H$3,0,0,'Données projet'!$E$12+1,1))</f>
        <v>#N/A</v>
      </c>
      <c r="CE120" s="59" t="e">
        <f t="shared" si="94"/>
        <v>#N/A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 t="e">
        <f>EXP(-LN(2)/35)*CK119+(1-EXP(-LN(2)/35))/(LN(2)/35)*CG120*CH120*VLOOKUP('Données projet'!$B$12,Paramètres!$A$1:$I$89,3,0)*0.475*44/12</f>
        <v>#N/A</v>
      </c>
      <c r="CL120" s="21" t="e">
        <f>EXP(-LN(2)/25)*CL119+(1-EXP(-LN(2)/25))/(LN(2)/25)*Calculateur!CG120*Calculateur!CI120*VLOOKUP('Données projet'!$B$12,Paramètres!$A$1:$I$89,3,0)*0.475*44/12</f>
        <v>#N/A</v>
      </c>
      <c r="CM120" s="21" t="e">
        <f>EXP(-LN(2)/2)*CM119+(1-EXP(-LN(2)/2))/(LN(2)/2)*CG120*CJ120*VLOOKUP('Données projet'!$B$12,Paramètres!$A$1:$I$89,3,0)*0.475*44/12</f>
        <v>#N/A</v>
      </c>
      <c r="CN120" s="22" t="e">
        <f t="shared" si="66"/>
        <v>#N/A</v>
      </c>
      <c r="CO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0</v>
      </c>
      <c r="CU120" s="17" t="e">
        <f>CT120*VLOOKUP('Données projet'!$B$13,Paramètres!$A$1:$I$89,3,0)*VLOOKUP('Données projet'!$B$13,Paramètres!$A$1:$I$89,5,0)</f>
        <v>#N/A</v>
      </c>
      <c r="CV120" s="13" t="e">
        <f t="shared" si="95"/>
        <v>#N/A</v>
      </c>
      <c r="CW120" s="20" t="e">
        <f t="shared" si="67"/>
        <v>#N/A</v>
      </c>
      <c r="CX120" s="59" t="e">
        <f t="shared" si="68"/>
        <v>#N/A</v>
      </c>
      <c r="CY120" s="59" t="e">
        <f ca="1">AVERAGE(OFFSET($CX$3,0,0,'Données projet'!$E$13+1,1))-AVERAGE(OFFSET($H$3,0,0,'Données projet'!$E$13+1,1))</f>
        <v>#N/A</v>
      </c>
      <c r="CZ120" s="59" t="e">
        <f t="shared" si="96"/>
        <v>#N/A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 t="e">
        <f>EXP(-LN(2)/35)*DF119+(1-EXP(-LN(2)/35))/(LN(2)/35)*DB120*DC120*VLOOKUP('Données projet'!$B$13,Paramètres!$A$1:$I$89,3,0)*0.475*44/12</f>
        <v>#N/A</v>
      </c>
      <c r="DG120" s="21" t="e">
        <f>EXP(-LN(2)/25)*DG119+(1-EXP(-LN(2)/25))/(LN(2)/25)*Calculateur!DB120*Calculateur!DD120*VLOOKUP('Données projet'!$B$13,Paramètres!$A$1:$I$89,3,0)*0.475*44/12</f>
        <v>#N/A</v>
      </c>
      <c r="DH120" s="21" t="e">
        <f>EXP(-LN(2)/2)*DH119+(1-EXP(-LN(2)/2))/(LN(2)/2)*DB120*DE120*VLOOKUP('Données projet'!$B$13,Paramètres!$A$1:$I$89,3,0)*0.475*44/12</f>
        <v>#N/A</v>
      </c>
      <c r="DI120" s="22" t="e">
        <f t="shared" si="69"/>
        <v>#N/A</v>
      </c>
      <c r="DJ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0</v>
      </c>
      <c r="DP120" s="17" t="e">
        <f>DO120*VLOOKUP('Données projet'!$B$14,Paramètres!$A$1:$I$89,3,0)*VLOOKUP('Données projet'!$B$14,Paramètres!$A$1:$I$89,5,0)</f>
        <v>#N/A</v>
      </c>
      <c r="DQ120" s="13" t="e">
        <f t="shared" si="97"/>
        <v>#N/A</v>
      </c>
      <c r="DR120" s="20" t="e">
        <f t="shared" si="70"/>
        <v>#N/A</v>
      </c>
      <c r="DS120" s="59" t="e">
        <f t="shared" si="71"/>
        <v>#N/A</v>
      </c>
      <c r="DT120" s="59" t="e">
        <f ca="1">AVERAGE(OFFSET($DS$3,0,0,'Données projet'!$E$14+1,1))-AVERAGE(OFFSET($H$3,0,0,'Données projet'!$E$14+1,1))</f>
        <v>#N/A</v>
      </c>
      <c r="DU120" s="59" t="e">
        <f t="shared" si="98"/>
        <v>#N/A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 t="e">
        <f>EXP(-LN(2)/35)*EA119+(1-EXP(-LN(2)/35))/(LN(2)/35)*DW120*DX120*VLOOKUP('Données projet'!$B$14,Paramètres!$A$1:$I$89,3,0)*0.475*44/12</f>
        <v>#N/A</v>
      </c>
      <c r="EB120" s="21" t="e">
        <f>EXP(-LN(2)/25)*EB119+(1-EXP(-LN(2)/25))/(LN(2)/25)*Calculateur!DW120*Calculateur!DY120*VLOOKUP('Données projet'!$B$14,Paramètres!$A$1:$I$89,3,0)*0.475*44/12</f>
        <v>#N/A</v>
      </c>
      <c r="EC120" s="21" t="e">
        <f>EXP(-LN(2)/2)*EC119+(1-EXP(-LN(2)/2))/(LN(2)/2)*DW120*DZ120*VLOOKUP('Données projet'!$B$14,Paramètres!$A$1:$I$89,3,0)*0.475*44/12</f>
        <v>#N/A</v>
      </c>
      <c r="ED120" s="22" t="e">
        <f t="shared" si="72"/>
        <v>#N/A</v>
      </c>
      <c r="EE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0</v>
      </c>
      <c r="EK120" s="17" t="e">
        <f>EJ120*VLOOKUP('Données projet'!$B$15,Paramètres!$A$1:$I$89,3,0)*VLOOKUP('Données projet'!$B$15,Paramètres!$A$1:$I$89,5,0)</f>
        <v>#N/A</v>
      </c>
      <c r="EL120" s="13" t="e">
        <f t="shared" si="99"/>
        <v>#N/A</v>
      </c>
      <c r="EM120" s="20" t="e">
        <f t="shared" si="73"/>
        <v>#N/A</v>
      </c>
      <c r="EN120" s="59" t="e">
        <f t="shared" si="74"/>
        <v>#N/A</v>
      </c>
      <c r="EO120" s="59" t="e">
        <f ca="1">AVERAGE(OFFSET($EN$3,0,0,'Données projet'!$E$15+1,1))-AVERAGE(OFFSET($H$3,0,0,'Données projet'!$E$15+1,1))</f>
        <v>#N/A</v>
      </c>
      <c r="EP120" s="59" t="e">
        <f t="shared" si="100"/>
        <v>#N/A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 t="e">
        <f>EXP(-LN(2)/35)*EV119+(1-EXP(-LN(2)/35))/(LN(2)/35)*ER120*ES120*VLOOKUP('Données projet'!$B$15,Paramètres!$A$1:$I$89,3,0)*0.475*44/12</f>
        <v>#N/A</v>
      </c>
      <c r="EW120" s="21" t="e">
        <f>EXP(-LN(2)/25)*EW119+(1-EXP(-LN(2)/25))/(LN(2)/25)*Calculateur!ER120*Calculateur!ET120*VLOOKUP('Données projet'!$B$15,Paramètres!$A$1:$I$89,3,0)*0.475*44/12</f>
        <v>#N/A</v>
      </c>
      <c r="EX120" s="21" t="e">
        <f>EXP(-LN(2)/2)*EX119+(1-EXP(-LN(2)/2))/(LN(2)/2)*ER120*EU120*VLOOKUP('Données projet'!$B$15,Paramètres!$A$1:$I$89,3,0)*0.475*44/12</f>
        <v>#N/A</v>
      </c>
      <c r="EY120" s="22" t="e">
        <f t="shared" si="75"/>
        <v>#N/A</v>
      </c>
      <c r="EZ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9" t="e">
        <f t="shared" si="77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45">
      <c r="A121" s="10">
        <f t="shared" si="85"/>
        <v>118</v>
      </c>
      <c r="B121" s="73">
        <f>'Scénario référence'!$B$16*5+'Scénario référence'!$B$17*0+'Scénario référence'!$B$18*5</f>
        <v>0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104.92560000000019</v>
      </c>
      <c r="D121" s="11">
        <f t="shared" si="86"/>
        <v>28.132149981044396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">
        <f>IF(OR('Scénario référence'!$F$8&gt;0,'Scénario référence'!$F$9&gt;0),('Scénario référence'!$F$8+'Scénario référence'!$F$9)*10,0)</f>
        <v>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1027.1124559940286</v>
      </c>
      <c r="H121" s="67">
        <f t="shared" si="56"/>
        <v>488.40891455031931</v>
      </c>
      <c r="I121" s="7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4.3516666666666692</v>
      </c>
      <c r="N121" s="13">
        <f>IF('Données projet'!$A$36&gt;35,N120+M121-V120,IF(A121&lt;'Données projet'!$A$36,$K$205^A121,IF(A121='Données projet'!$A$36,'Données projet'!$B$36,N120+M121-V120)))</f>
        <v>481.1066666666668</v>
      </c>
      <c r="O121" s="13">
        <f>N121*VLOOKUP('Données projet'!$B$9,Paramètres!$A$1:$I$89,3,0)*VLOOKUP('Données projet'!$B$9,Paramètres!$A$1:$I$89,5,0)</f>
        <v>268.93862666666678</v>
      </c>
      <c r="P121" s="13">
        <f t="shared" si="87"/>
        <v>64.623967469845283</v>
      </c>
      <c r="Q121" s="20">
        <f t="shared" si="107"/>
        <v>580.95485145442512</v>
      </c>
      <c r="R121" s="59">
        <f t="shared" si="55"/>
        <v>874.28818478775838</v>
      </c>
      <c r="S121" s="59">
        <f ca="1">AVERAGE(OFFSET($R$3,0,0,'Données projet'!$E$9+1,1))-AVERAGE(OFFSET($H$3,0,0,'Données projet'!$E$9+1,1))</f>
        <v>280.69347314340195</v>
      </c>
      <c r="T121" s="59">
        <f t="shared" si="88"/>
        <v>152.40533828556482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52.836553718537168</v>
      </c>
      <c r="AA121" s="21">
        <f>EXP(-LN(2)/25)*AA120+(1-EXP(-LN(2)/25))/(LN(2)/25)*Calculateur!V121*Calculateur!X121*VLOOKUP('Données projet'!$B$9,Paramètres!$A$1:$I$89,3,0)*0.475*44/12</f>
        <v>15.659497209733672</v>
      </c>
      <c r="AB121" s="21">
        <f>EXP(-LN(2)/2)*AB120+(1-EXP(-LN(2)/2))/(LN(2)/2)*V121*Y121*VLOOKUP('Données projet'!$B$9,Paramètres!$A$1:$I$89,3,0)*0.475*44/12</f>
        <v>0.26277731843892432</v>
      </c>
      <c r="AC121" s="22">
        <f t="shared" si="57"/>
        <v>68.758828246709768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0</v>
      </c>
      <c r="AI121" s="13">
        <f>IF('Données projet'!$A$62&gt;35,AI120+AH121-AQ120,IF(A121&lt;'Données projet'!$A$62,$AF$205^A121,IF(A121='Données projet'!$A$62,'Données projet'!$B$62,AI120+AH121-AQ120)))</f>
        <v>0</v>
      </c>
      <c r="AJ121" s="13">
        <f>AI121*VLOOKUP('Données projet'!$B$10,Paramètres!$A$1:$I$89,3,0)*VLOOKUP('Données projet'!$B$10,Paramètres!$A$1:$I$89,5,0)</f>
        <v>0</v>
      </c>
      <c r="AK121" s="13" t="e">
        <f t="shared" si="89"/>
        <v>#NUM!</v>
      </c>
      <c r="AL121" s="20" t="e">
        <f t="shared" si="58"/>
        <v>#NUM!</v>
      </c>
      <c r="AM121" s="59" t="e">
        <f t="shared" si="59"/>
        <v>#NUM!</v>
      </c>
      <c r="AN121" s="59">
        <f ca="1">AVERAGE(OFFSET($AM$3,0,0,'Données projet'!$E$10+1,1))-AVERAGE(OFFSET($H$3,0,0,'Données projet'!$E$10+1,1))</f>
        <v>179.4725256147085</v>
      </c>
      <c r="AO121" s="59">
        <f t="shared" si="90"/>
        <v>282.16750121151176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45.780051671902754</v>
      </c>
      <c r="AV121" s="21">
        <f>EXP(-LN(2)/25)*AV120+(1-EXP(-LN(2)/25))/(LN(2)/25)*Calculateur!AQ121*Calculateur!AS121*VLOOKUP('Données projet'!$B$10,Paramètres!$A$1:$I$89,3,0)*0.475*44/12</f>
        <v>9.7856542399069415</v>
      </c>
      <c r="AW121" s="21">
        <f>EXP(-LN(2)/2)*AW120+(1-EXP(-LN(2)/2))/(LN(2)/2)*AQ121*AT121*VLOOKUP('Données projet'!$B$10,Paramètres!$A$1:$I$89,3,0)*0.475*44/12</f>
        <v>8.0317999934263869E-8</v>
      </c>
      <c r="AX121" s="21">
        <f t="shared" si="60"/>
        <v>55.565705992127697</v>
      </c>
      <c r="AY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7.6799999999999971</v>
      </c>
      <c r="BD121" s="12">
        <f>IF('Données projet'!$A$88&gt;35,BD120+BC121-BL120,IF(A121&lt;'Données projet'!$A$88,$BA$205^A121,IF(A121='Données projet'!$A$88,'Données projet'!$B$88,BD120+BC121-BL120)))</f>
        <v>315.29000000000053</v>
      </c>
      <c r="BE121" s="13">
        <f>BD121*VLOOKUP('Données projet'!$B$11,Paramètres!$A$1:$I$89,3,0)*VLOOKUP('Données projet'!$B$11,Paramètres!$A$1:$I$89,5,0)</f>
        <v>270.51882000000046</v>
      </c>
      <c r="BF121" s="13">
        <f t="shared" si="91"/>
        <v>64.959363681042007</v>
      </c>
      <c r="BG121" s="20">
        <f t="shared" si="61"/>
        <v>584.29116991114904</v>
      </c>
      <c r="BH121" s="59">
        <f t="shared" si="62"/>
        <v>877.62450324448241</v>
      </c>
      <c r="BI121" s="59">
        <f ca="1">AVERAGE(OFFSET($BH$3,0,0,'Données projet'!$E$11+1,1))-AVERAGE(OFFSET($H$3,0,0,'Données projet'!$E$11+1,1))</f>
        <v>312.89478437044261</v>
      </c>
      <c r="BJ121" s="59">
        <f t="shared" si="92"/>
        <v>276.16555507854571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>
        <f>EXP(-LN(2)/35)*BP120+(1-EXP(-LN(2)/35))/(LN(2)/35)*BL121*BM121*VLOOKUP('Données projet'!$B$11,Paramètres!$A$1:$I$89,3,0)*0.475*44/12</f>
        <v>31.875058457054301</v>
      </c>
      <c r="BQ121" s="21">
        <f>EXP(-LN(2)/25)*BQ120+(1-EXP(-LN(2)/25))/(LN(2)/25)*Calculateur!BL121*Calculateur!BN121*VLOOKUP('Données projet'!$B$11,Paramètres!$A$1:$I$89,3,0)*0.475*44/12</f>
        <v>35.850140243180277</v>
      </c>
      <c r="BR121" s="21">
        <f>EXP(-LN(2)/2)*BR120+(1-EXP(-LN(2)/2))/(LN(2)/2)*BL121*BO121*VLOOKUP('Données projet'!$B$11,Paramètres!$A$1:$I$89,3,0)*0.475*44/12</f>
        <v>8.6180916273937438</v>
      </c>
      <c r="BS121" s="22">
        <f t="shared" si="63"/>
        <v>76.343290327628324</v>
      </c>
      <c r="BT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0</v>
      </c>
      <c r="BZ121" s="13" t="e">
        <f>BY121*VLOOKUP('Données projet'!$B$12,Paramètres!$A$1:$I$89,3,0)*VLOOKUP('Données projet'!$B$12,Paramètres!$A$1:$I$89,5,0)</f>
        <v>#N/A</v>
      </c>
      <c r="CA121" s="13" t="e">
        <f t="shared" si="93"/>
        <v>#N/A</v>
      </c>
      <c r="CB121" s="20" t="e">
        <f t="shared" si="64"/>
        <v>#N/A</v>
      </c>
      <c r="CC121" s="59" t="e">
        <f t="shared" si="65"/>
        <v>#N/A</v>
      </c>
      <c r="CD121" s="59" t="e">
        <f ca="1">AVERAGE(OFFSET($CC$3,0,0,'Données projet'!$E$12+1,1))-AVERAGE(OFFSET($H$3,0,0,'Données projet'!$E$12+1,1))</f>
        <v>#N/A</v>
      </c>
      <c r="CE121" s="59" t="e">
        <f t="shared" si="94"/>
        <v>#N/A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 t="e">
        <f>EXP(-LN(2)/35)*CK120+(1-EXP(-LN(2)/35))/(LN(2)/35)*CG121*CH121*VLOOKUP('Données projet'!$B$12,Paramètres!$A$1:$I$89,3,0)*0.475*44/12</f>
        <v>#N/A</v>
      </c>
      <c r="CL121" s="21" t="e">
        <f>EXP(-LN(2)/25)*CL120+(1-EXP(-LN(2)/25))/(LN(2)/25)*Calculateur!CG121*Calculateur!CI121*VLOOKUP('Données projet'!$B$12,Paramètres!$A$1:$I$89,3,0)*0.475*44/12</f>
        <v>#N/A</v>
      </c>
      <c r="CM121" s="21" t="e">
        <f>EXP(-LN(2)/2)*CM120+(1-EXP(-LN(2)/2))/(LN(2)/2)*CG121*CJ121*VLOOKUP('Données projet'!$B$12,Paramètres!$A$1:$I$89,3,0)*0.475*44/12</f>
        <v>#N/A</v>
      </c>
      <c r="CN121" s="22" t="e">
        <f t="shared" si="66"/>
        <v>#N/A</v>
      </c>
      <c r="CO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0</v>
      </c>
      <c r="CU121" s="17" t="e">
        <f>CT121*VLOOKUP('Données projet'!$B$13,Paramètres!$A$1:$I$89,3,0)*VLOOKUP('Données projet'!$B$13,Paramètres!$A$1:$I$89,5,0)</f>
        <v>#N/A</v>
      </c>
      <c r="CV121" s="13" t="e">
        <f t="shared" si="95"/>
        <v>#N/A</v>
      </c>
      <c r="CW121" s="20" t="e">
        <f t="shared" si="67"/>
        <v>#N/A</v>
      </c>
      <c r="CX121" s="59" t="e">
        <f t="shared" si="68"/>
        <v>#N/A</v>
      </c>
      <c r="CY121" s="59" t="e">
        <f ca="1">AVERAGE(OFFSET($CX$3,0,0,'Données projet'!$E$13+1,1))-AVERAGE(OFFSET($H$3,0,0,'Données projet'!$E$13+1,1))</f>
        <v>#N/A</v>
      </c>
      <c r="CZ121" s="59" t="e">
        <f t="shared" si="96"/>
        <v>#N/A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 t="e">
        <f>EXP(-LN(2)/35)*DF120+(1-EXP(-LN(2)/35))/(LN(2)/35)*DB121*DC121*VLOOKUP('Données projet'!$B$13,Paramètres!$A$1:$I$89,3,0)*0.475*44/12</f>
        <v>#N/A</v>
      </c>
      <c r="DG121" s="21" t="e">
        <f>EXP(-LN(2)/25)*DG120+(1-EXP(-LN(2)/25))/(LN(2)/25)*Calculateur!DB121*Calculateur!DD121*VLOOKUP('Données projet'!$B$13,Paramètres!$A$1:$I$89,3,0)*0.475*44/12</f>
        <v>#N/A</v>
      </c>
      <c r="DH121" s="21" t="e">
        <f>EXP(-LN(2)/2)*DH120+(1-EXP(-LN(2)/2))/(LN(2)/2)*DB121*DE121*VLOOKUP('Données projet'!$B$13,Paramètres!$A$1:$I$89,3,0)*0.475*44/12</f>
        <v>#N/A</v>
      </c>
      <c r="DI121" s="22" t="e">
        <f t="shared" si="69"/>
        <v>#N/A</v>
      </c>
      <c r="DJ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0</v>
      </c>
      <c r="DP121" s="17" t="e">
        <f>DO121*VLOOKUP('Données projet'!$B$14,Paramètres!$A$1:$I$89,3,0)*VLOOKUP('Données projet'!$B$14,Paramètres!$A$1:$I$89,5,0)</f>
        <v>#N/A</v>
      </c>
      <c r="DQ121" s="13" t="e">
        <f t="shared" si="97"/>
        <v>#N/A</v>
      </c>
      <c r="DR121" s="20" t="e">
        <f t="shared" si="70"/>
        <v>#N/A</v>
      </c>
      <c r="DS121" s="59" t="e">
        <f t="shared" si="71"/>
        <v>#N/A</v>
      </c>
      <c r="DT121" s="59" t="e">
        <f ca="1">AVERAGE(OFFSET($DS$3,0,0,'Données projet'!$E$14+1,1))-AVERAGE(OFFSET($H$3,0,0,'Données projet'!$E$14+1,1))</f>
        <v>#N/A</v>
      </c>
      <c r="DU121" s="59" t="e">
        <f t="shared" si="98"/>
        <v>#N/A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 t="e">
        <f>EXP(-LN(2)/35)*EA120+(1-EXP(-LN(2)/35))/(LN(2)/35)*DW121*DX121*VLOOKUP('Données projet'!$B$14,Paramètres!$A$1:$I$89,3,0)*0.475*44/12</f>
        <v>#N/A</v>
      </c>
      <c r="EB121" s="21" t="e">
        <f>EXP(-LN(2)/25)*EB120+(1-EXP(-LN(2)/25))/(LN(2)/25)*Calculateur!DW121*Calculateur!DY121*VLOOKUP('Données projet'!$B$14,Paramètres!$A$1:$I$89,3,0)*0.475*44/12</f>
        <v>#N/A</v>
      </c>
      <c r="EC121" s="21" t="e">
        <f>EXP(-LN(2)/2)*EC120+(1-EXP(-LN(2)/2))/(LN(2)/2)*DW121*DZ121*VLOOKUP('Données projet'!$B$14,Paramètres!$A$1:$I$89,3,0)*0.475*44/12</f>
        <v>#N/A</v>
      </c>
      <c r="ED121" s="22" t="e">
        <f t="shared" si="72"/>
        <v>#N/A</v>
      </c>
      <c r="EE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0</v>
      </c>
      <c r="EK121" s="17" t="e">
        <f>EJ121*VLOOKUP('Données projet'!$B$15,Paramètres!$A$1:$I$89,3,0)*VLOOKUP('Données projet'!$B$15,Paramètres!$A$1:$I$89,5,0)</f>
        <v>#N/A</v>
      </c>
      <c r="EL121" s="13" t="e">
        <f t="shared" si="99"/>
        <v>#N/A</v>
      </c>
      <c r="EM121" s="20" t="e">
        <f t="shared" si="73"/>
        <v>#N/A</v>
      </c>
      <c r="EN121" s="59" t="e">
        <f t="shared" si="74"/>
        <v>#N/A</v>
      </c>
      <c r="EO121" s="59" t="e">
        <f ca="1">AVERAGE(OFFSET($EN$3,0,0,'Données projet'!$E$15+1,1))-AVERAGE(OFFSET($H$3,0,0,'Données projet'!$E$15+1,1))</f>
        <v>#N/A</v>
      </c>
      <c r="EP121" s="59" t="e">
        <f t="shared" si="100"/>
        <v>#N/A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 t="e">
        <f>EXP(-LN(2)/35)*EV120+(1-EXP(-LN(2)/35))/(LN(2)/35)*ER121*ES121*VLOOKUP('Données projet'!$B$15,Paramètres!$A$1:$I$89,3,0)*0.475*44/12</f>
        <v>#N/A</v>
      </c>
      <c r="EW121" s="21" t="e">
        <f>EXP(-LN(2)/25)*EW120+(1-EXP(-LN(2)/25))/(LN(2)/25)*Calculateur!ER121*Calculateur!ET121*VLOOKUP('Données projet'!$B$15,Paramètres!$A$1:$I$89,3,0)*0.475*44/12</f>
        <v>#N/A</v>
      </c>
      <c r="EX121" s="21" t="e">
        <f>EXP(-LN(2)/2)*EX120+(1-EXP(-LN(2)/2))/(LN(2)/2)*ER121*EU121*VLOOKUP('Données projet'!$B$15,Paramètres!$A$1:$I$89,3,0)*0.475*44/12</f>
        <v>#N/A</v>
      </c>
      <c r="EY121" s="22" t="e">
        <f t="shared" si="75"/>
        <v>#N/A</v>
      </c>
      <c r="EZ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9" t="e">
        <f t="shared" si="77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45">
      <c r="A122" s="10">
        <f t="shared" si="85"/>
        <v>119</v>
      </c>
      <c r="B122" s="73">
        <f>'Scénario référence'!$B$16*5+'Scénario référence'!$B$17*0+'Scénario référence'!$B$18*5</f>
        <v>0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105.81480000000019</v>
      </c>
      <c r="D122" s="11">
        <f t="shared" si="86"/>
        <v>28.342703760346538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">
        <f>IF(OR('Scénario référence'!$F$8&gt;0,'Scénario référence'!$F$9&gt;0),('Scénario référence'!$F$8+'Scénario référence'!$F$9)*10,0)</f>
        <v>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1035.6017834132028</v>
      </c>
      <c r="H122" s="67">
        <f t="shared" si="56"/>
        <v>490.32431904927057</v>
      </c>
      <c r="I122" s="7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4.3516666666666692</v>
      </c>
      <c r="N122" s="13">
        <f>IF('Données projet'!$A$36&gt;35,N121+M122-V121,IF(A122&lt;'Données projet'!$A$36,$K$205^A122,IF(A122='Données projet'!$A$36,'Données projet'!$B$36,N121+M122-V121)))</f>
        <v>485.45833333333348</v>
      </c>
      <c r="O122" s="13">
        <f>N122*VLOOKUP('Données projet'!$B$9,Paramètres!$A$1:$I$89,3,0)*VLOOKUP('Données projet'!$B$9,Paramètres!$A$1:$I$89,5,0)</f>
        <v>271.37120833333341</v>
      </c>
      <c r="P122" s="13">
        <f t="shared" si="87"/>
        <v>65.140188452457693</v>
      </c>
      <c r="Q122" s="20">
        <f t="shared" si="107"/>
        <v>586.09068273525281</v>
      </c>
      <c r="R122" s="59">
        <f t="shared" si="55"/>
        <v>879.42401606858607</v>
      </c>
      <c r="S122" s="59">
        <f ca="1">AVERAGE(OFFSET($R$3,0,0,'Données projet'!$E$9+1,1))-AVERAGE(OFFSET($H$3,0,0,'Données projet'!$E$9+1,1))</f>
        <v>280.69347314340195</v>
      </c>
      <c r="T122" s="59">
        <f t="shared" si="88"/>
        <v>152.40533828556482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51.800461127232261</v>
      </c>
      <c r="AA122" s="21">
        <f>EXP(-LN(2)/25)*AA121+(1-EXP(-LN(2)/25))/(LN(2)/25)*Calculateur!V122*Calculateur!X122*VLOOKUP('Données projet'!$B$9,Paramètres!$A$1:$I$89,3,0)*0.475*44/12</f>
        <v>15.231287435036338</v>
      </c>
      <c r="AB122" s="21">
        <f>EXP(-LN(2)/2)*AB121+(1-EXP(-LN(2)/2))/(LN(2)/2)*V122*Y122*VLOOKUP('Données projet'!$B$9,Paramètres!$A$1:$I$89,3,0)*0.475*44/12</f>
        <v>0.18581162381018018</v>
      </c>
      <c r="AC122" s="22">
        <f t="shared" si="57"/>
        <v>67.217560186078785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0</v>
      </c>
      <c r="AI122" s="13">
        <f>IF('Données projet'!$A$62&gt;35,AI121+AH122-AQ121,IF(A122&lt;'Données projet'!$A$62,$AF$205^A122,IF(A122='Données projet'!$A$62,'Données projet'!$B$62,AI121+AH122-AQ121)))</f>
        <v>0</v>
      </c>
      <c r="AJ122" s="13">
        <f>AI122*VLOOKUP('Données projet'!$B$10,Paramètres!$A$1:$I$89,3,0)*VLOOKUP('Données projet'!$B$10,Paramètres!$A$1:$I$89,5,0)</f>
        <v>0</v>
      </c>
      <c r="AK122" s="13" t="e">
        <f t="shared" si="89"/>
        <v>#NUM!</v>
      </c>
      <c r="AL122" s="20" t="e">
        <f t="shared" si="58"/>
        <v>#NUM!</v>
      </c>
      <c r="AM122" s="59" t="e">
        <f t="shared" si="59"/>
        <v>#NUM!</v>
      </c>
      <c r="AN122" s="59">
        <f ca="1">AVERAGE(OFFSET($AM$3,0,0,'Données projet'!$E$10+1,1))-AVERAGE(OFFSET($H$3,0,0,'Données projet'!$E$10+1,1))</f>
        <v>179.4725256147085</v>
      </c>
      <c r="AO122" s="59">
        <f t="shared" si="90"/>
        <v>282.16750121151176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44.882332781691083</v>
      </c>
      <c r="AV122" s="21">
        <f>EXP(-LN(2)/25)*AV121+(1-EXP(-LN(2)/25))/(LN(2)/25)*Calculateur!AQ122*Calculateur!AS122*VLOOKUP('Données projet'!$B$10,Paramètres!$A$1:$I$89,3,0)*0.475*44/12</f>
        <v>9.5180650101114956</v>
      </c>
      <c r="AW122" s="21">
        <f>EXP(-LN(2)/2)*AW121+(1-EXP(-LN(2)/2))/(LN(2)/2)*AQ122*AT122*VLOOKUP('Données projet'!$B$10,Paramètres!$A$1:$I$89,3,0)*0.475*44/12</f>
        <v>5.6793402404858661E-8</v>
      </c>
      <c r="AX122" s="21">
        <f t="shared" si="60"/>
        <v>54.400397848595979</v>
      </c>
      <c r="AY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7.6799999999999971</v>
      </c>
      <c r="BD122" s="12">
        <f>IF('Données projet'!$A$88&gt;35,BD121+BC122-BL121,IF(A122&lt;'Données projet'!$A$88,$BA$205^A122,IF(A122='Données projet'!$A$88,'Données projet'!$B$88,BD121+BC122-BL121)))</f>
        <v>322.97000000000054</v>
      </c>
      <c r="BE122" s="13">
        <f>BD122*VLOOKUP('Données projet'!$B$11,Paramètres!$A$1:$I$89,3,0)*VLOOKUP('Données projet'!$B$11,Paramètres!$A$1:$I$89,5,0)</f>
        <v>277.10826000000048</v>
      </c>
      <c r="BF122" s="13">
        <f t="shared" si="91"/>
        <v>66.355532354125188</v>
      </c>
      <c r="BG122" s="20">
        <f t="shared" si="61"/>
        <v>598.19943835010224</v>
      </c>
      <c r="BH122" s="59">
        <f t="shared" si="62"/>
        <v>891.53277168343561</v>
      </c>
      <c r="BI122" s="59">
        <f ca="1">AVERAGE(OFFSET($BH$3,0,0,'Données projet'!$E$11+1,1))-AVERAGE(OFFSET($H$3,0,0,'Données projet'!$E$11+1,1))</f>
        <v>312.89478437044261</v>
      </c>
      <c r="BJ122" s="59">
        <f t="shared" si="92"/>
        <v>276.16555507854571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>
        <f>EXP(-LN(2)/35)*BP121+(1-EXP(-LN(2)/35))/(LN(2)/35)*BL122*BM122*VLOOKUP('Données projet'!$B$11,Paramètres!$A$1:$I$89,3,0)*0.475*44/12</f>
        <v>31.250008002577399</v>
      </c>
      <c r="BQ122" s="21">
        <f>EXP(-LN(2)/25)*BQ121+(1-EXP(-LN(2)/25))/(LN(2)/25)*Calculateur!BL122*Calculateur!BN122*VLOOKUP('Données projet'!$B$11,Paramètres!$A$1:$I$89,3,0)*0.475*44/12</f>
        <v>34.869816272953571</v>
      </c>
      <c r="BR122" s="21">
        <f>EXP(-LN(2)/2)*BR121+(1-EXP(-LN(2)/2))/(LN(2)/2)*BL122*BO122*VLOOKUP('Données projet'!$B$11,Paramètres!$A$1:$I$89,3,0)*0.475*44/12</f>
        <v>6.093911030617126</v>
      </c>
      <c r="BS122" s="22">
        <f t="shared" si="63"/>
        <v>72.213735306148095</v>
      </c>
      <c r="BT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0</v>
      </c>
      <c r="BZ122" s="13" t="e">
        <f>BY122*VLOOKUP('Données projet'!$B$12,Paramètres!$A$1:$I$89,3,0)*VLOOKUP('Données projet'!$B$12,Paramètres!$A$1:$I$89,5,0)</f>
        <v>#N/A</v>
      </c>
      <c r="CA122" s="13" t="e">
        <f t="shared" si="93"/>
        <v>#N/A</v>
      </c>
      <c r="CB122" s="20" t="e">
        <f t="shared" si="64"/>
        <v>#N/A</v>
      </c>
      <c r="CC122" s="59" t="e">
        <f t="shared" si="65"/>
        <v>#N/A</v>
      </c>
      <c r="CD122" s="59" t="e">
        <f ca="1">AVERAGE(OFFSET($CC$3,0,0,'Données projet'!$E$12+1,1))-AVERAGE(OFFSET($H$3,0,0,'Données projet'!$E$12+1,1))</f>
        <v>#N/A</v>
      </c>
      <c r="CE122" s="59" t="e">
        <f t="shared" si="94"/>
        <v>#N/A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 t="e">
        <f>EXP(-LN(2)/35)*CK121+(1-EXP(-LN(2)/35))/(LN(2)/35)*CG122*CH122*VLOOKUP('Données projet'!$B$12,Paramètres!$A$1:$I$89,3,0)*0.475*44/12</f>
        <v>#N/A</v>
      </c>
      <c r="CL122" s="21" t="e">
        <f>EXP(-LN(2)/25)*CL121+(1-EXP(-LN(2)/25))/(LN(2)/25)*Calculateur!CG122*Calculateur!CI122*VLOOKUP('Données projet'!$B$12,Paramètres!$A$1:$I$89,3,0)*0.475*44/12</f>
        <v>#N/A</v>
      </c>
      <c r="CM122" s="21" t="e">
        <f>EXP(-LN(2)/2)*CM121+(1-EXP(-LN(2)/2))/(LN(2)/2)*CG122*CJ122*VLOOKUP('Données projet'!$B$12,Paramètres!$A$1:$I$89,3,0)*0.475*44/12</f>
        <v>#N/A</v>
      </c>
      <c r="CN122" s="22" t="e">
        <f t="shared" si="66"/>
        <v>#N/A</v>
      </c>
      <c r="CO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0</v>
      </c>
      <c r="CU122" s="17" t="e">
        <f>CT122*VLOOKUP('Données projet'!$B$13,Paramètres!$A$1:$I$89,3,0)*VLOOKUP('Données projet'!$B$13,Paramètres!$A$1:$I$89,5,0)</f>
        <v>#N/A</v>
      </c>
      <c r="CV122" s="13" t="e">
        <f t="shared" si="95"/>
        <v>#N/A</v>
      </c>
      <c r="CW122" s="20" t="e">
        <f t="shared" si="67"/>
        <v>#N/A</v>
      </c>
      <c r="CX122" s="59" t="e">
        <f t="shared" si="68"/>
        <v>#N/A</v>
      </c>
      <c r="CY122" s="59" t="e">
        <f ca="1">AVERAGE(OFFSET($CX$3,0,0,'Données projet'!$E$13+1,1))-AVERAGE(OFFSET($H$3,0,0,'Données projet'!$E$13+1,1))</f>
        <v>#N/A</v>
      </c>
      <c r="CZ122" s="59" t="e">
        <f t="shared" si="96"/>
        <v>#N/A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 t="e">
        <f>EXP(-LN(2)/35)*DF121+(1-EXP(-LN(2)/35))/(LN(2)/35)*DB122*DC122*VLOOKUP('Données projet'!$B$13,Paramètres!$A$1:$I$89,3,0)*0.475*44/12</f>
        <v>#N/A</v>
      </c>
      <c r="DG122" s="21" t="e">
        <f>EXP(-LN(2)/25)*DG121+(1-EXP(-LN(2)/25))/(LN(2)/25)*Calculateur!DB122*Calculateur!DD122*VLOOKUP('Données projet'!$B$13,Paramètres!$A$1:$I$89,3,0)*0.475*44/12</f>
        <v>#N/A</v>
      </c>
      <c r="DH122" s="21" t="e">
        <f>EXP(-LN(2)/2)*DH121+(1-EXP(-LN(2)/2))/(LN(2)/2)*DB122*DE122*VLOOKUP('Données projet'!$B$13,Paramètres!$A$1:$I$89,3,0)*0.475*44/12</f>
        <v>#N/A</v>
      </c>
      <c r="DI122" s="22" t="e">
        <f t="shared" si="69"/>
        <v>#N/A</v>
      </c>
      <c r="DJ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0</v>
      </c>
      <c r="DP122" s="17" t="e">
        <f>DO122*VLOOKUP('Données projet'!$B$14,Paramètres!$A$1:$I$89,3,0)*VLOOKUP('Données projet'!$B$14,Paramètres!$A$1:$I$89,5,0)</f>
        <v>#N/A</v>
      </c>
      <c r="DQ122" s="13" t="e">
        <f t="shared" si="97"/>
        <v>#N/A</v>
      </c>
      <c r="DR122" s="20" t="e">
        <f t="shared" si="70"/>
        <v>#N/A</v>
      </c>
      <c r="DS122" s="59" t="e">
        <f t="shared" si="71"/>
        <v>#N/A</v>
      </c>
      <c r="DT122" s="59" t="e">
        <f ca="1">AVERAGE(OFFSET($DS$3,0,0,'Données projet'!$E$14+1,1))-AVERAGE(OFFSET($H$3,0,0,'Données projet'!$E$14+1,1))</f>
        <v>#N/A</v>
      </c>
      <c r="DU122" s="59" t="e">
        <f t="shared" si="98"/>
        <v>#N/A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 t="e">
        <f>EXP(-LN(2)/35)*EA121+(1-EXP(-LN(2)/35))/(LN(2)/35)*DW122*DX122*VLOOKUP('Données projet'!$B$14,Paramètres!$A$1:$I$89,3,0)*0.475*44/12</f>
        <v>#N/A</v>
      </c>
      <c r="EB122" s="21" t="e">
        <f>EXP(-LN(2)/25)*EB121+(1-EXP(-LN(2)/25))/(LN(2)/25)*Calculateur!DW122*Calculateur!DY122*VLOOKUP('Données projet'!$B$14,Paramètres!$A$1:$I$89,3,0)*0.475*44/12</f>
        <v>#N/A</v>
      </c>
      <c r="EC122" s="21" t="e">
        <f>EXP(-LN(2)/2)*EC121+(1-EXP(-LN(2)/2))/(LN(2)/2)*DW122*DZ122*VLOOKUP('Données projet'!$B$14,Paramètres!$A$1:$I$89,3,0)*0.475*44/12</f>
        <v>#N/A</v>
      </c>
      <c r="ED122" s="22" t="e">
        <f t="shared" si="72"/>
        <v>#N/A</v>
      </c>
      <c r="EE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0</v>
      </c>
      <c r="EK122" s="17" t="e">
        <f>EJ122*VLOOKUP('Données projet'!$B$15,Paramètres!$A$1:$I$89,3,0)*VLOOKUP('Données projet'!$B$15,Paramètres!$A$1:$I$89,5,0)</f>
        <v>#N/A</v>
      </c>
      <c r="EL122" s="13" t="e">
        <f t="shared" si="99"/>
        <v>#N/A</v>
      </c>
      <c r="EM122" s="20" t="e">
        <f t="shared" si="73"/>
        <v>#N/A</v>
      </c>
      <c r="EN122" s="59" t="e">
        <f t="shared" si="74"/>
        <v>#N/A</v>
      </c>
      <c r="EO122" s="59" t="e">
        <f ca="1">AVERAGE(OFFSET($EN$3,0,0,'Données projet'!$E$15+1,1))-AVERAGE(OFFSET($H$3,0,0,'Données projet'!$E$15+1,1))</f>
        <v>#N/A</v>
      </c>
      <c r="EP122" s="59" t="e">
        <f t="shared" si="100"/>
        <v>#N/A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 t="e">
        <f>EXP(-LN(2)/35)*EV121+(1-EXP(-LN(2)/35))/(LN(2)/35)*ER122*ES122*VLOOKUP('Données projet'!$B$15,Paramètres!$A$1:$I$89,3,0)*0.475*44/12</f>
        <v>#N/A</v>
      </c>
      <c r="EW122" s="21" t="e">
        <f>EXP(-LN(2)/25)*EW121+(1-EXP(-LN(2)/25))/(LN(2)/25)*Calculateur!ER122*Calculateur!ET122*VLOOKUP('Données projet'!$B$15,Paramètres!$A$1:$I$89,3,0)*0.475*44/12</f>
        <v>#N/A</v>
      </c>
      <c r="EX122" s="21" t="e">
        <f>EXP(-LN(2)/2)*EX121+(1-EXP(-LN(2)/2))/(LN(2)/2)*ER122*EU122*VLOOKUP('Données projet'!$B$15,Paramètres!$A$1:$I$89,3,0)*0.475*44/12</f>
        <v>#N/A</v>
      </c>
      <c r="EY122" s="22" t="e">
        <f t="shared" si="75"/>
        <v>#N/A</v>
      </c>
      <c r="EZ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9" t="e">
        <f t="shared" si="77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45">
      <c r="A123" s="10">
        <f t="shared" si="85"/>
        <v>120</v>
      </c>
      <c r="B123" s="73">
        <f>'Scénario référence'!$B$16*5+'Scénario référence'!$B$17*0+'Scénario référence'!$B$18*5</f>
        <v>0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106.70400000000019</v>
      </c>
      <c r="D123" s="11">
        <f t="shared" si="86"/>
        <v>28.553051684335379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">
        <f>IF(OR('Scénario référence'!$F$8&gt;0,'Scénario référence'!$F$9&gt;0),('Scénario référence'!$F$8+'Scénario référence'!$F$9)*10,0)</f>
        <v>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1044.0895217738187</v>
      </c>
      <c r="H123" s="67">
        <f t="shared" si="56"/>
        <v>492.23936501688451</v>
      </c>
      <c r="I123" s="7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>
        <f>VLOOKUP(A123,'Données projet'!$A$35:$I$55,2,0)</f>
        <v>489.81</v>
      </c>
      <c r="L123" s="12">
        <f>VLOOKUP(A123,'Données projet'!$A$35:$I$55,9,0)</f>
        <v>4.3516666666666692</v>
      </c>
      <c r="M123" s="12">
        <f t="array" ref="M123">INDEX(L:L,MIN(IF(ISNUMBER(L123:L319),ROW(L123:L319),"")))</f>
        <v>4.3516666666666692</v>
      </c>
      <c r="N123" s="13">
        <f>IF('Données projet'!$A$36&gt;35,N122+M123-V122,IF(A123&lt;'Données projet'!$A$36,$K$205^A123,IF(A123='Données projet'!$A$36,'Données projet'!$B$36,N122+M123-V122)))</f>
        <v>489.81000000000017</v>
      </c>
      <c r="O123" s="13">
        <f>N123*VLOOKUP('Données projet'!$B$9,Paramètres!$A$1:$I$89,3,0)*VLOOKUP('Données projet'!$B$9,Paramètres!$A$1:$I$89,5,0)</f>
        <v>273.80379000000011</v>
      </c>
      <c r="P123" s="13">
        <f t="shared" si="87"/>
        <v>65.655871076177263</v>
      </c>
      <c r="Q123" s="20">
        <f t="shared" si="107"/>
        <v>591.22557637434227</v>
      </c>
      <c r="R123" s="59">
        <f t="shared" si="55"/>
        <v>884.55890970767564</v>
      </c>
      <c r="S123" s="59">
        <f ca="1">AVERAGE(OFFSET($R$3,0,0,'Données projet'!$E$9+1,1))-AVERAGE(OFFSET($H$3,0,0,'Données projet'!$E$9+1,1))</f>
        <v>280.69347314340195</v>
      </c>
      <c r="T123" s="59">
        <f t="shared" si="88"/>
        <v>152.40533828556482</v>
      </c>
      <c r="U123" s="15">
        <f>IF(ISNA(VLOOKUP(A123,'Données projet'!$A$35:$I$55,3,0)),0,VLOOKUP(A123,'Données projet'!$A$35:$I$55,3,0))</f>
        <v>9</v>
      </c>
      <c r="V123" s="15">
        <f>IF(ISNA(VLOOKUP(A123,'Données projet'!$A$35:$I$55,4,0)),0,VLOOKUP(A123,'Données projet'!$A$35:$I$55,4,0))</f>
        <v>489.81</v>
      </c>
      <c r="W123" s="16">
        <f>IF(ISNA(VLOOKUP(A123,'Données projet'!$A$35:$I$55,5,0)),0%,VLOOKUP(A123,'Données projet'!$A$35:$I$55,5,0)*VLOOKUP('Données projet'!$B$9,Paramètres!$A$1:$I$89,7,0))</f>
        <v>0.33</v>
      </c>
      <c r="X123" s="16">
        <f>IF(ISNA(VLOOKUP(A123,'Données projet'!$A$35:$I$55,6,0)),0%,VLOOKUP(A123,'Données projet'!$A$35:$I$55,6,0)*VLOOKUP('Données projet'!$B$9,Paramètres!$A$1:$I$89,7,0))</f>
        <v>0.11000000000000001</v>
      </c>
      <c r="Y123" s="16">
        <f>IF(ISNA(VLOOKUP(A123,'Données projet'!$A$35:$I$55,7,0)),0%,VLOOKUP(A123,'Données projet'!$A$35:$I$55,7,0))</f>
        <v>0.2</v>
      </c>
      <c r="Z123" s="21">
        <f>EXP(-LN(2)/35)*Z122+(1-EXP(-LN(2)/35))/(LN(2)/35)*V123*W123*VLOOKUP('Données projet'!$B$9,Paramètres!$A$1:$I$89,3,0)*0.475*44/12</f>
        <v>170.64674962063742</v>
      </c>
      <c r="AA123" s="21">
        <f>EXP(-LN(2)/25)*AA122+(1-EXP(-LN(2)/25))/(LN(2)/25)*Calculateur!V123*Calculateur!X123*VLOOKUP('Données projet'!$B$9,Paramètres!$A$1:$I$89,3,0)*0.475*44/12</f>
        <v>54.611494187208748</v>
      </c>
      <c r="AB123" s="21">
        <f>EXP(-LN(2)/2)*AB122+(1-EXP(-LN(2)/2))/(LN(2)/2)*V123*Y123*VLOOKUP('Données projet'!$B$9,Paramètres!$A$1:$I$89,3,0)*0.475*44/12</f>
        <v>62.133287503850255</v>
      </c>
      <c r="AC123" s="22">
        <f t="shared" si="57"/>
        <v>287.39153131169644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0</v>
      </c>
      <c r="AI123" s="13">
        <f>IF('Données projet'!$A$62&gt;35,AI122+AH123-AQ122,IF(A123&lt;'Données projet'!$A$62,$AF$205^A123,IF(A123='Données projet'!$A$62,'Données projet'!$B$62,AI122+AH123-AQ122)))</f>
        <v>0</v>
      </c>
      <c r="AJ123" s="13">
        <f>AI123*VLOOKUP('Données projet'!$B$10,Paramètres!$A$1:$I$89,3,0)*VLOOKUP('Données projet'!$B$10,Paramètres!$A$1:$I$89,5,0)</f>
        <v>0</v>
      </c>
      <c r="AK123" s="13" t="e">
        <f t="shared" si="89"/>
        <v>#NUM!</v>
      </c>
      <c r="AL123" s="20" t="e">
        <f t="shared" si="58"/>
        <v>#NUM!</v>
      </c>
      <c r="AM123" s="59" t="e">
        <f t="shared" si="59"/>
        <v>#NUM!</v>
      </c>
      <c r="AN123" s="59">
        <f ca="1">AVERAGE(OFFSET($AM$3,0,0,'Données projet'!$E$10+1,1))-AVERAGE(OFFSET($H$3,0,0,'Données projet'!$E$10+1,1))</f>
        <v>179.4725256147085</v>
      </c>
      <c r="AO123" s="59">
        <f t="shared" si="90"/>
        <v>282.16750121151176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44.002217611362013</v>
      </c>
      <c r="AV123" s="21">
        <f>EXP(-LN(2)/25)*AV122+(1-EXP(-LN(2)/25))/(LN(2)/25)*Calculateur!AQ123*Calculateur!AS123*VLOOKUP('Données projet'!$B$10,Paramètres!$A$1:$I$89,3,0)*0.475*44/12</f>
        <v>9.2577930218767115</v>
      </c>
      <c r="AW123" s="21">
        <f>EXP(-LN(2)/2)*AW122+(1-EXP(-LN(2)/2))/(LN(2)/2)*AQ123*AT123*VLOOKUP('Données projet'!$B$10,Paramètres!$A$1:$I$89,3,0)*0.475*44/12</f>
        <v>4.0158999967131934E-8</v>
      </c>
      <c r="AX123" s="21">
        <f t="shared" si="60"/>
        <v>53.260010673397723</v>
      </c>
      <c r="AY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7.6799999999999971</v>
      </c>
      <c r="BD123" s="12">
        <f>IF('Données projet'!$A$88&gt;35,BD122+BC123-BL122,IF(A123&lt;'Données projet'!$A$88,$BA$205^A123,IF(A123='Données projet'!$A$88,'Données projet'!$B$88,BD122+BC123-BL122)))</f>
        <v>330.65000000000055</v>
      </c>
      <c r="BE123" s="13">
        <f>BD123*VLOOKUP('Données projet'!$B$11,Paramètres!$A$1:$I$89,3,0)*VLOOKUP('Données projet'!$B$11,Paramètres!$A$1:$I$89,5,0)</f>
        <v>283.69770000000051</v>
      </c>
      <c r="BF123" s="13">
        <f t="shared" si="91"/>
        <v>67.747841516414979</v>
      </c>
      <c r="BG123" s="20">
        <f t="shared" si="61"/>
        <v>612.10098480775684</v>
      </c>
      <c r="BH123" s="59">
        <f t="shared" si="62"/>
        <v>905.43431814109022</v>
      </c>
      <c r="BI123" s="59">
        <f ca="1">AVERAGE(OFFSET($BH$3,0,0,'Données projet'!$E$11+1,1))-AVERAGE(OFFSET($H$3,0,0,'Données projet'!$E$11+1,1))</f>
        <v>312.89478437044261</v>
      </c>
      <c r="BJ123" s="59">
        <f t="shared" si="92"/>
        <v>276.16555507854571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>
        <f>EXP(-LN(2)/35)*BP122+(1-EXP(-LN(2)/35))/(LN(2)/35)*BL123*BM123*VLOOKUP('Données projet'!$B$11,Paramètres!$A$1:$I$89,3,0)*0.475*44/12</f>
        <v>30.637214406269656</v>
      </c>
      <c r="BQ123" s="21">
        <f>EXP(-LN(2)/25)*BQ122+(1-EXP(-LN(2)/25))/(LN(2)/25)*Calculateur!BL123*Calculateur!BN123*VLOOKUP('Données projet'!$B$11,Paramètres!$A$1:$I$89,3,0)*0.475*44/12</f>
        <v>33.916299313245716</v>
      </c>
      <c r="BR123" s="21">
        <f>EXP(-LN(2)/2)*BR122+(1-EXP(-LN(2)/2))/(LN(2)/2)*BL123*BO123*VLOOKUP('Données projet'!$B$11,Paramètres!$A$1:$I$89,3,0)*0.475*44/12</f>
        <v>4.3090458136968728</v>
      </c>
      <c r="BS123" s="22">
        <f t="shared" si="63"/>
        <v>68.862559533212234</v>
      </c>
      <c r="BT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0</v>
      </c>
      <c r="BZ123" s="13" t="e">
        <f>BY123*VLOOKUP('Données projet'!$B$12,Paramètres!$A$1:$I$89,3,0)*VLOOKUP('Données projet'!$B$12,Paramètres!$A$1:$I$89,5,0)</f>
        <v>#N/A</v>
      </c>
      <c r="CA123" s="13" t="e">
        <f t="shared" si="93"/>
        <v>#N/A</v>
      </c>
      <c r="CB123" s="20" t="e">
        <f t="shared" si="64"/>
        <v>#N/A</v>
      </c>
      <c r="CC123" s="59" t="e">
        <f t="shared" si="65"/>
        <v>#N/A</v>
      </c>
      <c r="CD123" s="59" t="e">
        <f ca="1">AVERAGE(OFFSET($CC$3,0,0,'Données projet'!$E$12+1,1))-AVERAGE(OFFSET($H$3,0,0,'Données projet'!$E$12+1,1))</f>
        <v>#N/A</v>
      </c>
      <c r="CE123" s="59" t="e">
        <f t="shared" si="94"/>
        <v>#N/A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 t="e">
        <f>EXP(-LN(2)/35)*CK122+(1-EXP(-LN(2)/35))/(LN(2)/35)*CG123*CH123*VLOOKUP('Données projet'!$B$12,Paramètres!$A$1:$I$89,3,0)*0.475*44/12</f>
        <v>#N/A</v>
      </c>
      <c r="CL123" s="21" t="e">
        <f>EXP(-LN(2)/25)*CL122+(1-EXP(-LN(2)/25))/(LN(2)/25)*Calculateur!CG123*Calculateur!CI123*VLOOKUP('Données projet'!$B$12,Paramètres!$A$1:$I$89,3,0)*0.475*44/12</f>
        <v>#N/A</v>
      </c>
      <c r="CM123" s="21" t="e">
        <f>EXP(-LN(2)/2)*CM122+(1-EXP(-LN(2)/2))/(LN(2)/2)*CG123*CJ123*VLOOKUP('Données projet'!$B$12,Paramètres!$A$1:$I$89,3,0)*0.475*44/12</f>
        <v>#N/A</v>
      </c>
      <c r="CN123" s="22" t="e">
        <f t="shared" si="66"/>
        <v>#N/A</v>
      </c>
      <c r="CO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0</v>
      </c>
      <c r="CU123" s="17" t="e">
        <f>CT123*VLOOKUP('Données projet'!$B$13,Paramètres!$A$1:$I$89,3,0)*VLOOKUP('Données projet'!$B$13,Paramètres!$A$1:$I$89,5,0)</f>
        <v>#N/A</v>
      </c>
      <c r="CV123" s="13" t="e">
        <f t="shared" si="95"/>
        <v>#N/A</v>
      </c>
      <c r="CW123" s="20" t="e">
        <f t="shared" si="67"/>
        <v>#N/A</v>
      </c>
      <c r="CX123" s="59" t="e">
        <f t="shared" si="68"/>
        <v>#N/A</v>
      </c>
      <c r="CY123" s="59" t="e">
        <f ca="1">AVERAGE(OFFSET($CX$3,0,0,'Données projet'!$E$13+1,1))-AVERAGE(OFFSET($H$3,0,0,'Données projet'!$E$13+1,1))</f>
        <v>#N/A</v>
      </c>
      <c r="CZ123" s="59" t="e">
        <f t="shared" si="96"/>
        <v>#N/A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 t="e">
        <f>EXP(-LN(2)/35)*DF122+(1-EXP(-LN(2)/35))/(LN(2)/35)*DB123*DC123*VLOOKUP('Données projet'!$B$13,Paramètres!$A$1:$I$89,3,0)*0.475*44/12</f>
        <v>#N/A</v>
      </c>
      <c r="DG123" s="21" t="e">
        <f>EXP(-LN(2)/25)*DG122+(1-EXP(-LN(2)/25))/(LN(2)/25)*Calculateur!DB123*Calculateur!DD123*VLOOKUP('Données projet'!$B$13,Paramètres!$A$1:$I$89,3,0)*0.475*44/12</f>
        <v>#N/A</v>
      </c>
      <c r="DH123" s="21" t="e">
        <f>EXP(-LN(2)/2)*DH122+(1-EXP(-LN(2)/2))/(LN(2)/2)*DB123*DE123*VLOOKUP('Données projet'!$B$13,Paramètres!$A$1:$I$89,3,0)*0.475*44/12</f>
        <v>#N/A</v>
      </c>
      <c r="DI123" s="22" t="e">
        <f t="shared" si="69"/>
        <v>#N/A</v>
      </c>
      <c r="DJ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0</v>
      </c>
      <c r="DP123" s="17" t="e">
        <f>DO123*VLOOKUP('Données projet'!$B$14,Paramètres!$A$1:$I$89,3,0)*VLOOKUP('Données projet'!$B$14,Paramètres!$A$1:$I$89,5,0)</f>
        <v>#N/A</v>
      </c>
      <c r="DQ123" s="13" t="e">
        <f t="shared" si="97"/>
        <v>#N/A</v>
      </c>
      <c r="DR123" s="20" t="e">
        <f t="shared" si="70"/>
        <v>#N/A</v>
      </c>
      <c r="DS123" s="59" t="e">
        <f t="shared" si="71"/>
        <v>#N/A</v>
      </c>
      <c r="DT123" s="59" t="e">
        <f ca="1">AVERAGE(OFFSET($DS$3,0,0,'Données projet'!$E$14+1,1))-AVERAGE(OFFSET($H$3,0,0,'Données projet'!$E$14+1,1))</f>
        <v>#N/A</v>
      </c>
      <c r="DU123" s="59" t="e">
        <f t="shared" si="98"/>
        <v>#N/A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 t="e">
        <f>EXP(-LN(2)/35)*EA122+(1-EXP(-LN(2)/35))/(LN(2)/35)*DW123*DX123*VLOOKUP('Données projet'!$B$14,Paramètres!$A$1:$I$89,3,0)*0.475*44/12</f>
        <v>#N/A</v>
      </c>
      <c r="EB123" s="21" t="e">
        <f>EXP(-LN(2)/25)*EB122+(1-EXP(-LN(2)/25))/(LN(2)/25)*Calculateur!DW123*Calculateur!DY123*VLOOKUP('Données projet'!$B$14,Paramètres!$A$1:$I$89,3,0)*0.475*44/12</f>
        <v>#N/A</v>
      </c>
      <c r="EC123" s="21" t="e">
        <f>EXP(-LN(2)/2)*EC122+(1-EXP(-LN(2)/2))/(LN(2)/2)*DW123*DZ123*VLOOKUP('Données projet'!$B$14,Paramètres!$A$1:$I$89,3,0)*0.475*44/12</f>
        <v>#N/A</v>
      </c>
      <c r="ED123" s="22" t="e">
        <f t="shared" si="72"/>
        <v>#N/A</v>
      </c>
      <c r="EE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0</v>
      </c>
      <c r="EK123" s="17" t="e">
        <f>EJ123*VLOOKUP('Données projet'!$B$15,Paramètres!$A$1:$I$89,3,0)*VLOOKUP('Données projet'!$B$15,Paramètres!$A$1:$I$89,5,0)</f>
        <v>#N/A</v>
      </c>
      <c r="EL123" s="13" t="e">
        <f t="shared" si="99"/>
        <v>#N/A</v>
      </c>
      <c r="EM123" s="20" t="e">
        <f t="shared" si="73"/>
        <v>#N/A</v>
      </c>
      <c r="EN123" s="59" t="e">
        <f t="shared" si="74"/>
        <v>#N/A</v>
      </c>
      <c r="EO123" s="59" t="e">
        <f ca="1">AVERAGE(OFFSET($EN$3,0,0,'Données projet'!$E$15+1,1))-AVERAGE(OFFSET($H$3,0,0,'Données projet'!$E$15+1,1))</f>
        <v>#N/A</v>
      </c>
      <c r="EP123" s="59" t="e">
        <f t="shared" si="100"/>
        <v>#N/A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 t="e">
        <f>EXP(-LN(2)/35)*EV122+(1-EXP(-LN(2)/35))/(LN(2)/35)*ER123*ES123*VLOOKUP('Données projet'!$B$15,Paramètres!$A$1:$I$89,3,0)*0.475*44/12</f>
        <v>#N/A</v>
      </c>
      <c r="EW123" s="21" t="e">
        <f>EXP(-LN(2)/25)*EW122+(1-EXP(-LN(2)/25))/(LN(2)/25)*Calculateur!ER123*Calculateur!ET123*VLOOKUP('Données projet'!$B$15,Paramètres!$A$1:$I$89,3,0)*0.475*44/12</f>
        <v>#N/A</v>
      </c>
      <c r="EX123" s="21" t="e">
        <f>EXP(-LN(2)/2)*EX122+(1-EXP(-LN(2)/2))/(LN(2)/2)*ER123*EU123*VLOOKUP('Données projet'!$B$15,Paramètres!$A$1:$I$89,3,0)*0.475*44/12</f>
        <v>#N/A</v>
      </c>
      <c r="EY123" s="22" t="e">
        <f t="shared" si="75"/>
        <v>#N/A</v>
      </c>
      <c r="EZ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9" t="e">
        <f t="shared" si="77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45">
      <c r="A124" s="10">
        <f t="shared" si="85"/>
        <v>121</v>
      </c>
      <c r="B124" s="73">
        <f>'Scénario référence'!$B$16*5+'Scénario référence'!$B$17*0+'Scénario référence'!$B$18*5</f>
        <v>0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107.59320000000019</v>
      </c>
      <c r="D124" s="11">
        <f t="shared" si="86"/>
        <v>28.763195667267546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">
        <f>IF(OR('Scénario référence'!$F$8&gt;0,'Scénario référence'!$F$9&gt;0),('Scénario référence'!$F$8+'Scénario référence'!$F$9)*10,0)</f>
        <v>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1052.5756858525931</v>
      </c>
      <c r="H124" s="67">
        <f t="shared" si="56"/>
        <v>494.15405578715797</v>
      </c>
      <c r="I124" s="7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1.7053025658242404E-13</v>
      </c>
      <c r="O124" s="13">
        <f>N124*VLOOKUP('Données projet'!$B$9,Paramètres!$A$1:$I$89,3,0)*VLOOKUP('Données projet'!$B$9,Paramètres!$A$1:$I$89,5,0)</f>
        <v>9.5326413429575044E-14</v>
      </c>
      <c r="P124" s="13">
        <f t="shared" si="87"/>
        <v>1.4400742856080346E-12</v>
      </c>
      <c r="Q124" s="20">
        <f t="shared" si="107"/>
        <v>2.6741562174905032E-12</v>
      </c>
      <c r="R124" s="59">
        <f t="shared" si="55"/>
        <v>293.33333333333599</v>
      </c>
      <c r="S124" s="59">
        <f ca="1">AVERAGE(OFFSET($R$3,0,0,'Données projet'!$E$9+1,1))-AVERAGE(OFFSET($H$3,0,0,'Données projet'!$E$9+1,1))</f>
        <v>280.69347314340195</v>
      </c>
      <c r="T124" s="59">
        <f t="shared" si="88"/>
        <v>152.40533828556482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167.30047094481654</v>
      </c>
      <c r="AA124" s="21">
        <f>EXP(-LN(2)/25)*AA123+(1-EXP(-LN(2)/25))/(LN(2)/25)*Calculateur!V124*Calculateur!X124*VLOOKUP('Données projet'!$B$9,Paramètres!$A$1:$I$89,3,0)*0.475*44/12</f>
        <v>53.118140006765863</v>
      </c>
      <c r="AB124" s="21">
        <f>EXP(-LN(2)/2)*AB123+(1-EXP(-LN(2)/2))/(LN(2)/2)*V124*Y124*VLOOKUP('Données projet'!$B$9,Paramètres!$A$1:$I$89,3,0)*0.475*44/12</f>
        <v>43.934868931385893</v>
      </c>
      <c r="AC124" s="22">
        <f t="shared" si="57"/>
        <v>264.35347988296826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0</v>
      </c>
      <c r="AI124" s="13">
        <f>IF('Données projet'!$A$62&gt;35,AI123+AH124-AQ123,IF(A124&lt;'Données projet'!$A$62,$AF$205^A124,IF(A124='Données projet'!$A$62,'Données projet'!$B$62,AI123+AH124-AQ123)))</f>
        <v>0</v>
      </c>
      <c r="AJ124" s="13">
        <f>AI124*VLOOKUP('Données projet'!$B$10,Paramètres!$A$1:$I$89,3,0)*VLOOKUP('Données projet'!$B$10,Paramètres!$A$1:$I$89,5,0)</f>
        <v>0</v>
      </c>
      <c r="AK124" s="13" t="e">
        <f t="shared" si="89"/>
        <v>#NUM!</v>
      </c>
      <c r="AL124" s="20" t="e">
        <f t="shared" si="58"/>
        <v>#NUM!</v>
      </c>
      <c r="AM124" s="59" t="e">
        <f t="shared" si="59"/>
        <v>#NUM!</v>
      </c>
      <c r="AN124" s="59">
        <f ca="1">AVERAGE(OFFSET($AM$3,0,0,'Données projet'!$E$10+1,1))-AVERAGE(OFFSET($H$3,0,0,'Données projet'!$E$10+1,1))</f>
        <v>179.4725256147085</v>
      </c>
      <c r="AO124" s="59">
        <f t="shared" si="90"/>
        <v>282.16750121151176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43.139360962705844</v>
      </c>
      <c r="AV124" s="21">
        <f>EXP(-LN(2)/25)*AV123+(1-EXP(-LN(2)/25))/(LN(2)/25)*Calculateur!AQ124*Calculateur!AS124*VLOOKUP('Données projet'!$B$10,Paramètres!$A$1:$I$89,3,0)*0.475*44/12</f>
        <v>9.004638184847316</v>
      </c>
      <c r="AW124" s="21">
        <f>EXP(-LN(2)/2)*AW123+(1-EXP(-LN(2)/2))/(LN(2)/2)*AQ124*AT124*VLOOKUP('Données projet'!$B$10,Paramètres!$A$1:$I$89,3,0)*0.475*44/12</f>
        <v>2.839670120242933E-8</v>
      </c>
      <c r="AX124" s="21">
        <f t="shared" si="60"/>
        <v>52.143999175949858</v>
      </c>
      <c r="AY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7.6799999999999971</v>
      </c>
      <c r="BD124" s="12">
        <f>IF('Données projet'!$A$88&gt;35,BD123+BC124-BL123,IF(A124&lt;'Données projet'!$A$88,$BA$205^A124,IF(A124='Données projet'!$A$88,'Données projet'!$B$88,BD123+BC124-BL123)))</f>
        <v>338.33000000000055</v>
      </c>
      <c r="BE124" s="13">
        <f>BD124*VLOOKUP('Données projet'!$B$11,Paramètres!$A$1:$I$89,3,0)*VLOOKUP('Données projet'!$B$11,Paramètres!$A$1:$I$89,5,0)</f>
        <v>290.28714000000053</v>
      </c>
      <c r="BF124" s="13">
        <f t="shared" si="91"/>
        <v>69.136391130333024</v>
      </c>
      <c r="BG124" s="20">
        <f t="shared" si="61"/>
        <v>625.99598338533099</v>
      </c>
      <c r="BH124" s="59">
        <f t="shared" si="62"/>
        <v>919.32931671866436</v>
      </c>
      <c r="BI124" s="59">
        <f ca="1">AVERAGE(OFFSET($BH$3,0,0,'Données projet'!$E$11+1,1))-AVERAGE(OFFSET($H$3,0,0,'Données projet'!$E$11+1,1))</f>
        <v>312.89478437044261</v>
      </c>
      <c r="BJ124" s="59">
        <f t="shared" si="92"/>
        <v>276.16555507854571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>
        <f>EXP(-LN(2)/35)*BP123+(1-EXP(-LN(2)/35))/(LN(2)/35)*BL124*BM124*VLOOKUP('Données projet'!$B$11,Paramètres!$A$1:$I$89,3,0)*0.475*44/12</f>
        <v>30.036437318618322</v>
      </c>
      <c r="BQ124" s="21">
        <f>EXP(-LN(2)/25)*BQ123+(1-EXP(-LN(2)/25))/(LN(2)/25)*Calculateur!BL124*Calculateur!BN124*VLOOKUP('Données projet'!$B$11,Paramètres!$A$1:$I$89,3,0)*0.475*44/12</f>
        <v>32.988856324944351</v>
      </c>
      <c r="BR124" s="21">
        <f>EXP(-LN(2)/2)*BR123+(1-EXP(-LN(2)/2))/(LN(2)/2)*BL124*BO124*VLOOKUP('Données projet'!$B$11,Paramètres!$A$1:$I$89,3,0)*0.475*44/12</f>
        <v>3.0469555153085635</v>
      </c>
      <c r="BS124" s="22">
        <f t="shared" si="63"/>
        <v>66.072249158871244</v>
      </c>
      <c r="BT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0</v>
      </c>
      <c r="BZ124" s="13" t="e">
        <f>BY124*VLOOKUP('Données projet'!$B$12,Paramètres!$A$1:$I$89,3,0)*VLOOKUP('Données projet'!$B$12,Paramètres!$A$1:$I$89,5,0)</f>
        <v>#N/A</v>
      </c>
      <c r="CA124" s="13" t="e">
        <f t="shared" si="93"/>
        <v>#N/A</v>
      </c>
      <c r="CB124" s="20" t="e">
        <f t="shared" si="64"/>
        <v>#N/A</v>
      </c>
      <c r="CC124" s="59" t="e">
        <f t="shared" si="65"/>
        <v>#N/A</v>
      </c>
      <c r="CD124" s="59" t="e">
        <f ca="1">AVERAGE(OFFSET($CC$3,0,0,'Données projet'!$E$12+1,1))-AVERAGE(OFFSET($H$3,0,0,'Données projet'!$E$12+1,1))</f>
        <v>#N/A</v>
      </c>
      <c r="CE124" s="59" t="e">
        <f t="shared" si="94"/>
        <v>#N/A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 t="e">
        <f>EXP(-LN(2)/35)*CK123+(1-EXP(-LN(2)/35))/(LN(2)/35)*CG124*CH124*VLOOKUP('Données projet'!$B$12,Paramètres!$A$1:$I$89,3,0)*0.475*44/12</f>
        <v>#N/A</v>
      </c>
      <c r="CL124" s="21" t="e">
        <f>EXP(-LN(2)/25)*CL123+(1-EXP(-LN(2)/25))/(LN(2)/25)*Calculateur!CG124*Calculateur!CI124*VLOOKUP('Données projet'!$B$12,Paramètres!$A$1:$I$89,3,0)*0.475*44/12</f>
        <v>#N/A</v>
      </c>
      <c r="CM124" s="21" t="e">
        <f>EXP(-LN(2)/2)*CM123+(1-EXP(-LN(2)/2))/(LN(2)/2)*CG124*CJ124*VLOOKUP('Données projet'!$B$12,Paramètres!$A$1:$I$89,3,0)*0.475*44/12</f>
        <v>#N/A</v>
      </c>
      <c r="CN124" s="22" t="e">
        <f t="shared" si="66"/>
        <v>#N/A</v>
      </c>
      <c r="CO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0</v>
      </c>
      <c r="CU124" s="17" t="e">
        <f>CT124*VLOOKUP('Données projet'!$B$13,Paramètres!$A$1:$I$89,3,0)*VLOOKUP('Données projet'!$B$13,Paramètres!$A$1:$I$89,5,0)</f>
        <v>#N/A</v>
      </c>
      <c r="CV124" s="13" t="e">
        <f t="shared" si="95"/>
        <v>#N/A</v>
      </c>
      <c r="CW124" s="20" t="e">
        <f t="shared" si="67"/>
        <v>#N/A</v>
      </c>
      <c r="CX124" s="59" t="e">
        <f t="shared" si="68"/>
        <v>#N/A</v>
      </c>
      <c r="CY124" s="59" t="e">
        <f ca="1">AVERAGE(OFFSET($CX$3,0,0,'Données projet'!$E$13+1,1))-AVERAGE(OFFSET($H$3,0,0,'Données projet'!$E$13+1,1))</f>
        <v>#N/A</v>
      </c>
      <c r="CZ124" s="59" t="e">
        <f t="shared" si="96"/>
        <v>#N/A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 t="e">
        <f>EXP(-LN(2)/35)*DF123+(1-EXP(-LN(2)/35))/(LN(2)/35)*DB124*DC124*VLOOKUP('Données projet'!$B$13,Paramètres!$A$1:$I$89,3,0)*0.475*44/12</f>
        <v>#N/A</v>
      </c>
      <c r="DG124" s="21" t="e">
        <f>EXP(-LN(2)/25)*DG123+(1-EXP(-LN(2)/25))/(LN(2)/25)*Calculateur!DB124*Calculateur!DD124*VLOOKUP('Données projet'!$B$13,Paramètres!$A$1:$I$89,3,0)*0.475*44/12</f>
        <v>#N/A</v>
      </c>
      <c r="DH124" s="21" t="e">
        <f>EXP(-LN(2)/2)*DH123+(1-EXP(-LN(2)/2))/(LN(2)/2)*DB124*DE124*VLOOKUP('Données projet'!$B$13,Paramètres!$A$1:$I$89,3,0)*0.475*44/12</f>
        <v>#N/A</v>
      </c>
      <c r="DI124" s="22" t="e">
        <f t="shared" si="69"/>
        <v>#N/A</v>
      </c>
      <c r="DJ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0</v>
      </c>
      <c r="DP124" s="17" t="e">
        <f>DO124*VLOOKUP('Données projet'!$B$14,Paramètres!$A$1:$I$89,3,0)*VLOOKUP('Données projet'!$B$14,Paramètres!$A$1:$I$89,5,0)</f>
        <v>#N/A</v>
      </c>
      <c r="DQ124" s="13" t="e">
        <f t="shared" si="97"/>
        <v>#N/A</v>
      </c>
      <c r="DR124" s="20" t="e">
        <f t="shared" si="70"/>
        <v>#N/A</v>
      </c>
      <c r="DS124" s="59" t="e">
        <f t="shared" si="71"/>
        <v>#N/A</v>
      </c>
      <c r="DT124" s="59" t="e">
        <f ca="1">AVERAGE(OFFSET($DS$3,0,0,'Données projet'!$E$14+1,1))-AVERAGE(OFFSET($H$3,0,0,'Données projet'!$E$14+1,1))</f>
        <v>#N/A</v>
      </c>
      <c r="DU124" s="59" t="e">
        <f t="shared" si="98"/>
        <v>#N/A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 t="e">
        <f>EXP(-LN(2)/35)*EA123+(1-EXP(-LN(2)/35))/(LN(2)/35)*DW124*DX124*VLOOKUP('Données projet'!$B$14,Paramètres!$A$1:$I$89,3,0)*0.475*44/12</f>
        <v>#N/A</v>
      </c>
      <c r="EB124" s="21" t="e">
        <f>EXP(-LN(2)/25)*EB123+(1-EXP(-LN(2)/25))/(LN(2)/25)*Calculateur!DW124*Calculateur!DY124*VLOOKUP('Données projet'!$B$14,Paramètres!$A$1:$I$89,3,0)*0.475*44/12</f>
        <v>#N/A</v>
      </c>
      <c r="EC124" s="21" t="e">
        <f>EXP(-LN(2)/2)*EC123+(1-EXP(-LN(2)/2))/(LN(2)/2)*DW124*DZ124*VLOOKUP('Données projet'!$B$14,Paramètres!$A$1:$I$89,3,0)*0.475*44/12</f>
        <v>#N/A</v>
      </c>
      <c r="ED124" s="22" t="e">
        <f t="shared" si="72"/>
        <v>#N/A</v>
      </c>
      <c r="EE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0</v>
      </c>
      <c r="EK124" s="17" t="e">
        <f>EJ124*VLOOKUP('Données projet'!$B$15,Paramètres!$A$1:$I$89,3,0)*VLOOKUP('Données projet'!$B$15,Paramètres!$A$1:$I$89,5,0)</f>
        <v>#N/A</v>
      </c>
      <c r="EL124" s="13" t="e">
        <f t="shared" si="99"/>
        <v>#N/A</v>
      </c>
      <c r="EM124" s="20" t="e">
        <f t="shared" si="73"/>
        <v>#N/A</v>
      </c>
      <c r="EN124" s="59" t="e">
        <f t="shared" si="74"/>
        <v>#N/A</v>
      </c>
      <c r="EO124" s="59" t="e">
        <f ca="1">AVERAGE(OFFSET($EN$3,0,0,'Données projet'!$E$15+1,1))-AVERAGE(OFFSET($H$3,0,0,'Données projet'!$E$15+1,1))</f>
        <v>#N/A</v>
      </c>
      <c r="EP124" s="59" t="e">
        <f t="shared" si="100"/>
        <v>#N/A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 t="e">
        <f>EXP(-LN(2)/35)*EV123+(1-EXP(-LN(2)/35))/(LN(2)/35)*ER124*ES124*VLOOKUP('Données projet'!$B$15,Paramètres!$A$1:$I$89,3,0)*0.475*44/12</f>
        <v>#N/A</v>
      </c>
      <c r="EW124" s="21" t="e">
        <f>EXP(-LN(2)/25)*EW123+(1-EXP(-LN(2)/25))/(LN(2)/25)*Calculateur!ER124*Calculateur!ET124*VLOOKUP('Données projet'!$B$15,Paramètres!$A$1:$I$89,3,0)*0.475*44/12</f>
        <v>#N/A</v>
      </c>
      <c r="EX124" s="21" t="e">
        <f>EXP(-LN(2)/2)*EX123+(1-EXP(-LN(2)/2))/(LN(2)/2)*ER124*EU124*VLOOKUP('Données projet'!$B$15,Paramètres!$A$1:$I$89,3,0)*0.475*44/12</f>
        <v>#N/A</v>
      </c>
      <c r="EY124" s="22" t="e">
        <f t="shared" si="75"/>
        <v>#N/A</v>
      </c>
      <c r="EZ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9" t="e">
        <f t="shared" si="77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45">
      <c r="A125" s="10">
        <f t="shared" si="85"/>
        <v>122</v>
      </c>
      <c r="B125" s="73">
        <f>'Scénario référence'!$B$16*5+'Scénario référence'!$B$17*0+'Scénario référence'!$B$18*5</f>
        <v>0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108.4824000000002</v>
      </c>
      <c r="D125" s="11">
        <f t="shared" si="86"/>
        <v>28.973137589932421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">
        <f>IF(OR('Scénario référence'!$F$8&gt;0,'Scénario référence'!$F$9&gt;0),('Scénario référence'!$F$8+'Scénario référence'!$F$9)*10,0)</f>
        <v>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1061.060290167901</v>
      </c>
      <c r="H125" s="67">
        <f t="shared" si="56"/>
        <v>496.06839463579934</v>
      </c>
      <c r="I125" s="7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1.7053025658242404E-13</v>
      </c>
      <c r="O125" s="13">
        <f>N125*VLOOKUP('Données projet'!$B$9,Paramètres!$A$1:$I$89,3,0)*VLOOKUP('Données projet'!$B$9,Paramètres!$A$1:$I$89,5,0)</f>
        <v>9.5326413429575044E-14</v>
      </c>
      <c r="P125" s="13">
        <f t="shared" si="87"/>
        <v>1.4400742856080346E-12</v>
      </c>
      <c r="Q125" s="20">
        <f t="shared" si="107"/>
        <v>2.6741562174905032E-12</v>
      </c>
      <c r="R125" s="59">
        <f t="shared" si="55"/>
        <v>293.33333333333599</v>
      </c>
      <c r="S125" s="59">
        <f ca="1">AVERAGE(OFFSET($R$3,0,0,'Données projet'!$E$9+1,1))-AVERAGE(OFFSET($H$3,0,0,'Données projet'!$E$9+1,1))</f>
        <v>280.69347314340195</v>
      </c>
      <c r="T125" s="59">
        <f t="shared" si="88"/>
        <v>152.40533828556482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164.01981075280003</v>
      </c>
      <c r="AA125" s="21">
        <f>EXP(-LN(2)/25)*AA124+(1-EXP(-LN(2)/25))/(LN(2)/25)*Calculateur!V125*Calculateur!X125*VLOOKUP('Données projet'!$B$9,Paramètres!$A$1:$I$89,3,0)*0.475*44/12</f>
        <v>51.665621674919272</v>
      </c>
      <c r="AB125" s="21">
        <f>EXP(-LN(2)/2)*AB124+(1-EXP(-LN(2)/2))/(LN(2)/2)*V125*Y125*VLOOKUP('Données projet'!$B$9,Paramètres!$A$1:$I$89,3,0)*0.475*44/12</f>
        <v>31.066643751925131</v>
      </c>
      <c r="AC125" s="22">
        <f t="shared" si="57"/>
        <v>246.75207617964443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0</v>
      </c>
      <c r="AI125" s="13">
        <f>IF('Données projet'!$A$62&gt;35,AI124+AH125-AQ124,IF(A125&lt;'Données projet'!$A$62,$AF$205^A125,IF(A125='Données projet'!$A$62,'Données projet'!$B$62,AI124+AH125-AQ124)))</f>
        <v>0</v>
      </c>
      <c r="AJ125" s="13">
        <f>AI125*VLOOKUP('Données projet'!$B$10,Paramètres!$A$1:$I$89,3,0)*VLOOKUP('Données projet'!$B$10,Paramètres!$A$1:$I$89,5,0)</f>
        <v>0</v>
      </c>
      <c r="AK125" s="13" t="e">
        <f t="shared" si="89"/>
        <v>#NUM!</v>
      </c>
      <c r="AL125" s="20" t="e">
        <f t="shared" si="58"/>
        <v>#NUM!</v>
      </c>
      <c r="AM125" s="59" t="e">
        <f t="shared" si="59"/>
        <v>#NUM!</v>
      </c>
      <c r="AN125" s="59">
        <f ca="1">AVERAGE(OFFSET($AM$3,0,0,'Données projet'!$E$10+1,1))-AVERAGE(OFFSET($H$3,0,0,'Données projet'!$E$10+1,1))</f>
        <v>179.4725256147085</v>
      </c>
      <c r="AO125" s="59">
        <f t="shared" si="90"/>
        <v>282.16750121151176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42.293424406639232</v>
      </c>
      <c r="AV125" s="21">
        <f>EXP(-LN(2)/25)*AV124+(1-EXP(-LN(2)/25))/(LN(2)/25)*Calculateur!AQ125*Calculateur!AS125*VLOOKUP('Données projet'!$B$10,Paramètres!$A$1:$I$89,3,0)*0.475*44/12</f>
        <v>8.7584058801493239</v>
      </c>
      <c r="AW125" s="21">
        <f>EXP(-LN(2)/2)*AW124+(1-EXP(-LN(2)/2))/(LN(2)/2)*AQ125*AT125*VLOOKUP('Données projet'!$B$10,Paramètres!$A$1:$I$89,3,0)*0.475*44/12</f>
        <v>2.0079499983565967E-8</v>
      </c>
      <c r="AX125" s="21">
        <f t="shared" si="60"/>
        <v>51.051830306868055</v>
      </c>
      <c r="AY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7.6799999999999971</v>
      </c>
      <c r="BD125" s="12">
        <f>IF('Données projet'!$A$88&gt;35,BD124+BC125-BL124,IF(A125&lt;'Données projet'!$A$88,$BA$205^A125,IF(A125='Données projet'!$A$88,'Données projet'!$B$88,BD124+BC125-BL124)))</f>
        <v>346.01000000000056</v>
      </c>
      <c r="BE125" s="13">
        <f>BD125*VLOOKUP('Données projet'!$B$11,Paramètres!$A$1:$I$89,3,0)*VLOOKUP('Données projet'!$B$11,Paramètres!$A$1:$I$89,5,0)</f>
        <v>296.87658000000056</v>
      </c>
      <c r="BF125" s="13">
        <f t="shared" si="91"/>
        <v>70.521276361034907</v>
      </c>
      <c r="BG125" s="20">
        <f t="shared" si="61"/>
        <v>639.8845998288034</v>
      </c>
      <c r="BH125" s="59">
        <f t="shared" si="62"/>
        <v>933.21793316213666</v>
      </c>
      <c r="BI125" s="59">
        <f ca="1">AVERAGE(OFFSET($BH$3,0,0,'Données projet'!$E$11+1,1))-AVERAGE(OFFSET($H$3,0,0,'Données projet'!$E$11+1,1))</f>
        <v>312.89478437044261</v>
      </c>
      <c r="BJ125" s="59">
        <f t="shared" si="92"/>
        <v>276.16555507854571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>
        <f>EXP(-LN(2)/35)*BP124+(1-EXP(-LN(2)/35))/(LN(2)/35)*BL125*BM125*VLOOKUP('Données projet'!$B$11,Paramètres!$A$1:$I$89,3,0)*0.475*44/12</f>
        <v>29.44744110321799</v>
      </c>
      <c r="BQ125" s="21">
        <f>EXP(-LN(2)/25)*BQ124+(1-EXP(-LN(2)/25))/(LN(2)/25)*Calculateur!BL125*Calculateur!BN125*VLOOKUP('Données projet'!$B$11,Paramètres!$A$1:$I$89,3,0)*0.475*44/12</f>
        <v>32.086774313930192</v>
      </c>
      <c r="BR125" s="21">
        <f>EXP(-LN(2)/2)*BR124+(1-EXP(-LN(2)/2))/(LN(2)/2)*BL125*BO125*VLOOKUP('Données projet'!$B$11,Paramètres!$A$1:$I$89,3,0)*0.475*44/12</f>
        <v>2.1545229068484368</v>
      </c>
      <c r="BS125" s="22">
        <f t="shared" si="63"/>
        <v>63.688738323996617</v>
      </c>
      <c r="BT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0</v>
      </c>
      <c r="BZ125" s="13" t="e">
        <f>BY125*VLOOKUP('Données projet'!$B$12,Paramètres!$A$1:$I$89,3,0)*VLOOKUP('Données projet'!$B$12,Paramètres!$A$1:$I$89,5,0)</f>
        <v>#N/A</v>
      </c>
      <c r="CA125" s="13" t="e">
        <f t="shared" si="93"/>
        <v>#N/A</v>
      </c>
      <c r="CB125" s="20" t="e">
        <f t="shared" si="64"/>
        <v>#N/A</v>
      </c>
      <c r="CC125" s="59" t="e">
        <f t="shared" si="65"/>
        <v>#N/A</v>
      </c>
      <c r="CD125" s="59" t="e">
        <f ca="1">AVERAGE(OFFSET($CC$3,0,0,'Données projet'!$E$12+1,1))-AVERAGE(OFFSET($H$3,0,0,'Données projet'!$E$12+1,1))</f>
        <v>#N/A</v>
      </c>
      <c r="CE125" s="59" t="e">
        <f t="shared" si="94"/>
        <v>#N/A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 t="e">
        <f>EXP(-LN(2)/35)*CK124+(1-EXP(-LN(2)/35))/(LN(2)/35)*CG125*CH125*VLOOKUP('Données projet'!$B$12,Paramètres!$A$1:$I$89,3,0)*0.475*44/12</f>
        <v>#N/A</v>
      </c>
      <c r="CL125" s="21" t="e">
        <f>EXP(-LN(2)/25)*CL124+(1-EXP(-LN(2)/25))/(LN(2)/25)*Calculateur!CG125*Calculateur!CI125*VLOOKUP('Données projet'!$B$12,Paramètres!$A$1:$I$89,3,0)*0.475*44/12</f>
        <v>#N/A</v>
      </c>
      <c r="CM125" s="21" t="e">
        <f>EXP(-LN(2)/2)*CM124+(1-EXP(-LN(2)/2))/(LN(2)/2)*CG125*CJ125*VLOOKUP('Données projet'!$B$12,Paramètres!$A$1:$I$89,3,0)*0.475*44/12</f>
        <v>#N/A</v>
      </c>
      <c r="CN125" s="22" t="e">
        <f t="shared" si="66"/>
        <v>#N/A</v>
      </c>
      <c r="CO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0</v>
      </c>
      <c r="CU125" s="17" t="e">
        <f>CT125*VLOOKUP('Données projet'!$B$13,Paramètres!$A$1:$I$89,3,0)*VLOOKUP('Données projet'!$B$13,Paramètres!$A$1:$I$89,5,0)</f>
        <v>#N/A</v>
      </c>
      <c r="CV125" s="13" t="e">
        <f t="shared" si="95"/>
        <v>#N/A</v>
      </c>
      <c r="CW125" s="20" t="e">
        <f t="shared" si="67"/>
        <v>#N/A</v>
      </c>
      <c r="CX125" s="59" t="e">
        <f t="shared" si="68"/>
        <v>#N/A</v>
      </c>
      <c r="CY125" s="59" t="e">
        <f ca="1">AVERAGE(OFFSET($CX$3,0,0,'Données projet'!$E$13+1,1))-AVERAGE(OFFSET($H$3,0,0,'Données projet'!$E$13+1,1))</f>
        <v>#N/A</v>
      </c>
      <c r="CZ125" s="59" t="e">
        <f t="shared" si="96"/>
        <v>#N/A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 t="e">
        <f>EXP(-LN(2)/35)*DF124+(1-EXP(-LN(2)/35))/(LN(2)/35)*DB125*DC125*VLOOKUP('Données projet'!$B$13,Paramètres!$A$1:$I$89,3,0)*0.475*44/12</f>
        <v>#N/A</v>
      </c>
      <c r="DG125" s="21" t="e">
        <f>EXP(-LN(2)/25)*DG124+(1-EXP(-LN(2)/25))/(LN(2)/25)*Calculateur!DB125*Calculateur!DD125*VLOOKUP('Données projet'!$B$13,Paramètres!$A$1:$I$89,3,0)*0.475*44/12</f>
        <v>#N/A</v>
      </c>
      <c r="DH125" s="21" t="e">
        <f>EXP(-LN(2)/2)*DH124+(1-EXP(-LN(2)/2))/(LN(2)/2)*DB125*DE125*VLOOKUP('Données projet'!$B$13,Paramètres!$A$1:$I$89,3,0)*0.475*44/12</f>
        <v>#N/A</v>
      </c>
      <c r="DI125" s="22" t="e">
        <f t="shared" si="69"/>
        <v>#N/A</v>
      </c>
      <c r="DJ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0</v>
      </c>
      <c r="DP125" s="17" t="e">
        <f>DO125*VLOOKUP('Données projet'!$B$14,Paramètres!$A$1:$I$89,3,0)*VLOOKUP('Données projet'!$B$14,Paramètres!$A$1:$I$89,5,0)</f>
        <v>#N/A</v>
      </c>
      <c r="DQ125" s="13" t="e">
        <f t="shared" si="97"/>
        <v>#N/A</v>
      </c>
      <c r="DR125" s="20" t="e">
        <f t="shared" si="70"/>
        <v>#N/A</v>
      </c>
      <c r="DS125" s="59" t="e">
        <f t="shared" si="71"/>
        <v>#N/A</v>
      </c>
      <c r="DT125" s="59" t="e">
        <f ca="1">AVERAGE(OFFSET($DS$3,0,0,'Données projet'!$E$14+1,1))-AVERAGE(OFFSET($H$3,0,0,'Données projet'!$E$14+1,1))</f>
        <v>#N/A</v>
      </c>
      <c r="DU125" s="59" t="e">
        <f t="shared" si="98"/>
        <v>#N/A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 t="e">
        <f>EXP(-LN(2)/35)*EA124+(1-EXP(-LN(2)/35))/(LN(2)/35)*DW125*DX125*VLOOKUP('Données projet'!$B$14,Paramètres!$A$1:$I$89,3,0)*0.475*44/12</f>
        <v>#N/A</v>
      </c>
      <c r="EB125" s="21" t="e">
        <f>EXP(-LN(2)/25)*EB124+(1-EXP(-LN(2)/25))/(LN(2)/25)*Calculateur!DW125*Calculateur!DY125*VLOOKUP('Données projet'!$B$14,Paramètres!$A$1:$I$89,3,0)*0.475*44/12</f>
        <v>#N/A</v>
      </c>
      <c r="EC125" s="21" t="e">
        <f>EXP(-LN(2)/2)*EC124+(1-EXP(-LN(2)/2))/(LN(2)/2)*DW125*DZ125*VLOOKUP('Données projet'!$B$14,Paramètres!$A$1:$I$89,3,0)*0.475*44/12</f>
        <v>#N/A</v>
      </c>
      <c r="ED125" s="22" t="e">
        <f t="shared" si="72"/>
        <v>#N/A</v>
      </c>
      <c r="EE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0</v>
      </c>
      <c r="EK125" s="17" t="e">
        <f>EJ125*VLOOKUP('Données projet'!$B$15,Paramètres!$A$1:$I$89,3,0)*VLOOKUP('Données projet'!$B$15,Paramètres!$A$1:$I$89,5,0)</f>
        <v>#N/A</v>
      </c>
      <c r="EL125" s="13" t="e">
        <f t="shared" si="99"/>
        <v>#N/A</v>
      </c>
      <c r="EM125" s="20" t="e">
        <f t="shared" si="73"/>
        <v>#N/A</v>
      </c>
      <c r="EN125" s="59" t="e">
        <f t="shared" si="74"/>
        <v>#N/A</v>
      </c>
      <c r="EO125" s="59" t="e">
        <f ca="1">AVERAGE(OFFSET($EN$3,0,0,'Données projet'!$E$15+1,1))-AVERAGE(OFFSET($H$3,0,0,'Données projet'!$E$15+1,1))</f>
        <v>#N/A</v>
      </c>
      <c r="EP125" s="59" t="e">
        <f t="shared" si="100"/>
        <v>#N/A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 t="e">
        <f>EXP(-LN(2)/35)*EV124+(1-EXP(-LN(2)/35))/(LN(2)/35)*ER125*ES125*VLOOKUP('Données projet'!$B$15,Paramètres!$A$1:$I$89,3,0)*0.475*44/12</f>
        <v>#N/A</v>
      </c>
      <c r="EW125" s="21" t="e">
        <f>EXP(-LN(2)/25)*EW124+(1-EXP(-LN(2)/25))/(LN(2)/25)*Calculateur!ER125*Calculateur!ET125*VLOOKUP('Données projet'!$B$15,Paramètres!$A$1:$I$89,3,0)*0.475*44/12</f>
        <v>#N/A</v>
      </c>
      <c r="EX125" s="21" t="e">
        <f>EXP(-LN(2)/2)*EX124+(1-EXP(-LN(2)/2))/(LN(2)/2)*ER125*EU125*VLOOKUP('Données projet'!$B$15,Paramètres!$A$1:$I$89,3,0)*0.475*44/12</f>
        <v>#N/A</v>
      </c>
      <c r="EY125" s="22" t="e">
        <f t="shared" si="75"/>
        <v>#N/A</v>
      </c>
      <c r="EZ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9" t="e">
        <f t="shared" si="77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45">
      <c r="A126" s="10">
        <f t="shared" si="85"/>
        <v>123</v>
      </c>
      <c r="B126" s="73">
        <f>'Scénario référence'!$B$16*5+'Scénario référence'!$B$17*0+'Scénario référence'!$B$18*5</f>
        <v>0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109.3716000000002</v>
      </c>
      <c r="D126" s="11">
        <f t="shared" si="86"/>
        <v>29.182879300506769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">
        <f>IF(OR('Scénario référence'!$F$8&gt;0,'Scénario référence'!$F$9&gt;0),('Scénario référence'!$F$8+'Scénario référence'!$F$9)*10,0)</f>
        <v>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1069.5433489863697</v>
      </c>
      <c r="H126" s="67">
        <f t="shared" si="56"/>
        <v>497.98238478171629</v>
      </c>
      <c r="I126" s="7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1.7053025658242404E-13</v>
      </c>
      <c r="O126" s="13">
        <f>N126*VLOOKUP('Données projet'!$B$9,Paramètres!$A$1:$I$89,3,0)*VLOOKUP('Données projet'!$B$9,Paramètres!$A$1:$I$89,5,0)</f>
        <v>9.5326413429575044E-14</v>
      </c>
      <c r="P126" s="13">
        <f t="shared" si="87"/>
        <v>1.4400742856080346E-12</v>
      </c>
      <c r="Q126" s="20">
        <f t="shared" si="107"/>
        <v>2.6741562174905032E-12</v>
      </c>
      <c r="R126" s="59">
        <f t="shared" si="55"/>
        <v>293.33333333333599</v>
      </c>
      <c r="S126" s="59">
        <f ca="1">AVERAGE(OFFSET($R$3,0,0,'Données projet'!$E$9+1,1))-AVERAGE(OFFSET($H$3,0,0,'Données projet'!$E$9+1,1))</f>
        <v>280.69347314340195</v>
      </c>
      <c r="T126" s="59">
        <f t="shared" si="88"/>
        <v>152.40533828556482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160.80348230614382</v>
      </c>
      <c r="AA126" s="21">
        <f>EXP(-LN(2)/25)*AA125+(1-EXP(-LN(2)/25))/(LN(2)/25)*Calculateur!V126*Calculateur!X126*VLOOKUP('Données projet'!$B$9,Paramètres!$A$1:$I$89,3,0)*0.475*44/12</f>
        <v>50.252822533241641</v>
      </c>
      <c r="AB126" s="21">
        <f>EXP(-LN(2)/2)*AB125+(1-EXP(-LN(2)/2))/(LN(2)/2)*V126*Y126*VLOOKUP('Données projet'!$B$9,Paramètres!$A$1:$I$89,3,0)*0.475*44/12</f>
        <v>21.96743446569295</v>
      </c>
      <c r="AC126" s="22">
        <f t="shared" si="57"/>
        <v>233.02373930507841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0</v>
      </c>
      <c r="AI126" s="13">
        <f>IF('Données projet'!$A$62&gt;35,AI125+AH126-AQ125,IF(A126&lt;'Données projet'!$A$62,$AF$205^A126,IF(A126='Données projet'!$A$62,'Données projet'!$B$62,AI125+AH126-AQ125)))</f>
        <v>0</v>
      </c>
      <c r="AJ126" s="13">
        <f>AI126*VLOOKUP('Données projet'!$B$10,Paramètres!$A$1:$I$89,3,0)*VLOOKUP('Données projet'!$B$10,Paramètres!$A$1:$I$89,5,0)</f>
        <v>0</v>
      </c>
      <c r="AK126" s="13" t="e">
        <f t="shared" si="89"/>
        <v>#NUM!</v>
      </c>
      <c r="AL126" s="20" t="e">
        <f t="shared" si="58"/>
        <v>#NUM!</v>
      </c>
      <c r="AM126" s="59" t="e">
        <f t="shared" si="59"/>
        <v>#NUM!</v>
      </c>
      <c r="AN126" s="59">
        <f ca="1">AVERAGE(OFFSET($AM$3,0,0,'Données projet'!$E$10+1,1))-AVERAGE(OFFSET($H$3,0,0,'Données projet'!$E$10+1,1))</f>
        <v>179.4725256147085</v>
      </c>
      <c r="AO126" s="59">
        <f t="shared" si="90"/>
        <v>282.16750121151176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41.464076150466738</v>
      </c>
      <c r="AV126" s="21">
        <f>EXP(-LN(2)/25)*AV125+(1-EXP(-LN(2)/25))/(LN(2)/25)*Calculateur!AQ126*Calculateur!AS126*VLOOKUP('Données projet'!$B$10,Paramètres!$A$1:$I$89,3,0)*0.475*44/12</f>
        <v>8.5189068107720924</v>
      </c>
      <c r="AW126" s="21">
        <f>EXP(-LN(2)/2)*AW125+(1-EXP(-LN(2)/2))/(LN(2)/2)*AQ126*AT126*VLOOKUP('Données projet'!$B$10,Paramètres!$A$1:$I$89,3,0)*0.475*44/12</f>
        <v>1.4198350601214665E-8</v>
      </c>
      <c r="AX126" s="21">
        <f t="shared" si="60"/>
        <v>49.982982975437181</v>
      </c>
      <c r="AY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7.6799999999999971</v>
      </c>
      <c r="BD126" s="12">
        <f>IF('Données projet'!$A$88&gt;35,BD125+BC126-BL125,IF(A126&lt;'Données projet'!$A$88,$BA$205^A126,IF(A126='Données projet'!$A$88,'Données projet'!$B$88,BD125+BC126-BL125)))</f>
        <v>353.69000000000057</v>
      </c>
      <c r="BE126" s="13">
        <f>BD126*VLOOKUP('Données projet'!$B$11,Paramètres!$A$1:$I$89,3,0)*VLOOKUP('Données projet'!$B$11,Paramètres!$A$1:$I$89,5,0)</f>
        <v>303.46602000000053</v>
      </c>
      <c r="BF126" s="13">
        <f t="shared" si="91"/>
        <v>71.902587907924442</v>
      </c>
      <c r="BG126" s="20">
        <f t="shared" si="61"/>
        <v>653.76699210630261</v>
      </c>
      <c r="BH126" s="59">
        <f t="shared" si="62"/>
        <v>947.10032543963598</v>
      </c>
      <c r="BI126" s="59">
        <f ca="1">AVERAGE(OFFSET($BH$3,0,0,'Données projet'!$E$11+1,1))-AVERAGE(OFFSET($H$3,0,0,'Données projet'!$E$11+1,1))</f>
        <v>312.89478437044261</v>
      </c>
      <c r="BJ126" s="59">
        <f t="shared" si="92"/>
        <v>276.16555507854571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>
        <f>EXP(-LN(2)/35)*BP125+(1-EXP(-LN(2)/35))/(LN(2)/35)*BL126*BM126*VLOOKUP('Données projet'!$B$11,Paramètres!$A$1:$I$89,3,0)*0.475*44/12</f>
        <v>28.869994744349441</v>
      </c>
      <c r="BQ126" s="21">
        <f>EXP(-LN(2)/25)*BQ125+(1-EXP(-LN(2)/25))/(LN(2)/25)*Calculateur!BL126*Calculateur!BN126*VLOOKUP('Données projet'!$B$11,Paramètres!$A$1:$I$89,3,0)*0.475*44/12</f>
        <v>31.209359782945644</v>
      </c>
      <c r="BR126" s="21">
        <f>EXP(-LN(2)/2)*BR125+(1-EXP(-LN(2)/2))/(LN(2)/2)*BL126*BO126*VLOOKUP('Données projet'!$B$11,Paramètres!$A$1:$I$89,3,0)*0.475*44/12</f>
        <v>1.5234777576542819</v>
      </c>
      <c r="BS126" s="22">
        <f t="shared" si="63"/>
        <v>61.602832284949365</v>
      </c>
      <c r="BT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0</v>
      </c>
      <c r="BZ126" s="13" t="e">
        <f>BY126*VLOOKUP('Données projet'!$B$12,Paramètres!$A$1:$I$89,3,0)*VLOOKUP('Données projet'!$B$12,Paramètres!$A$1:$I$89,5,0)</f>
        <v>#N/A</v>
      </c>
      <c r="CA126" s="13" t="e">
        <f t="shared" si="93"/>
        <v>#N/A</v>
      </c>
      <c r="CB126" s="20" t="e">
        <f t="shared" si="64"/>
        <v>#N/A</v>
      </c>
      <c r="CC126" s="59" t="e">
        <f t="shared" si="65"/>
        <v>#N/A</v>
      </c>
      <c r="CD126" s="59" t="e">
        <f ca="1">AVERAGE(OFFSET($CC$3,0,0,'Données projet'!$E$12+1,1))-AVERAGE(OFFSET($H$3,0,0,'Données projet'!$E$12+1,1))</f>
        <v>#N/A</v>
      </c>
      <c r="CE126" s="59" t="e">
        <f t="shared" si="94"/>
        <v>#N/A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 t="e">
        <f>EXP(-LN(2)/35)*CK125+(1-EXP(-LN(2)/35))/(LN(2)/35)*CG126*CH126*VLOOKUP('Données projet'!$B$12,Paramètres!$A$1:$I$89,3,0)*0.475*44/12</f>
        <v>#N/A</v>
      </c>
      <c r="CL126" s="21" t="e">
        <f>EXP(-LN(2)/25)*CL125+(1-EXP(-LN(2)/25))/(LN(2)/25)*Calculateur!CG126*Calculateur!CI126*VLOOKUP('Données projet'!$B$12,Paramètres!$A$1:$I$89,3,0)*0.475*44/12</f>
        <v>#N/A</v>
      </c>
      <c r="CM126" s="21" t="e">
        <f>EXP(-LN(2)/2)*CM125+(1-EXP(-LN(2)/2))/(LN(2)/2)*CG126*CJ126*VLOOKUP('Données projet'!$B$12,Paramètres!$A$1:$I$89,3,0)*0.475*44/12</f>
        <v>#N/A</v>
      </c>
      <c r="CN126" s="22" t="e">
        <f t="shared" si="66"/>
        <v>#N/A</v>
      </c>
      <c r="CO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0</v>
      </c>
      <c r="CU126" s="17" t="e">
        <f>CT126*VLOOKUP('Données projet'!$B$13,Paramètres!$A$1:$I$89,3,0)*VLOOKUP('Données projet'!$B$13,Paramètres!$A$1:$I$89,5,0)</f>
        <v>#N/A</v>
      </c>
      <c r="CV126" s="13" t="e">
        <f t="shared" si="95"/>
        <v>#N/A</v>
      </c>
      <c r="CW126" s="20" t="e">
        <f t="shared" si="67"/>
        <v>#N/A</v>
      </c>
      <c r="CX126" s="59" t="e">
        <f t="shared" si="68"/>
        <v>#N/A</v>
      </c>
      <c r="CY126" s="59" t="e">
        <f ca="1">AVERAGE(OFFSET($CX$3,0,0,'Données projet'!$E$13+1,1))-AVERAGE(OFFSET($H$3,0,0,'Données projet'!$E$13+1,1))</f>
        <v>#N/A</v>
      </c>
      <c r="CZ126" s="59" t="e">
        <f t="shared" si="96"/>
        <v>#N/A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 t="e">
        <f>EXP(-LN(2)/35)*DF125+(1-EXP(-LN(2)/35))/(LN(2)/35)*DB126*DC126*VLOOKUP('Données projet'!$B$13,Paramètres!$A$1:$I$89,3,0)*0.475*44/12</f>
        <v>#N/A</v>
      </c>
      <c r="DG126" s="21" t="e">
        <f>EXP(-LN(2)/25)*DG125+(1-EXP(-LN(2)/25))/(LN(2)/25)*Calculateur!DB126*Calculateur!DD126*VLOOKUP('Données projet'!$B$13,Paramètres!$A$1:$I$89,3,0)*0.475*44/12</f>
        <v>#N/A</v>
      </c>
      <c r="DH126" s="21" t="e">
        <f>EXP(-LN(2)/2)*DH125+(1-EXP(-LN(2)/2))/(LN(2)/2)*DB126*DE126*VLOOKUP('Données projet'!$B$13,Paramètres!$A$1:$I$89,3,0)*0.475*44/12</f>
        <v>#N/A</v>
      </c>
      <c r="DI126" s="22" t="e">
        <f t="shared" si="69"/>
        <v>#N/A</v>
      </c>
      <c r="DJ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0</v>
      </c>
      <c r="DP126" s="17" t="e">
        <f>DO126*VLOOKUP('Données projet'!$B$14,Paramètres!$A$1:$I$89,3,0)*VLOOKUP('Données projet'!$B$14,Paramètres!$A$1:$I$89,5,0)</f>
        <v>#N/A</v>
      </c>
      <c r="DQ126" s="13" t="e">
        <f t="shared" si="97"/>
        <v>#N/A</v>
      </c>
      <c r="DR126" s="20" t="e">
        <f t="shared" si="70"/>
        <v>#N/A</v>
      </c>
      <c r="DS126" s="59" t="e">
        <f t="shared" si="71"/>
        <v>#N/A</v>
      </c>
      <c r="DT126" s="59" t="e">
        <f ca="1">AVERAGE(OFFSET($DS$3,0,0,'Données projet'!$E$14+1,1))-AVERAGE(OFFSET($H$3,0,0,'Données projet'!$E$14+1,1))</f>
        <v>#N/A</v>
      </c>
      <c r="DU126" s="59" t="e">
        <f t="shared" si="98"/>
        <v>#N/A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 t="e">
        <f>EXP(-LN(2)/35)*EA125+(1-EXP(-LN(2)/35))/(LN(2)/35)*DW126*DX126*VLOOKUP('Données projet'!$B$14,Paramètres!$A$1:$I$89,3,0)*0.475*44/12</f>
        <v>#N/A</v>
      </c>
      <c r="EB126" s="21" t="e">
        <f>EXP(-LN(2)/25)*EB125+(1-EXP(-LN(2)/25))/(LN(2)/25)*Calculateur!DW126*Calculateur!DY126*VLOOKUP('Données projet'!$B$14,Paramètres!$A$1:$I$89,3,0)*0.475*44/12</f>
        <v>#N/A</v>
      </c>
      <c r="EC126" s="21" t="e">
        <f>EXP(-LN(2)/2)*EC125+(1-EXP(-LN(2)/2))/(LN(2)/2)*DW126*DZ126*VLOOKUP('Données projet'!$B$14,Paramètres!$A$1:$I$89,3,0)*0.475*44/12</f>
        <v>#N/A</v>
      </c>
      <c r="ED126" s="22" t="e">
        <f t="shared" si="72"/>
        <v>#N/A</v>
      </c>
      <c r="EE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0</v>
      </c>
      <c r="EK126" s="17" t="e">
        <f>EJ126*VLOOKUP('Données projet'!$B$15,Paramètres!$A$1:$I$89,3,0)*VLOOKUP('Données projet'!$B$15,Paramètres!$A$1:$I$89,5,0)</f>
        <v>#N/A</v>
      </c>
      <c r="EL126" s="13" t="e">
        <f t="shared" si="99"/>
        <v>#N/A</v>
      </c>
      <c r="EM126" s="20" t="e">
        <f t="shared" si="73"/>
        <v>#N/A</v>
      </c>
      <c r="EN126" s="59" t="e">
        <f t="shared" si="74"/>
        <v>#N/A</v>
      </c>
      <c r="EO126" s="59" t="e">
        <f ca="1">AVERAGE(OFFSET($EN$3,0,0,'Données projet'!$E$15+1,1))-AVERAGE(OFFSET($H$3,0,0,'Données projet'!$E$15+1,1))</f>
        <v>#N/A</v>
      </c>
      <c r="EP126" s="59" t="e">
        <f t="shared" si="100"/>
        <v>#N/A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 t="e">
        <f>EXP(-LN(2)/35)*EV125+(1-EXP(-LN(2)/35))/(LN(2)/35)*ER126*ES126*VLOOKUP('Données projet'!$B$15,Paramètres!$A$1:$I$89,3,0)*0.475*44/12</f>
        <v>#N/A</v>
      </c>
      <c r="EW126" s="21" t="e">
        <f>EXP(-LN(2)/25)*EW125+(1-EXP(-LN(2)/25))/(LN(2)/25)*Calculateur!ER126*Calculateur!ET126*VLOOKUP('Données projet'!$B$15,Paramètres!$A$1:$I$89,3,0)*0.475*44/12</f>
        <v>#N/A</v>
      </c>
      <c r="EX126" s="21" t="e">
        <f>EXP(-LN(2)/2)*EX125+(1-EXP(-LN(2)/2))/(LN(2)/2)*ER126*EU126*VLOOKUP('Données projet'!$B$15,Paramètres!$A$1:$I$89,3,0)*0.475*44/12</f>
        <v>#N/A</v>
      </c>
      <c r="EY126" s="22" t="e">
        <f t="shared" si="75"/>
        <v>#N/A</v>
      </c>
      <c r="EZ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9" t="e">
        <f t="shared" si="77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45">
      <c r="A127" s="10">
        <f t="shared" si="85"/>
        <v>124</v>
      </c>
      <c r="B127" s="73">
        <f>'Scénario référence'!$B$16*5+'Scénario référence'!$B$17*0+'Scénario référence'!$B$18*5</f>
        <v>0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110.2608000000002</v>
      </c>
      <c r="D127" s="11">
        <f t="shared" si="86"/>
        <v>29.392422615380852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">
        <f>IF(OR('Scénario référence'!$F$8&gt;0,'Scénario référence'!$F$9&gt;0),('Scénario référence'!$F$8+'Scénario référence'!$F$9)*10,0)</f>
        <v>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1078.0248763292573</v>
      </c>
      <c r="H127" s="67">
        <f t="shared" si="56"/>
        <v>499.89602938845536</v>
      </c>
      <c r="I127" s="7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1.7053025658242404E-13</v>
      </c>
      <c r="O127" s="13">
        <f>N127*VLOOKUP('Données projet'!$B$9,Paramètres!$A$1:$I$89,3,0)*VLOOKUP('Données projet'!$B$9,Paramètres!$A$1:$I$89,5,0)</f>
        <v>9.5326413429575044E-14</v>
      </c>
      <c r="P127" s="13">
        <f t="shared" si="87"/>
        <v>1.4400742856080346E-12</v>
      </c>
      <c r="Q127" s="20">
        <f t="shared" si="107"/>
        <v>2.6741562174905032E-12</v>
      </c>
      <c r="R127" s="59">
        <f t="shared" si="55"/>
        <v>293.33333333333599</v>
      </c>
      <c r="S127" s="59">
        <f ca="1">AVERAGE(OFFSET($R$3,0,0,'Données projet'!$E$9+1,1))-AVERAGE(OFFSET($H$3,0,0,'Données projet'!$E$9+1,1))</f>
        <v>280.69347314340195</v>
      </c>
      <c r="T127" s="59">
        <f t="shared" si="88"/>
        <v>152.40533828556482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157.6502240985599</v>
      </c>
      <c r="AA127" s="21">
        <f>EXP(-LN(2)/25)*AA126+(1-EXP(-LN(2)/25))/(LN(2)/25)*Calculateur!V127*Calculateur!X127*VLOOKUP('Données projet'!$B$9,Paramètres!$A$1:$I$89,3,0)*0.475*44/12</f>
        <v>48.878656458389067</v>
      </c>
      <c r="AB127" s="21">
        <f>EXP(-LN(2)/2)*AB126+(1-EXP(-LN(2)/2))/(LN(2)/2)*V127*Y127*VLOOKUP('Données projet'!$B$9,Paramètres!$A$1:$I$89,3,0)*0.475*44/12</f>
        <v>15.533321875962569</v>
      </c>
      <c r="AC127" s="22">
        <f t="shared" si="57"/>
        <v>222.06220243291153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0</v>
      </c>
      <c r="AI127" s="13">
        <f>IF('Données projet'!$A$62&gt;35,AI126+AH127-AQ126,IF(A127&lt;'Données projet'!$A$62,$AF$205^A127,IF(A127='Données projet'!$A$62,'Données projet'!$B$62,AI126+AH127-AQ126)))</f>
        <v>0</v>
      </c>
      <c r="AJ127" s="13">
        <f>AI127*VLOOKUP('Données projet'!$B$10,Paramètres!$A$1:$I$89,3,0)*VLOOKUP('Données projet'!$B$10,Paramètres!$A$1:$I$89,5,0)</f>
        <v>0</v>
      </c>
      <c r="AK127" s="13" t="e">
        <f t="shared" si="89"/>
        <v>#NUM!</v>
      </c>
      <c r="AL127" s="20" t="e">
        <f t="shared" si="58"/>
        <v>#NUM!</v>
      </c>
      <c r="AM127" s="59" t="e">
        <f t="shared" si="59"/>
        <v>#NUM!</v>
      </c>
      <c r="AN127" s="59">
        <f ca="1">AVERAGE(OFFSET($AM$3,0,0,'Données projet'!$E$10+1,1))-AVERAGE(OFFSET($H$3,0,0,'Données projet'!$E$10+1,1))</f>
        <v>179.4725256147085</v>
      </c>
      <c r="AO127" s="59">
        <f t="shared" si="90"/>
        <v>282.16750121151176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40.650990907745296</v>
      </c>
      <c r="AV127" s="21">
        <f>EXP(-LN(2)/25)*AV126+(1-EXP(-LN(2)/25))/(LN(2)/25)*Calculateur!AQ127*Calculateur!AS127*VLOOKUP('Données projet'!$B$10,Paramètres!$A$1:$I$89,3,0)*0.475*44/12</f>
        <v>8.2859568560416914</v>
      </c>
      <c r="AW127" s="21">
        <f>EXP(-LN(2)/2)*AW126+(1-EXP(-LN(2)/2))/(LN(2)/2)*AQ127*AT127*VLOOKUP('Données projet'!$B$10,Paramètres!$A$1:$I$89,3,0)*0.475*44/12</f>
        <v>1.0039749991782984E-8</v>
      </c>
      <c r="AX127" s="21">
        <f t="shared" si="60"/>
        <v>48.936947773826738</v>
      </c>
      <c r="AY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7.6799999999999971</v>
      </c>
      <c r="BD127" s="12">
        <f>IF('Données projet'!$A$88&gt;35,BD126+BC127-BL126,IF(A127&lt;'Données projet'!$A$88,$BA$205^A127,IF(A127='Données projet'!$A$88,'Données projet'!$B$88,BD126+BC127-BL126)))</f>
        <v>361.37000000000057</v>
      </c>
      <c r="BE127" s="13">
        <f>BD127*VLOOKUP('Données projet'!$B$11,Paramètres!$A$1:$I$89,3,0)*VLOOKUP('Données projet'!$B$11,Paramètres!$A$1:$I$89,5,0)</f>
        <v>310.05546000000055</v>
      </c>
      <c r="BF127" s="13">
        <f t="shared" si="91"/>
        <v>73.28041230656136</v>
      </c>
      <c r="BG127" s="20">
        <f t="shared" si="61"/>
        <v>667.64331093392855</v>
      </c>
      <c r="BH127" s="59">
        <f t="shared" si="62"/>
        <v>960.97664426726192</v>
      </c>
      <c r="BI127" s="59">
        <f ca="1">AVERAGE(OFFSET($BH$3,0,0,'Données projet'!$E$11+1,1))-AVERAGE(OFFSET($H$3,0,0,'Données projet'!$E$11+1,1))</f>
        <v>312.89478437044261</v>
      </c>
      <c r="BJ127" s="59">
        <f t="shared" si="92"/>
        <v>276.16555507854571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>
        <f>EXP(-LN(2)/35)*BP126+(1-EXP(-LN(2)/35))/(LN(2)/35)*BL127*BM127*VLOOKUP('Données projet'!$B$11,Paramètres!$A$1:$I$89,3,0)*0.475*44/12</f>
        <v>28.303871756370803</v>
      </c>
      <c r="BQ127" s="21">
        <f>EXP(-LN(2)/25)*BQ126+(1-EXP(-LN(2)/25))/(LN(2)/25)*Calculateur!BL127*Calculateur!BN127*VLOOKUP('Données projet'!$B$11,Paramètres!$A$1:$I$89,3,0)*0.475*44/12</f>
        <v>30.355938198452094</v>
      </c>
      <c r="BR127" s="21">
        <f>EXP(-LN(2)/2)*BR126+(1-EXP(-LN(2)/2))/(LN(2)/2)*BL127*BO127*VLOOKUP('Données projet'!$B$11,Paramètres!$A$1:$I$89,3,0)*0.475*44/12</f>
        <v>1.0772614534242184</v>
      </c>
      <c r="BS127" s="22">
        <f t="shared" si="63"/>
        <v>59.737071408247118</v>
      </c>
      <c r="BT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0</v>
      </c>
      <c r="BZ127" s="13" t="e">
        <f>BY127*VLOOKUP('Données projet'!$B$12,Paramètres!$A$1:$I$89,3,0)*VLOOKUP('Données projet'!$B$12,Paramètres!$A$1:$I$89,5,0)</f>
        <v>#N/A</v>
      </c>
      <c r="CA127" s="13" t="e">
        <f t="shared" si="93"/>
        <v>#N/A</v>
      </c>
      <c r="CB127" s="20" t="e">
        <f t="shared" si="64"/>
        <v>#N/A</v>
      </c>
      <c r="CC127" s="59" t="e">
        <f t="shared" si="65"/>
        <v>#N/A</v>
      </c>
      <c r="CD127" s="59" t="e">
        <f ca="1">AVERAGE(OFFSET($CC$3,0,0,'Données projet'!$E$12+1,1))-AVERAGE(OFFSET($H$3,0,0,'Données projet'!$E$12+1,1))</f>
        <v>#N/A</v>
      </c>
      <c r="CE127" s="59" t="e">
        <f t="shared" si="94"/>
        <v>#N/A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 t="e">
        <f>EXP(-LN(2)/35)*CK126+(1-EXP(-LN(2)/35))/(LN(2)/35)*CG127*CH127*VLOOKUP('Données projet'!$B$12,Paramètres!$A$1:$I$89,3,0)*0.475*44/12</f>
        <v>#N/A</v>
      </c>
      <c r="CL127" s="21" t="e">
        <f>EXP(-LN(2)/25)*CL126+(1-EXP(-LN(2)/25))/(LN(2)/25)*Calculateur!CG127*Calculateur!CI127*VLOOKUP('Données projet'!$B$12,Paramètres!$A$1:$I$89,3,0)*0.475*44/12</f>
        <v>#N/A</v>
      </c>
      <c r="CM127" s="21" t="e">
        <f>EXP(-LN(2)/2)*CM126+(1-EXP(-LN(2)/2))/(LN(2)/2)*CG127*CJ127*VLOOKUP('Données projet'!$B$12,Paramètres!$A$1:$I$89,3,0)*0.475*44/12</f>
        <v>#N/A</v>
      </c>
      <c r="CN127" s="22" t="e">
        <f t="shared" si="66"/>
        <v>#N/A</v>
      </c>
      <c r="CO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0</v>
      </c>
      <c r="CU127" s="17" t="e">
        <f>CT127*VLOOKUP('Données projet'!$B$13,Paramètres!$A$1:$I$89,3,0)*VLOOKUP('Données projet'!$B$13,Paramètres!$A$1:$I$89,5,0)</f>
        <v>#N/A</v>
      </c>
      <c r="CV127" s="13" t="e">
        <f t="shared" si="95"/>
        <v>#N/A</v>
      </c>
      <c r="CW127" s="20" t="e">
        <f t="shared" si="67"/>
        <v>#N/A</v>
      </c>
      <c r="CX127" s="59" t="e">
        <f t="shared" si="68"/>
        <v>#N/A</v>
      </c>
      <c r="CY127" s="59" t="e">
        <f ca="1">AVERAGE(OFFSET($CX$3,0,0,'Données projet'!$E$13+1,1))-AVERAGE(OFFSET($H$3,0,0,'Données projet'!$E$13+1,1))</f>
        <v>#N/A</v>
      </c>
      <c r="CZ127" s="59" t="e">
        <f t="shared" si="96"/>
        <v>#N/A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 t="e">
        <f>EXP(-LN(2)/35)*DF126+(1-EXP(-LN(2)/35))/(LN(2)/35)*DB127*DC127*VLOOKUP('Données projet'!$B$13,Paramètres!$A$1:$I$89,3,0)*0.475*44/12</f>
        <v>#N/A</v>
      </c>
      <c r="DG127" s="21" t="e">
        <f>EXP(-LN(2)/25)*DG126+(1-EXP(-LN(2)/25))/(LN(2)/25)*Calculateur!DB127*Calculateur!DD127*VLOOKUP('Données projet'!$B$13,Paramètres!$A$1:$I$89,3,0)*0.475*44/12</f>
        <v>#N/A</v>
      </c>
      <c r="DH127" s="21" t="e">
        <f>EXP(-LN(2)/2)*DH126+(1-EXP(-LN(2)/2))/(LN(2)/2)*DB127*DE127*VLOOKUP('Données projet'!$B$13,Paramètres!$A$1:$I$89,3,0)*0.475*44/12</f>
        <v>#N/A</v>
      </c>
      <c r="DI127" s="22" t="e">
        <f t="shared" si="69"/>
        <v>#N/A</v>
      </c>
      <c r="DJ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0</v>
      </c>
      <c r="DP127" s="17" t="e">
        <f>DO127*VLOOKUP('Données projet'!$B$14,Paramètres!$A$1:$I$89,3,0)*VLOOKUP('Données projet'!$B$14,Paramètres!$A$1:$I$89,5,0)</f>
        <v>#N/A</v>
      </c>
      <c r="DQ127" s="13" t="e">
        <f t="shared" si="97"/>
        <v>#N/A</v>
      </c>
      <c r="DR127" s="20" t="e">
        <f t="shared" si="70"/>
        <v>#N/A</v>
      </c>
      <c r="DS127" s="59" t="e">
        <f t="shared" si="71"/>
        <v>#N/A</v>
      </c>
      <c r="DT127" s="59" t="e">
        <f ca="1">AVERAGE(OFFSET($DS$3,0,0,'Données projet'!$E$14+1,1))-AVERAGE(OFFSET($H$3,0,0,'Données projet'!$E$14+1,1))</f>
        <v>#N/A</v>
      </c>
      <c r="DU127" s="59" t="e">
        <f t="shared" si="98"/>
        <v>#N/A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 t="e">
        <f>EXP(-LN(2)/35)*EA126+(1-EXP(-LN(2)/35))/(LN(2)/35)*DW127*DX127*VLOOKUP('Données projet'!$B$14,Paramètres!$A$1:$I$89,3,0)*0.475*44/12</f>
        <v>#N/A</v>
      </c>
      <c r="EB127" s="21" t="e">
        <f>EXP(-LN(2)/25)*EB126+(1-EXP(-LN(2)/25))/(LN(2)/25)*Calculateur!DW127*Calculateur!DY127*VLOOKUP('Données projet'!$B$14,Paramètres!$A$1:$I$89,3,0)*0.475*44/12</f>
        <v>#N/A</v>
      </c>
      <c r="EC127" s="21" t="e">
        <f>EXP(-LN(2)/2)*EC126+(1-EXP(-LN(2)/2))/(LN(2)/2)*DW127*DZ127*VLOOKUP('Données projet'!$B$14,Paramètres!$A$1:$I$89,3,0)*0.475*44/12</f>
        <v>#N/A</v>
      </c>
      <c r="ED127" s="22" t="e">
        <f t="shared" si="72"/>
        <v>#N/A</v>
      </c>
      <c r="EE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0</v>
      </c>
      <c r="EK127" s="17" t="e">
        <f>EJ127*VLOOKUP('Données projet'!$B$15,Paramètres!$A$1:$I$89,3,0)*VLOOKUP('Données projet'!$B$15,Paramètres!$A$1:$I$89,5,0)</f>
        <v>#N/A</v>
      </c>
      <c r="EL127" s="13" t="e">
        <f t="shared" si="99"/>
        <v>#N/A</v>
      </c>
      <c r="EM127" s="20" t="e">
        <f t="shared" si="73"/>
        <v>#N/A</v>
      </c>
      <c r="EN127" s="59" t="e">
        <f t="shared" si="74"/>
        <v>#N/A</v>
      </c>
      <c r="EO127" s="59" t="e">
        <f ca="1">AVERAGE(OFFSET($EN$3,0,0,'Données projet'!$E$15+1,1))-AVERAGE(OFFSET($H$3,0,0,'Données projet'!$E$15+1,1))</f>
        <v>#N/A</v>
      </c>
      <c r="EP127" s="59" t="e">
        <f t="shared" si="100"/>
        <v>#N/A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 t="e">
        <f>EXP(-LN(2)/35)*EV126+(1-EXP(-LN(2)/35))/(LN(2)/35)*ER127*ES127*VLOOKUP('Données projet'!$B$15,Paramètres!$A$1:$I$89,3,0)*0.475*44/12</f>
        <v>#N/A</v>
      </c>
      <c r="EW127" s="21" t="e">
        <f>EXP(-LN(2)/25)*EW126+(1-EXP(-LN(2)/25))/(LN(2)/25)*Calculateur!ER127*Calculateur!ET127*VLOOKUP('Données projet'!$B$15,Paramètres!$A$1:$I$89,3,0)*0.475*44/12</f>
        <v>#N/A</v>
      </c>
      <c r="EX127" s="21" t="e">
        <f>EXP(-LN(2)/2)*EX126+(1-EXP(-LN(2)/2))/(LN(2)/2)*ER127*EU127*VLOOKUP('Données projet'!$B$15,Paramètres!$A$1:$I$89,3,0)*0.475*44/12</f>
        <v>#N/A</v>
      </c>
      <c r="EY127" s="22" t="e">
        <f t="shared" si="75"/>
        <v>#N/A</v>
      </c>
      <c r="EZ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9" t="e">
        <f t="shared" si="77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45">
      <c r="A128" s="10">
        <f t="shared" si="85"/>
        <v>125</v>
      </c>
      <c r="B128" s="73">
        <f>'Scénario référence'!$B$16*5+'Scénario référence'!$B$17*0+'Scénario référence'!$B$18*5</f>
        <v>0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111.1500000000002</v>
      </c>
      <c r="D128" s="11">
        <f t="shared" si="86"/>
        <v>29.601769319956595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">
        <f>IF(OR('Scénario référence'!$F$8&gt;0,'Scénario référence'!$F$9&gt;0),('Scénario référence'!$F$8+'Scénario référence'!$F$9)*10,0)</f>
        <v>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1086.5048859786139</v>
      </c>
      <c r="H128" s="67">
        <f t="shared" si="56"/>
        <v>501.80933156559138</v>
      </c>
      <c r="I128" s="7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1.7053025658242404E-13</v>
      </c>
      <c r="O128" s="13">
        <f>N128*VLOOKUP('Données projet'!$B$9,Paramètres!$A$1:$I$89,3,0)*VLOOKUP('Données projet'!$B$9,Paramètres!$A$1:$I$89,5,0)</f>
        <v>9.5326413429575044E-14</v>
      </c>
      <c r="P128" s="13">
        <f t="shared" si="87"/>
        <v>1.4400742856080346E-12</v>
      </c>
      <c r="Q128" s="20">
        <f t="shared" si="107"/>
        <v>2.6741562174905032E-12</v>
      </c>
      <c r="R128" s="59">
        <f t="shared" si="55"/>
        <v>293.33333333333599</v>
      </c>
      <c r="S128" s="59">
        <f ca="1">AVERAGE(OFFSET($R$3,0,0,'Données projet'!$E$9+1,1))-AVERAGE(OFFSET($H$3,0,0,'Données projet'!$E$9+1,1))</f>
        <v>280.69347314340195</v>
      </c>
      <c r="T128" s="59">
        <f t="shared" si="88"/>
        <v>152.40533828556482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154.5587993611291</v>
      </c>
      <c r="AA128" s="21">
        <f>EXP(-LN(2)/25)*AA127+(1-EXP(-LN(2)/25))/(LN(2)/25)*Calculateur!V128*Calculateur!X128*VLOOKUP('Données projet'!$B$9,Paramètres!$A$1:$I$89,3,0)*0.475*44/12</f>
        <v>47.542067027117589</v>
      </c>
      <c r="AB128" s="21">
        <f>EXP(-LN(2)/2)*AB127+(1-EXP(-LN(2)/2))/(LN(2)/2)*V128*Y128*VLOOKUP('Données projet'!$B$9,Paramètres!$A$1:$I$89,3,0)*0.475*44/12</f>
        <v>10.983717232846477</v>
      </c>
      <c r="AC128" s="22">
        <f t="shared" si="57"/>
        <v>213.08458362109317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0</v>
      </c>
      <c r="AI128" s="13">
        <f>IF('Données projet'!$A$62&gt;35,AI127+AH128-AQ127,IF(A128&lt;'Données projet'!$A$62,$AF$205^A128,IF(A128='Données projet'!$A$62,'Données projet'!$B$62,AI127+AH128-AQ127)))</f>
        <v>0</v>
      </c>
      <c r="AJ128" s="13">
        <f>AI128*VLOOKUP('Données projet'!$B$10,Paramètres!$A$1:$I$89,3,0)*VLOOKUP('Données projet'!$B$10,Paramètres!$A$1:$I$89,5,0)</f>
        <v>0</v>
      </c>
      <c r="AK128" s="13" t="e">
        <f t="shared" si="89"/>
        <v>#NUM!</v>
      </c>
      <c r="AL128" s="20" t="e">
        <f t="shared" si="58"/>
        <v>#NUM!</v>
      </c>
      <c r="AM128" s="59" t="e">
        <f t="shared" si="59"/>
        <v>#NUM!</v>
      </c>
      <c r="AN128" s="59">
        <f ca="1">AVERAGE(OFFSET($AM$3,0,0,'Données projet'!$E$10+1,1))-AVERAGE(OFFSET($H$3,0,0,'Données projet'!$E$10+1,1))</f>
        <v>179.4725256147085</v>
      </c>
      <c r="AO128" s="59">
        <f t="shared" si="90"/>
        <v>282.16750121151176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39.853849770700599</v>
      </c>
      <c r="AV128" s="21">
        <f>EXP(-LN(2)/25)*AV127+(1-EXP(-LN(2)/25))/(LN(2)/25)*Calculateur!AQ128*Calculateur!AS128*VLOOKUP('Données projet'!$B$10,Paramètres!$A$1:$I$89,3,0)*0.475*44/12</f>
        <v>8.0593769300736984</v>
      </c>
      <c r="AW128" s="21">
        <f>EXP(-LN(2)/2)*AW127+(1-EXP(-LN(2)/2))/(LN(2)/2)*AQ128*AT128*VLOOKUP('Données projet'!$B$10,Paramètres!$A$1:$I$89,3,0)*0.475*44/12</f>
        <v>7.0991753006073326E-9</v>
      </c>
      <c r="AX128" s="21">
        <f t="shared" si="60"/>
        <v>47.91322670787347</v>
      </c>
      <c r="AY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7.6799999999999971</v>
      </c>
      <c r="BD128" s="12">
        <f>IF('Données projet'!$A$88&gt;35,BD127+BC128-BL127,IF(A128&lt;'Données projet'!$A$88,$BA$205^A128,IF(A128='Données projet'!$A$88,'Données projet'!$B$88,BD127+BC128-BL127)))</f>
        <v>369.05000000000058</v>
      </c>
      <c r="BE128" s="13">
        <f>BD128*VLOOKUP('Données projet'!$B$11,Paramètres!$A$1:$I$89,3,0)*VLOOKUP('Données projet'!$B$11,Paramètres!$A$1:$I$89,5,0)</f>
        <v>316.64490000000052</v>
      </c>
      <c r="BF128" s="13">
        <f t="shared" si="91"/>
        <v>74.654832204179684</v>
      </c>
      <c r="BG128" s="20">
        <f t="shared" si="61"/>
        <v>681.5137002556138</v>
      </c>
      <c r="BH128" s="59">
        <f t="shared" si="62"/>
        <v>974.84703358894717</v>
      </c>
      <c r="BI128" s="59">
        <f ca="1">AVERAGE(OFFSET($BH$3,0,0,'Données projet'!$E$11+1,1))-AVERAGE(OFFSET($H$3,0,0,'Données projet'!$E$11+1,1))</f>
        <v>312.89478437044261</v>
      </c>
      <c r="BJ128" s="59">
        <f t="shared" si="92"/>
        <v>276.16555507854571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>
        <f>EXP(-LN(2)/35)*BP127+(1-EXP(-LN(2)/35))/(LN(2)/35)*BL128*BM128*VLOOKUP('Données projet'!$B$11,Paramètres!$A$1:$I$89,3,0)*0.475*44/12</f>
        <v>27.748850094885498</v>
      </c>
      <c r="BQ128" s="21">
        <f>EXP(-LN(2)/25)*BQ127+(1-EXP(-LN(2)/25))/(LN(2)/25)*Calculateur!BL128*Calculateur!BN128*VLOOKUP('Données projet'!$B$11,Paramètres!$A$1:$I$89,3,0)*0.475*44/12</f>
        <v>29.525853472066011</v>
      </c>
      <c r="BR128" s="21">
        <f>EXP(-LN(2)/2)*BR127+(1-EXP(-LN(2)/2))/(LN(2)/2)*BL128*BO128*VLOOKUP('Données projet'!$B$11,Paramètres!$A$1:$I$89,3,0)*0.475*44/12</f>
        <v>0.76173887882714097</v>
      </c>
      <c r="BS128" s="22">
        <f t="shared" si="63"/>
        <v>58.036442445778647</v>
      </c>
      <c r="BT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0</v>
      </c>
      <c r="BZ128" s="13" t="e">
        <f>BY128*VLOOKUP('Données projet'!$B$12,Paramètres!$A$1:$I$89,3,0)*VLOOKUP('Données projet'!$B$12,Paramètres!$A$1:$I$89,5,0)</f>
        <v>#N/A</v>
      </c>
      <c r="CA128" s="13" t="e">
        <f t="shared" si="93"/>
        <v>#N/A</v>
      </c>
      <c r="CB128" s="20" t="e">
        <f t="shared" si="64"/>
        <v>#N/A</v>
      </c>
      <c r="CC128" s="59" t="e">
        <f t="shared" si="65"/>
        <v>#N/A</v>
      </c>
      <c r="CD128" s="59" t="e">
        <f ca="1">AVERAGE(OFFSET($CC$3,0,0,'Données projet'!$E$12+1,1))-AVERAGE(OFFSET($H$3,0,0,'Données projet'!$E$12+1,1))</f>
        <v>#N/A</v>
      </c>
      <c r="CE128" s="59" t="e">
        <f t="shared" si="94"/>
        <v>#N/A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 t="e">
        <f>EXP(-LN(2)/35)*CK127+(1-EXP(-LN(2)/35))/(LN(2)/35)*CG128*CH128*VLOOKUP('Données projet'!$B$12,Paramètres!$A$1:$I$89,3,0)*0.475*44/12</f>
        <v>#N/A</v>
      </c>
      <c r="CL128" s="21" t="e">
        <f>EXP(-LN(2)/25)*CL127+(1-EXP(-LN(2)/25))/(LN(2)/25)*Calculateur!CG128*Calculateur!CI128*VLOOKUP('Données projet'!$B$12,Paramètres!$A$1:$I$89,3,0)*0.475*44/12</f>
        <v>#N/A</v>
      </c>
      <c r="CM128" s="21" t="e">
        <f>EXP(-LN(2)/2)*CM127+(1-EXP(-LN(2)/2))/(LN(2)/2)*CG128*CJ128*VLOOKUP('Données projet'!$B$12,Paramètres!$A$1:$I$89,3,0)*0.475*44/12</f>
        <v>#N/A</v>
      </c>
      <c r="CN128" s="22" t="e">
        <f t="shared" si="66"/>
        <v>#N/A</v>
      </c>
      <c r="CO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0</v>
      </c>
      <c r="CU128" s="17" t="e">
        <f>CT128*VLOOKUP('Données projet'!$B$13,Paramètres!$A$1:$I$89,3,0)*VLOOKUP('Données projet'!$B$13,Paramètres!$A$1:$I$89,5,0)</f>
        <v>#N/A</v>
      </c>
      <c r="CV128" s="13" t="e">
        <f t="shared" si="95"/>
        <v>#N/A</v>
      </c>
      <c r="CW128" s="20" t="e">
        <f t="shared" si="67"/>
        <v>#N/A</v>
      </c>
      <c r="CX128" s="59" t="e">
        <f t="shared" si="68"/>
        <v>#N/A</v>
      </c>
      <c r="CY128" s="59" t="e">
        <f ca="1">AVERAGE(OFFSET($CX$3,0,0,'Données projet'!$E$13+1,1))-AVERAGE(OFFSET($H$3,0,0,'Données projet'!$E$13+1,1))</f>
        <v>#N/A</v>
      </c>
      <c r="CZ128" s="59" t="e">
        <f t="shared" si="96"/>
        <v>#N/A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 t="e">
        <f>EXP(-LN(2)/35)*DF127+(1-EXP(-LN(2)/35))/(LN(2)/35)*DB128*DC128*VLOOKUP('Données projet'!$B$13,Paramètres!$A$1:$I$89,3,0)*0.475*44/12</f>
        <v>#N/A</v>
      </c>
      <c r="DG128" s="21" t="e">
        <f>EXP(-LN(2)/25)*DG127+(1-EXP(-LN(2)/25))/(LN(2)/25)*Calculateur!DB128*Calculateur!DD128*VLOOKUP('Données projet'!$B$13,Paramètres!$A$1:$I$89,3,0)*0.475*44/12</f>
        <v>#N/A</v>
      </c>
      <c r="DH128" s="21" t="e">
        <f>EXP(-LN(2)/2)*DH127+(1-EXP(-LN(2)/2))/(LN(2)/2)*DB128*DE128*VLOOKUP('Données projet'!$B$13,Paramètres!$A$1:$I$89,3,0)*0.475*44/12</f>
        <v>#N/A</v>
      </c>
      <c r="DI128" s="22" t="e">
        <f t="shared" si="69"/>
        <v>#N/A</v>
      </c>
      <c r="DJ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0</v>
      </c>
      <c r="DP128" s="17" t="e">
        <f>DO128*VLOOKUP('Données projet'!$B$14,Paramètres!$A$1:$I$89,3,0)*VLOOKUP('Données projet'!$B$14,Paramètres!$A$1:$I$89,5,0)</f>
        <v>#N/A</v>
      </c>
      <c r="DQ128" s="13" t="e">
        <f t="shared" si="97"/>
        <v>#N/A</v>
      </c>
      <c r="DR128" s="20" t="e">
        <f t="shared" si="70"/>
        <v>#N/A</v>
      </c>
      <c r="DS128" s="59" t="e">
        <f t="shared" si="71"/>
        <v>#N/A</v>
      </c>
      <c r="DT128" s="59" t="e">
        <f ca="1">AVERAGE(OFFSET($DS$3,0,0,'Données projet'!$E$14+1,1))-AVERAGE(OFFSET($H$3,0,0,'Données projet'!$E$14+1,1))</f>
        <v>#N/A</v>
      </c>
      <c r="DU128" s="59" t="e">
        <f t="shared" si="98"/>
        <v>#N/A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 t="e">
        <f>EXP(-LN(2)/35)*EA127+(1-EXP(-LN(2)/35))/(LN(2)/35)*DW128*DX128*VLOOKUP('Données projet'!$B$14,Paramètres!$A$1:$I$89,3,0)*0.475*44/12</f>
        <v>#N/A</v>
      </c>
      <c r="EB128" s="21" t="e">
        <f>EXP(-LN(2)/25)*EB127+(1-EXP(-LN(2)/25))/(LN(2)/25)*Calculateur!DW128*Calculateur!DY128*VLOOKUP('Données projet'!$B$14,Paramètres!$A$1:$I$89,3,0)*0.475*44/12</f>
        <v>#N/A</v>
      </c>
      <c r="EC128" s="21" t="e">
        <f>EXP(-LN(2)/2)*EC127+(1-EXP(-LN(2)/2))/(LN(2)/2)*DW128*DZ128*VLOOKUP('Données projet'!$B$14,Paramètres!$A$1:$I$89,3,0)*0.475*44/12</f>
        <v>#N/A</v>
      </c>
      <c r="ED128" s="22" t="e">
        <f t="shared" si="72"/>
        <v>#N/A</v>
      </c>
      <c r="EE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0</v>
      </c>
      <c r="EK128" s="17" t="e">
        <f>EJ128*VLOOKUP('Données projet'!$B$15,Paramètres!$A$1:$I$89,3,0)*VLOOKUP('Données projet'!$B$15,Paramètres!$A$1:$I$89,5,0)</f>
        <v>#N/A</v>
      </c>
      <c r="EL128" s="13" t="e">
        <f t="shared" si="99"/>
        <v>#N/A</v>
      </c>
      <c r="EM128" s="20" t="e">
        <f t="shared" si="73"/>
        <v>#N/A</v>
      </c>
      <c r="EN128" s="59" t="e">
        <f t="shared" si="74"/>
        <v>#N/A</v>
      </c>
      <c r="EO128" s="59" t="e">
        <f ca="1">AVERAGE(OFFSET($EN$3,0,0,'Données projet'!$E$15+1,1))-AVERAGE(OFFSET($H$3,0,0,'Données projet'!$E$15+1,1))</f>
        <v>#N/A</v>
      </c>
      <c r="EP128" s="59" t="e">
        <f t="shared" si="100"/>
        <v>#N/A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 t="e">
        <f>EXP(-LN(2)/35)*EV127+(1-EXP(-LN(2)/35))/(LN(2)/35)*ER128*ES128*VLOOKUP('Données projet'!$B$15,Paramètres!$A$1:$I$89,3,0)*0.475*44/12</f>
        <v>#N/A</v>
      </c>
      <c r="EW128" s="21" t="e">
        <f>EXP(-LN(2)/25)*EW127+(1-EXP(-LN(2)/25))/(LN(2)/25)*Calculateur!ER128*Calculateur!ET128*VLOOKUP('Données projet'!$B$15,Paramètres!$A$1:$I$89,3,0)*0.475*44/12</f>
        <v>#N/A</v>
      </c>
      <c r="EX128" s="21" t="e">
        <f>EXP(-LN(2)/2)*EX127+(1-EXP(-LN(2)/2))/(LN(2)/2)*ER128*EU128*VLOOKUP('Données projet'!$B$15,Paramètres!$A$1:$I$89,3,0)*0.475*44/12</f>
        <v>#N/A</v>
      </c>
      <c r="EY128" s="22" t="e">
        <f t="shared" si="75"/>
        <v>#N/A</v>
      </c>
      <c r="EZ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9" t="e">
        <f t="shared" si="77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45">
      <c r="A129" s="10">
        <f t="shared" si="85"/>
        <v>126</v>
      </c>
      <c r="B129" s="73">
        <f>'Scénario référence'!$B$16*5+'Scénario référence'!$B$17*0+'Scénario référence'!$B$18*5</f>
        <v>0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112.03920000000021</v>
      </c>
      <c r="D129" s="11">
        <f t="shared" si="86"/>
        <v>29.810921169420254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">
        <f>IF(OR('Scénario référence'!$F$8&gt;0,'Scénario référence'!$F$9&gt;0),('Scénario référence'!$F$8+'Scénario référence'!$F$9)*10,0)</f>
        <v>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1094.9833914832457</v>
      </c>
      <c r="H129" s="67">
        <f t="shared" si="56"/>
        <v>503.72229437007394</v>
      </c>
      <c r="I129" s="7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1.7053025658242404E-13</v>
      </c>
      <c r="O129" s="13">
        <f>N129*VLOOKUP('Données projet'!$B$9,Paramètres!$A$1:$I$89,3,0)*VLOOKUP('Données projet'!$B$9,Paramètres!$A$1:$I$89,5,0)</f>
        <v>9.5326413429575044E-14</v>
      </c>
      <c r="P129" s="13">
        <f t="shared" si="87"/>
        <v>1.4400742856080346E-12</v>
      </c>
      <c r="Q129" s="20">
        <f t="shared" si="107"/>
        <v>2.6741562174905032E-12</v>
      </c>
      <c r="R129" s="59">
        <f t="shared" si="55"/>
        <v>293.33333333333599</v>
      </c>
      <c r="S129" s="59">
        <f ca="1">AVERAGE(OFFSET($R$3,0,0,'Données projet'!$E$9+1,1))-AVERAGE(OFFSET($H$3,0,0,'Données projet'!$E$9+1,1))</f>
        <v>280.69347314340195</v>
      </c>
      <c r="T129" s="59">
        <f t="shared" si="88"/>
        <v>152.40533828556482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151.52799557721642</v>
      </c>
      <c r="AA129" s="21">
        <f>EXP(-LN(2)/25)*AA128+(1-EXP(-LN(2)/25))/(LN(2)/25)*Calculateur!V129*Calculateur!X129*VLOOKUP('Données projet'!$B$9,Paramètres!$A$1:$I$89,3,0)*0.475*44/12</f>
        <v>46.242026704132414</v>
      </c>
      <c r="AB129" s="21">
        <f>EXP(-LN(2)/2)*AB128+(1-EXP(-LN(2)/2))/(LN(2)/2)*V129*Y129*VLOOKUP('Données projet'!$B$9,Paramètres!$A$1:$I$89,3,0)*0.475*44/12</f>
        <v>7.7666609379812854</v>
      </c>
      <c r="AC129" s="22">
        <f t="shared" si="57"/>
        <v>205.53668321933009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0</v>
      </c>
      <c r="AI129" s="13">
        <f>IF('Données projet'!$A$62&gt;35,AI128+AH129-AQ128,IF(A129&lt;'Données projet'!$A$62,$AF$205^A129,IF(A129='Données projet'!$A$62,'Données projet'!$B$62,AI128+AH129-AQ128)))</f>
        <v>0</v>
      </c>
      <c r="AJ129" s="13">
        <f>AI129*VLOOKUP('Données projet'!$B$10,Paramètres!$A$1:$I$89,3,0)*VLOOKUP('Données projet'!$B$10,Paramètres!$A$1:$I$89,5,0)</f>
        <v>0</v>
      </c>
      <c r="AK129" s="13" t="e">
        <f t="shared" si="89"/>
        <v>#NUM!</v>
      </c>
      <c r="AL129" s="20" t="e">
        <f t="shared" si="58"/>
        <v>#NUM!</v>
      </c>
      <c r="AM129" s="59" t="e">
        <f t="shared" si="59"/>
        <v>#NUM!</v>
      </c>
      <c r="AN129" s="59">
        <f ca="1">AVERAGE(OFFSET($AM$3,0,0,'Données projet'!$E$10+1,1))-AVERAGE(OFFSET($H$3,0,0,'Données projet'!$E$10+1,1))</f>
        <v>179.4725256147085</v>
      </c>
      <c r="AO129" s="59">
        <f t="shared" si="90"/>
        <v>282.16750121151176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39.072340085145264</v>
      </c>
      <c r="AV129" s="21">
        <f>EXP(-LN(2)/25)*AV128+(1-EXP(-LN(2)/25))/(LN(2)/25)*Calculateur!AQ129*Calculateur!AS129*VLOOKUP('Données projet'!$B$10,Paramètres!$A$1:$I$89,3,0)*0.475*44/12</f>
        <v>7.8389928440966203</v>
      </c>
      <c r="AW129" s="21">
        <f>EXP(-LN(2)/2)*AW128+(1-EXP(-LN(2)/2))/(LN(2)/2)*AQ129*AT129*VLOOKUP('Données projet'!$B$10,Paramètres!$A$1:$I$89,3,0)*0.475*44/12</f>
        <v>5.0198749958914918E-9</v>
      </c>
      <c r="AX129" s="21">
        <f t="shared" si="60"/>
        <v>46.911332934261765</v>
      </c>
      <c r="AY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7.6799999999999971</v>
      </c>
      <c r="BD129" s="12">
        <f>IF('Données projet'!$A$88&gt;35,BD128+BC129-BL128,IF(A129&lt;'Données projet'!$A$88,$BA$205^A129,IF(A129='Données projet'!$A$88,'Données projet'!$B$88,BD128+BC129-BL128)))</f>
        <v>376.73000000000059</v>
      </c>
      <c r="BE129" s="13">
        <f>BD129*VLOOKUP('Données projet'!$B$11,Paramètres!$A$1:$I$89,3,0)*VLOOKUP('Données projet'!$B$11,Paramètres!$A$1:$I$89,5,0)</f>
        <v>323.23434000000054</v>
      </c>
      <c r="BF129" s="13">
        <f t="shared" si="91"/>
        <v>76.02592661162501</v>
      </c>
      <c r="BG129" s="20">
        <f t="shared" si="61"/>
        <v>695.37829768191443</v>
      </c>
      <c r="BH129" s="59">
        <f t="shared" si="62"/>
        <v>988.7116310152478</v>
      </c>
      <c r="BI129" s="59">
        <f ca="1">AVERAGE(OFFSET($BH$3,0,0,'Données projet'!$E$11+1,1))-AVERAGE(OFFSET($H$3,0,0,'Données projet'!$E$11+1,1))</f>
        <v>312.89478437044261</v>
      </c>
      <c r="BJ129" s="59">
        <f t="shared" si="92"/>
        <v>276.16555507854571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>
        <f>EXP(-LN(2)/35)*BP128+(1-EXP(-LN(2)/35))/(LN(2)/35)*BL129*BM129*VLOOKUP('Données projet'!$B$11,Paramètres!$A$1:$I$89,3,0)*0.475*44/12</f>
        <v>27.204712069652132</v>
      </c>
      <c r="BQ129" s="21">
        <f>EXP(-LN(2)/25)*BQ128+(1-EXP(-LN(2)/25))/(LN(2)/25)*Calculateur!BL129*Calculateur!BN129*VLOOKUP('Données projet'!$B$11,Paramètres!$A$1:$I$89,3,0)*0.475*44/12</f>
        <v>28.718467456175215</v>
      </c>
      <c r="BR129" s="21">
        <f>EXP(-LN(2)/2)*BR128+(1-EXP(-LN(2)/2))/(LN(2)/2)*BL129*BO129*VLOOKUP('Données projet'!$B$11,Paramètres!$A$1:$I$89,3,0)*0.475*44/12</f>
        <v>0.53863072671210921</v>
      </c>
      <c r="BS129" s="22">
        <f t="shared" si="63"/>
        <v>56.461810252539458</v>
      </c>
      <c r="BT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0</v>
      </c>
      <c r="BZ129" s="13" t="e">
        <f>BY129*VLOOKUP('Données projet'!$B$12,Paramètres!$A$1:$I$89,3,0)*VLOOKUP('Données projet'!$B$12,Paramètres!$A$1:$I$89,5,0)</f>
        <v>#N/A</v>
      </c>
      <c r="CA129" s="13" t="e">
        <f t="shared" si="93"/>
        <v>#N/A</v>
      </c>
      <c r="CB129" s="20" t="e">
        <f t="shared" si="64"/>
        <v>#N/A</v>
      </c>
      <c r="CC129" s="59" t="e">
        <f t="shared" si="65"/>
        <v>#N/A</v>
      </c>
      <c r="CD129" s="59" t="e">
        <f ca="1">AVERAGE(OFFSET($CC$3,0,0,'Données projet'!$E$12+1,1))-AVERAGE(OFFSET($H$3,0,0,'Données projet'!$E$12+1,1))</f>
        <v>#N/A</v>
      </c>
      <c r="CE129" s="59" t="e">
        <f t="shared" si="94"/>
        <v>#N/A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 t="e">
        <f>EXP(-LN(2)/35)*CK128+(1-EXP(-LN(2)/35))/(LN(2)/35)*CG129*CH129*VLOOKUP('Données projet'!$B$12,Paramètres!$A$1:$I$89,3,0)*0.475*44/12</f>
        <v>#N/A</v>
      </c>
      <c r="CL129" s="21" t="e">
        <f>EXP(-LN(2)/25)*CL128+(1-EXP(-LN(2)/25))/(LN(2)/25)*Calculateur!CG129*Calculateur!CI129*VLOOKUP('Données projet'!$B$12,Paramètres!$A$1:$I$89,3,0)*0.475*44/12</f>
        <v>#N/A</v>
      </c>
      <c r="CM129" s="21" t="e">
        <f>EXP(-LN(2)/2)*CM128+(1-EXP(-LN(2)/2))/(LN(2)/2)*CG129*CJ129*VLOOKUP('Données projet'!$B$12,Paramètres!$A$1:$I$89,3,0)*0.475*44/12</f>
        <v>#N/A</v>
      </c>
      <c r="CN129" s="22" t="e">
        <f t="shared" si="66"/>
        <v>#N/A</v>
      </c>
      <c r="CO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0</v>
      </c>
      <c r="CU129" s="17" t="e">
        <f>CT129*VLOOKUP('Données projet'!$B$13,Paramètres!$A$1:$I$89,3,0)*VLOOKUP('Données projet'!$B$13,Paramètres!$A$1:$I$89,5,0)</f>
        <v>#N/A</v>
      </c>
      <c r="CV129" s="13" t="e">
        <f t="shared" si="95"/>
        <v>#N/A</v>
      </c>
      <c r="CW129" s="20" t="e">
        <f t="shared" si="67"/>
        <v>#N/A</v>
      </c>
      <c r="CX129" s="59" t="e">
        <f t="shared" si="68"/>
        <v>#N/A</v>
      </c>
      <c r="CY129" s="59" t="e">
        <f ca="1">AVERAGE(OFFSET($CX$3,0,0,'Données projet'!$E$13+1,1))-AVERAGE(OFFSET($H$3,0,0,'Données projet'!$E$13+1,1))</f>
        <v>#N/A</v>
      </c>
      <c r="CZ129" s="59" t="e">
        <f t="shared" si="96"/>
        <v>#N/A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 t="e">
        <f>EXP(-LN(2)/35)*DF128+(1-EXP(-LN(2)/35))/(LN(2)/35)*DB129*DC129*VLOOKUP('Données projet'!$B$13,Paramètres!$A$1:$I$89,3,0)*0.475*44/12</f>
        <v>#N/A</v>
      </c>
      <c r="DG129" s="21" t="e">
        <f>EXP(-LN(2)/25)*DG128+(1-EXP(-LN(2)/25))/(LN(2)/25)*Calculateur!DB129*Calculateur!DD129*VLOOKUP('Données projet'!$B$13,Paramètres!$A$1:$I$89,3,0)*0.475*44/12</f>
        <v>#N/A</v>
      </c>
      <c r="DH129" s="21" t="e">
        <f>EXP(-LN(2)/2)*DH128+(1-EXP(-LN(2)/2))/(LN(2)/2)*DB129*DE129*VLOOKUP('Données projet'!$B$13,Paramètres!$A$1:$I$89,3,0)*0.475*44/12</f>
        <v>#N/A</v>
      </c>
      <c r="DI129" s="22" t="e">
        <f t="shared" si="69"/>
        <v>#N/A</v>
      </c>
      <c r="DJ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0</v>
      </c>
      <c r="DP129" s="17" t="e">
        <f>DO129*VLOOKUP('Données projet'!$B$14,Paramètres!$A$1:$I$89,3,0)*VLOOKUP('Données projet'!$B$14,Paramètres!$A$1:$I$89,5,0)</f>
        <v>#N/A</v>
      </c>
      <c r="DQ129" s="13" t="e">
        <f t="shared" si="97"/>
        <v>#N/A</v>
      </c>
      <c r="DR129" s="20" t="e">
        <f t="shared" si="70"/>
        <v>#N/A</v>
      </c>
      <c r="DS129" s="59" t="e">
        <f t="shared" si="71"/>
        <v>#N/A</v>
      </c>
      <c r="DT129" s="59" t="e">
        <f ca="1">AVERAGE(OFFSET($DS$3,0,0,'Données projet'!$E$14+1,1))-AVERAGE(OFFSET($H$3,0,0,'Données projet'!$E$14+1,1))</f>
        <v>#N/A</v>
      </c>
      <c r="DU129" s="59" t="e">
        <f t="shared" si="98"/>
        <v>#N/A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 t="e">
        <f>EXP(-LN(2)/35)*EA128+(1-EXP(-LN(2)/35))/(LN(2)/35)*DW129*DX129*VLOOKUP('Données projet'!$B$14,Paramètres!$A$1:$I$89,3,0)*0.475*44/12</f>
        <v>#N/A</v>
      </c>
      <c r="EB129" s="21" t="e">
        <f>EXP(-LN(2)/25)*EB128+(1-EXP(-LN(2)/25))/(LN(2)/25)*Calculateur!DW129*Calculateur!DY129*VLOOKUP('Données projet'!$B$14,Paramètres!$A$1:$I$89,3,0)*0.475*44/12</f>
        <v>#N/A</v>
      </c>
      <c r="EC129" s="21" t="e">
        <f>EXP(-LN(2)/2)*EC128+(1-EXP(-LN(2)/2))/(LN(2)/2)*DW129*DZ129*VLOOKUP('Données projet'!$B$14,Paramètres!$A$1:$I$89,3,0)*0.475*44/12</f>
        <v>#N/A</v>
      </c>
      <c r="ED129" s="22" t="e">
        <f t="shared" si="72"/>
        <v>#N/A</v>
      </c>
      <c r="EE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0</v>
      </c>
      <c r="EK129" s="17" t="e">
        <f>EJ129*VLOOKUP('Données projet'!$B$15,Paramètres!$A$1:$I$89,3,0)*VLOOKUP('Données projet'!$B$15,Paramètres!$A$1:$I$89,5,0)</f>
        <v>#N/A</v>
      </c>
      <c r="EL129" s="13" t="e">
        <f t="shared" si="99"/>
        <v>#N/A</v>
      </c>
      <c r="EM129" s="20" t="e">
        <f t="shared" si="73"/>
        <v>#N/A</v>
      </c>
      <c r="EN129" s="59" t="e">
        <f t="shared" si="74"/>
        <v>#N/A</v>
      </c>
      <c r="EO129" s="59" t="e">
        <f ca="1">AVERAGE(OFFSET($EN$3,0,0,'Données projet'!$E$15+1,1))-AVERAGE(OFFSET($H$3,0,0,'Données projet'!$E$15+1,1))</f>
        <v>#N/A</v>
      </c>
      <c r="EP129" s="59" t="e">
        <f t="shared" si="100"/>
        <v>#N/A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 t="e">
        <f>EXP(-LN(2)/35)*EV128+(1-EXP(-LN(2)/35))/(LN(2)/35)*ER129*ES129*VLOOKUP('Données projet'!$B$15,Paramètres!$A$1:$I$89,3,0)*0.475*44/12</f>
        <v>#N/A</v>
      </c>
      <c r="EW129" s="21" t="e">
        <f>EXP(-LN(2)/25)*EW128+(1-EXP(-LN(2)/25))/(LN(2)/25)*Calculateur!ER129*Calculateur!ET129*VLOOKUP('Données projet'!$B$15,Paramètres!$A$1:$I$89,3,0)*0.475*44/12</f>
        <v>#N/A</v>
      </c>
      <c r="EX129" s="21" t="e">
        <f>EXP(-LN(2)/2)*EX128+(1-EXP(-LN(2)/2))/(LN(2)/2)*ER129*EU129*VLOOKUP('Données projet'!$B$15,Paramètres!$A$1:$I$89,3,0)*0.475*44/12</f>
        <v>#N/A</v>
      </c>
      <c r="EY129" s="22" t="e">
        <f t="shared" si="75"/>
        <v>#N/A</v>
      </c>
      <c r="EZ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9" t="e">
        <f t="shared" si="77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45">
      <c r="A130" s="10">
        <f t="shared" si="85"/>
        <v>127</v>
      </c>
      <c r="B130" s="73">
        <f>'Scénario référence'!$B$16*5+'Scénario référence'!$B$17*0+'Scénario référence'!$B$18*5</f>
        <v>0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112.92840000000021</v>
      </c>
      <c r="D130" s="11">
        <f t="shared" si="86"/>
        <v>30.019879889489037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">
        <f>IF(OR('Scénario référence'!$F$8&gt;0,'Scénario référence'!$F$9&gt;0),('Scénario référence'!$F$8+'Scénario référence'!$F$9)*10,0)</f>
        <v>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1103.4604061644784</v>
      </c>
      <c r="H130" s="67">
        <f t="shared" si="56"/>
        <v>505.63492080752712</v>
      </c>
      <c r="I130" s="7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1.7053025658242404E-13</v>
      </c>
      <c r="O130" s="13">
        <f>N130*VLOOKUP('Données projet'!$B$9,Paramètres!$A$1:$I$89,3,0)*VLOOKUP('Données projet'!$B$9,Paramètres!$A$1:$I$89,5,0)</f>
        <v>9.5326413429575044E-14</v>
      </c>
      <c r="P130" s="13">
        <f t="shared" si="87"/>
        <v>1.4400742856080346E-12</v>
      </c>
      <c r="Q130" s="20">
        <f t="shared" si="107"/>
        <v>2.6741562174905032E-12</v>
      </c>
      <c r="R130" s="59">
        <f t="shared" si="55"/>
        <v>293.33333333333599</v>
      </c>
      <c r="S130" s="59">
        <f ca="1">AVERAGE(OFFSET($R$3,0,0,'Données projet'!$E$9+1,1))-AVERAGE(OFFSET($H$3,0,0,'Données projet'!$E$9+1,1))</f>
        <v>280.69347314340195</v>
      </c>
      <c r="T130" s="59">
        <f t="shared" si="88"/>
        <v>152.40533828556482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148.55662400689849</v>
      </c>
      <c r="AA130" s="21">
        <f>EXP(-LN(2)/25)*AA129+(1-EXP(-LN(2)/25))/(LN(2)/25)*Calculateur!V130*Calculateur!X130*VLOOKUP('Données projet'!$B$9,Paramètres!$A$1:$I$89,3,0)*0.475*44/12</f>
        <v>44.977536052145418</v>
      </c>
      <c r="AB130" s="21">
        <f>EXP(-LN(2)/2)*AB129+(1-EXP(-LN(2)/2))/(LN(2)/2)*V130*Y130*VLOOKUP('Données projet'!$B$9,Paramètres!$A$1:$I$89,3,0)*0.475*44/12</f>
        <v>5.4918586164232392</v>
      </c>
      <c r="AC130" s="22">
        <f t="shared" si="57"/>
        <v>199.02601867546713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0</v>
      </c>
      <c r="AI130" s="13">
        <f>IF('Données projet'!$A$62&gt;35,AI129+AH130-AQ129,IF(A130&lt;'Données projet'!$A$62,$AF$205^A130,IF(A130='Données projet'!$A$62,'Données projet'!$B$62,AI129+AH130-AQ129)))</f>
        <v>0</v>
      </c>
      <c r="AJ130" s="13">
        <f>AI130*VLOOKUP('Données projet'!$B$10,Paramètres!$A$1:$I$89,3,0)*VLOOKUP('Données projet'!$B$10,Paramètres!$A$1:$I$89,5,0)</f>
        <v>0</v>
      </c>
      <c r="AK130" s="13" t="e">
        <f t="shared" si="89"/>
        <v>#NUM!</v>
      </c>
      <c r="AL130" s="20" t="e">
        <f t="shared" si="58"/>
        <v>#NUM!</v>
      </c>
      <c r="AM130" s="59" t="e">
        <f t="shared" si="59"/>
        <v>#NUM!</v>
      </c>
      <c r="AN130" s="59">
        <f ca="1">AVERAGE(OFFSET($AM$3,0,0,'Données projet'!$E$10+1,1))-AVERAGE(OFFSET($H$3,0,0,'Données projet'!$E$10+1,1))</f>
        <v>179.4725256147085</v>
      </c>
      <c r="AO130" s="59">
        <f t="shared" si="90"/>
        <v>282.16750121151176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38.306155327849822</v>
      </c>
      <c r="AV130" s="21">
        <f>EXP(-LN(2)/25)*AV129+(1-EXP(-LN(2)/25))/(LN(2)/25)*Calculateur!AQ130*Calculateur!AS130*VLOOKUP('Données projet'!$B$10,Paramètres!$A$1:$I$89,3,0)*0.475*44/12</f>
        <v>7.6246351725400805</v>
      </c>
      <c r="AW130" s="21">
        <f>EXP(-LN(2)/2)*AW129+(1-EXP(-LN(2)/2))/(LN(2)/2)*AQ130*AT130*VLOOKUP('Données projet'!$B$10,Paramètres!$A$1:$I$89,3,0)*0.475*44/12</f>
        <v>3.5495876503036663E-9</v>
      </c>
      <c r="AX130" s="21">
        <f t="shared" si="60"/>
        <v>45.930790503939491</v>
      </c>
      <c r="AY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7.6799999999999971</v>
      </c>
      <c r="BD130" s="12">
        <f>IF('Données projet'!$A$88&gt;35,BD129+BC130-BL129,IF(A130&lt;'Données projet'!$A$88,$BA$205^A130,IF(A130='Données projet'!$A$88,'Données projet'!$B$88,BD129+BC130-BL129)))</f>
        <v>384.41000000000059</v>
      </c>
      <c r="BE130" s="13">
        <f>BD130*VLOOKUP('Données projet'!$B$11,Paramètres!$A$1:$I$89,3,0)*VLOOKUP('Données projet'!$B$11,Paramètres!$A$1:$I$89,5,0)</f>
        <v>329.82378000000057</v>
      </c>
      <c r="BF130" s="13">
        <f t="shared" si="91"/>
        <v>77.393771134166656</v>
      </c>
      <c r="BG130" s="20">
        <f t="shared" si="61"/>
        <v>709.23723489200802</v>
      </c>
      <c r="BH130" s="59">
        <f t="shared" si="62"/>
        <v>1002.5705682253413</v>
      </c>
      <c r="BI130" s="59">
        <f ca="1">AVERAGE(OFFSET($BH$3,0,0,'Données projet'!$E$11+1,1))-AVERAGE(OFFSET($H$3,0,0,'Données projet'!$E$11+1,1))</f>
        <v>312.89478437044261</v>
      </c>
      <c r="BJ130" s="59">
        <f t="shared" si="92"/>
        <v>276.16555507854571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>
        <f>EXP(-LN(2)/35)*BP129+(1-EXP(-LN(2)/35))/(LN(2)/35)*BL130*BM130*VLOOKUP('Données projet'!$B$11,Paramètres!$A$1:$I$89,3,0)*0.475*44/12</f>
        <v>26.671244259202169</v>
      </c>
      <c r="BQ130" s="21">
        <f>EXP(-LN(2)/25)*BQ129+(1-EXP(-LN(2)/25))/(LN(2)/25)*Calculateur!BL130*Calculateur!BN130*VLOOKUP('Données projet'!$B$11,Paramètres!$A$1:$I$89,3,0)*0.475*44/12</f>
        <v>27.933159453347539</v>
      </c>
      <c r="BR130" s="21">
        <f>EXP(-LN(2)/2)*BR129+(1-EXP(-LN(2)/2))/(LN(2)/2)*BL130*BO130*VLOOKUP('Données projet'!$B$11,Paramètres!$A$1:$I$89,3,0)*0.475*44/12</f>
        <v>0.38086943941357049</v>
      </c>
      <c r="BS130" s="22">
        <f t="shared" si="63"/>
        <v>54.985273151963284</v>
      </c>
      <c r="BT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0</v>
      </c>
      <c r="BZ130" s="13" t="e">
        <f>BY130*VLOOKUP('Données projet'!$B$12,Paramètres!$A$1:$I$89,3,0)*VLOOKUP('Données projet'!$B$12,Paramètres!$A$1:$I$89,5,0)</f>
        <v>#N/A</v>
      </c>
      <c r="CA130" s="13" t="e">
        <f t="shared" si="93"/>
        <v>#N/A</v>
      </c>
      <c r="CB130" s="20" t="e">
        <f t="shared" si="64"/>
        <v>#N/A</v>
      </c>
      <c r="CC130" s="59" t="e">
        <f t="shared" si="65"/>
        <v>#N/A</v>
      </c>
      <c r="CD130" s="59" t="e">
        <f ca="1">AVERAGE(OFFSET($CC$3,0,0,'Données projet'!$E$12+1,1))-AVERAGE(OFFSET($H$3,0,0,'Données projet'!$E$12+1,1))</f>
        <v>#N/A</v>
      </c>
      <c r="CE130" s="59" t="e">
        <f t="shared" si="94"/>
        <v>#N/A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 t="e">
        <f>EXP(-LN(2)/35)*CK129+(1-EXP(-LN(2)/35))/(LN(2)/35)*CG130*CH130*VLOOKUP('Données projet'!$B$12,Paramètres!$A$1:$I$89,3,0)*0.475*44/12</f>
        <v>#N/A</v>
      </c>
      <c r="CL130" s="21" t="e">
        <f>EXP(-LN(2)/25)*CL129+(1-EXP(-LN(2)/25))/(LN(2)/25)*Calculateur!CG130*Calculateur!CI130*VLOOKUP('Données projet'!$B$12,Paramètres!$A$1:$I$89,3,0)*0.475*44/12</f>
        <v>#N/A</v>
      </c>
      <c r="CM130" s="21" t="e">
        <f>EXP(-LN(2)/2)*CM129+(1-EXP(-LN(2)/2))/(LN(2)/2)*CG130*CJ130*VLOOKUP('Données projet'!$B$12,Paramètres!$A$1:$I$89,3,0)*0.475*44/12</f>
        <v>#N/A</v>
      </c>
      <c r="CN130" s="22" t="e">
        <f t="shared" si="66"/>
        <v>#N/A</v>
      </c>
      <c r="CO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0</v>
      </c>
      <c r="CU130" s="17" t="e">
        <f>CT130*VLOOKUP('Données projet'!$B$13,Paramètres!$A$1:$I$89,3,0)*VLOOKUP('Données projet'!$B$13,Paramètres!$A$1:$I$89,5,0)</f>
        <v>#N/A</v>
      </c>
      <c r="CV130" s="13" t="e">
        <f t="shared" si="95"/>
        <v>#N/A</v>
      </c>
      <c r="CW130" s="20" t="e">
        <f t="shared" si="67"/>
        <v>#N/A</v>
      </c>
      <c r="CX130" s="59" t="e">
        <f t="shared" si="68"/>
        <v>#N/A</v>
      </c>
      <c r="CY130" s="59" t="e">
        <f ca="1">AVERAGE(OFFSET($CX$3,0,0,'Données projet'!$E$13+1,1))-AVERAGE(OFFSET($H$3,0,0,'Données projet'!$E$13+1,1))</f>
        <v>#N/A</v>
      </c>
      <c r="CZ130" s="59" t="e">
        <f t="shared" si="96"/>
        <v>#N/A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 t="e">
        <f>EXP(-LN(2)/35)*DF129+(1-EXP(-LN(2)/35))/(LN(2)/35)*DB130*DC130*VLOOKUP('Données projet'!$B$13,Paramètres!$A$1:$I$89,3,0)*0.475*44/12</f>
        <v>#N/A</v>
      </c>
      <c r="DG130" s="21" t="e">
        <f>EXP(-LN(2)/25)*DG129+(1-EXP(-LN(2)/25))/(LN(2)/25)*Calculateur!DB130*Calculateur!DD130*VLOOKUP('Données projet'!$B$13,Paramètres!$A$1:$I$89,3,0)*0.475*44/12</f>
        <v>#N/A</v>
      </c>
      <c r="DH130" s="21" t="e">
        <f>EXP(-LN(2)/2)*DH129+(1-EXP(-LN(2)/2))/(LN(2)/2)*DB130*DE130*VLOOKUP('Données projet'!$B$13,Paramètres!$A$1:$I$89,3,0)*0.475*44/12</f>
        <v>#N/A</v>
      </c>
      <c r="DI130" s="22" t="e">
        <f t="shared" si="69"/>
        <v>#N/A</v>
      </c>
      <c r="DJ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0</v>
      </c>
      <c r="DP130" s="17" t="e">
        <f>DO130*VLOOKUP('Données projet'!$B$14,Paramètres!$A$1:$I$89,3,0)*VLOOKUP('Données projet'!$B$14,Paramètres!$A$1:$I$89,5,0)</f>
        <v>#N/A</v>
      </c>
      <c r="DQ130" s="13" t="e">
        <f t="shared" si="97"/>
        <v>#N/A</v>
      </c>
      <c r="DR130" s="20" t="e">
        <f t="shared" si="70"/>
        <v>#N/A</v>
      </c>
      <c r="DS130" s="59" t="e">
        <f t="shared" si="71"/>
        <v>#N/A</v>
      </c>
      <c r="DT130" s="59" t="e">
        <f ca="1">AVERAGE(OFFSET($DS$3,0,0,'Données projet'!$E$14+1,1))-AVERAGE(OFFSET($H$3,0,0,'Données projet'!$E$14+1,1))</f>
        <v>#N/A</v>
      </c>
      <c r="DU130" s="59" t="e">
        <f t="shared" si="98"/>
        <v>#N/A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 t="e">
        <f>EXP(-LN(2)/35)*EA129+(1-EXP(-LN(2)/35))/(LN(2)/35)*DW130*DX130*VLOOKUP('Données projet'!$B$14,Paramètres!$A$1:$I$89,3,0)*0.475*44/12</f>
        <v>#N/A</v>
      </c>
      <c r="EB130" s="21" t="e">
        <f>EXP(-LN(2)/25)*EB129+(1-EXP(-LN(2)/25))/(LN(2)/25)*Calculateur!DW130*Calculateur!DY130*VLOOKUP('Données projet'!$B$14,Paramètres!$A$1:$I$89,3,0)*0.475*44/12</f>
        <v>#N/A</v>
      </c>
      <c r="EC130" s="21" t="e">
        <f>EXP(-LN(2)/2)*EC129+(1-EXP(-LN(2)/2))/(LN(2)/2)*DW130*DZ130*VLOOKUP('Données projet'!$B$14,Paramètres!$A$1:$I$89,3,0)*0.475*44/12</f>
        <v>#N/A</v>
      </c>
      <c r="ED130" s="22" t="e">
        <f t="shared" si="72"/>
        <v>#N/A</v>
      </c>
      <c r="EE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0</v>
      </c>
      <c r="EK130" s="17" t="e">
        <f>EJ130*VLOOKUP('Données projet'!$B$15,Paramètres!$A$1:$I$89,3,0)*VLOOKUP('Données projet'!$B$15,Paramètres!$A$1:$I$89,5,0)</f>
        <v>#N/A</v>
      </c>
      <c r="EL130" s="13" t="e">
        <f t="shared" si="99"/>
        <v>#N/A</v>
      </c>
      <c r="EM130" s="20" t="e">
        <f t="shared" si="73"/>
        <v>#N/A</v>
      </c>
      <c r="EN130" s="59" t="e">
        <f t="shared" si="74"/>
        <v>#N/A</v>
      </c>
      <c r="EO130" s="59" t="e">
        <f ca="1">AVERAGE(OFFSET($EN$3,0,0,'Données projet'!$E$15+1,1))-AVERAGE(OFFSET($H$3,0,0,'Données projet'!$E$15+1,1))</f>
        <v>#N/A</v>
      </c>
      <c r="EP130" s="59" t="e">
        <f t="shared" si="100"/>
        <v>#N/A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 t="e">
        <f>EXP(-LN(2)/35)*EV129+(1-EXP(-LN(2)/35))/(LN(2)/35)*ER130*ES130*VLOOKUP('Données projet'!$B$15,Paramètres!$A$1:$I$89,3,0)*0.475*44/12</f>
        <v>#N/A</v>
      </c>
      <c r="EW130" s="21" t="e">
        <f>EXP(-LN(2)/25)*EW129+(1-EXP(-LN(2)/25))/(LN(2)/25)*Calculateur!ER130*Calculateur!ET130*VLOOKUP('Données projet'!$B$15,Paramètres!$A$1:$I$89,3,0)*0.475*44/12</f>
        <v>#N/A</v>
      </c>
      <c r="EX130" s="21" t="e">
        <f>EXP(-LN(2)/2)*EX129+(1-EXP(-LN(2)/2))/(LN(2)/2)*ER130*EU130*VLOOKUP('Données projet'!$B$15,Paramètres!$A$1:$I$89,3,0)*0.475*44/12</f>
        <v>#N/A</v>
      </c>
      <c r="EY130" s="22" t="e">
        <f t="shared" si="75"/>
        <v>#N/A</v>
      </c>
      <c r="EZ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9" t="e">
        <f t="shared" si="77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45">
      <c r="A131" s="10">
        <f t="shared" si="85"/>
        <v>128</v>
      </c>
      <c r="B131" s="73">
        <f>'Scénario référence'!$B$16*5+'Scénario référence'!$B$17*0+'Scénario référence'!$B$18*5</f>
        <v>0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113.81760000000021</v>
      </c>
      <c r="D131" s="11">
        <f t="shared" si="86"/>
        <v>30.228647177134249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">
        <f>IF(OR('Scénario référence'!$F$8&gt;0,'Scénario référence'!$F$9&gt;0),('Scénario référence'!$F$8+'Scénario référence'!$F$9)*10,0)</f>
        <v>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1111.9359431217397</v>
      </c>
      <c r="H131" s="67">
        <f t="shared" si="56"/>
        <v>507.5472138335092</v>
      </c>
      <c r="I131" s="7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1.7053025658242404E-13</v>
      </c>
      <c r="O131" s="13">
        <f>N131*VLOOKUP('Données projet'!$B$9,Paramètres!$A$1:$I$89,3,0)*VLOOKUP('Données projet'!$B$9,Paramètres!$A$1:$I$89,5,0)</f>
        <v>9.5326413429575044E-14</v>
      </c>
      <c r="P131" s="13">
        <f t="shared" si="87"/>
        <v>1.4400742856080346E-12</v>
      </c>
      <c r="Q131" s="20">
        <f t="shared" ref="Q131:Q153" si="108">(O131+P131)*0.475*44/12</f>
        <v>2.6741562174905032E-12</v>
      </c>
      <c r="R131" s="59">
        <f t="shared" ref="R131:R194" si="109">Q131+(I131+J131)*44/12</f>
        <v>293.33333333333599</v>
      </c>
      <c r="S131" s="59">
        <f ca="1">AVERAGE(OFFSET($R$3,0,0,'Données projet'!$E$9+1,1))-AVERAGE(OFFSET($H$3,0,0,'Données projet'!$E$9+1,1))</f>
        <v>280.69347314340195</v>
      </c>
      <c r="T131" s="59">
        <f t="shared" si="88"/>
        <v>152.40533828556482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145.6435192207168</v>
      </c>
      <c r="AA131" s="21">
        <f>EXP(-LN(2)/25)*AA130+(1-EXP(-LN(2)/25))/(LN(2)/25)*Calculateur!V131*Calculateur!X131*VLOOKUP('Données projet'!$B$9,Paramètres!$A$1:$I$89,3,0)*0.475*44/12</f>
        <v>43.747622963533679</v>
      </c>
      <c r="AB131" s="21">
        <f>EXP(-LN(2)/2)*AB130+(1-EXP(-LN(2)/2))/(LN(2)/2)*V131*Y131*VLOOKUP('Données projet'!$B$9,Paramètres!$A$1:$I$89,3,0)*0.475*44/12</f>
        <v>3.8833304689906432</v>
      </c>
      <c r="AC131" s="22">
        <f t="shared" si="57"/>
        <v>193.27447265324111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0</v>
      </c>
      <c r="AI131" s="13">
        <f>IF('Données projet'!$A$62&gt;35,AI130+AH131-AQ130,IF(A131&lt;'Données projet'!$A$62,$AF$205^A131,IF(A131='Données projet'!$A$62,'Données projet'!$B$62,AI130+AH131-AQ130)))</f>
        <v>0</v>
      </c>
      <c r="AJ131" s="13">
        <f>AI131*VLOOKUP('Données projet'!$B$10,Paramètres!$A$1:$I$89,3,0)*VLOOKUP('Données projet'!$B$10,Paramètres!$A$1:$I$89,5,0)</f>
        <v>0</v>
      </c>
      <c r="AK131" s="13" t="e">
        <f t="shared" si="89"/>
        <v>#NUM!</v>
      </c>
      <c r="AL131" s="20" t="e">
        <f t="shared" si="58"/>
        <v>#NUM!</v>
      </c>
      <c r="AM131" s="59" t="e">
        <f t="shared" si="59"/>
        <v>#NUM!</v>
      </c>
      <c r="AN131" s="59">
        <f ca="1">AVERAGE(OFFSET($AM$3,0,0,'Données projet'!$E$10+1,1))-AVERAGE(OFFSET($H$3,0,0,'Données projet'!$E$10+1,1))</f>
        <v>179.4725256147085</v>
      </c>
      <c r="AO131" s="59">
        <f t="shared" si="90"/>
        <v>282.16750121151176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37.554994986318391</v>
      </c>
      <c r="AV131" s="21">
        <f>EXP(-LN(2)/25)*AV130+(1-EXP(-LN(2)/25))/(LN(2)/25)*Calculateur!AQ131*Calculateur!AS131*VLOOKUP('Données projet'!$B$10,Paramètres!$A$1:$I$89,3,0)*0.475*44/12</f>
        <v>7.416139122784835</v>
      </c>
      <c r="AW131" s="21">
        <f>EXP(-LN(2)/2)*AW130+(1-EXP(-LN(2)/2))/(LN(2)/2)*AQ131*AT131*VLOOKUP('Données projet'!$B$10,Paramètres!$A$1:$I$89,3,0)*0.475*44/12</f>
        <v>2.5099374979457459E-9</v>
      </c>
      <c r="AX131" s="21">
        <f t="shared" si="60"/>
        <v>44.971134111613161</v>
      </c>
      <c r="AY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7.6799999999999971</v>
      </c>
      <c r="BD131" s="12">
        <f>IF('Données projet'!$A$88&gt;35,BD130+BC131-BL130,IF(A131&lt;'Données projet'!$A$88,$BA$205^A131,IF(A131='Données projet'!$A$88,'Données projet'!$B$88,BD130+BC131-BL130)))</f>
        <v>392.0900000000006</v>
      </c>
      <c r="BE131" s="13">
        <f>BD131*VLOOKUP('Données projet'!$B$11,Paramètres!$A$1:$I$89,3,0)*VLOOKUP('Données projet'!$B$11,Paramètres!$A$1:$I$89,5,0)</f>
        <v>336.41322000000059</v>
      </c>
      <c r="BF131" s="13">
        <f t="shared" si="91"/>
        <v>78.758438183344538</v>
      </c>
      <c r="BG131" s="20">
        <f t="shared" si="61"/>
        <v>723.09063800265938</v>
      </c>
      <c r="BH131" s="59">
        <f t="shared" si="62"/>
        <v>1016.4239713359927</v>
      </c>
      <c r="BI131" s="59">
        <f ca="1">AVERAGE(OFFSET($BH$3,0,0,'Données projet'!$E$11+1,1))-AVERAGE(OFFSET($H$3,0,0,'Données projet'!$E$11+1,1))</f>
        <v>312.89478437044261</v>
      </c>
      <c r="BJ131" s="59">
        <f t="shared" si="92"/>
        <v>276.16555507854571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>
        <f>EXP(-LN(2)/35)*BP130+(1-EXP(-LN(2)/35))/(LN(2)/35)*BL131*BM131*VLOOKUP('Données projet'!$B$11,Paramètres!$A$1:$I$89,3,0)*0.475*44/12</f>
        <v>26.148237427131896</v>
      </c>
      <c r="BQ131" s="21">
        <f>EXP(-LN(2)/25)*BQ130+(1-EXP(-LN(2)/25))/(LN(2)/25)*Calculateur!BL131*Calculateur!BN131*VLOOKUP('Données projet'!$B$11,Paramètres!$A$1:$I$89,3,0)*0.475*44/12</f>
        <v>27.169325739154736</v>
      </c>
      <c r="BR131" s="21">
        <f>EXP(-LN(2)/2)*BR130+(1-EXP(-LN(2)/2))/(LN(2)/2)*BL131*BO131*VLOOKUP('Données projet'!$B$11,Paramètres!$A$1:$I$89,3,0)*0.475*44/12</f>
        <v>0.2693153633560546</v>
      </c>
      <c r="BS131" s="22">
        <f t="shared" si="63"/>
        <v>53.586878529642689</v>
      </c>
      <c r="BT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0</v>
      </c>
      <c r="BZ131" s="13" t="e">
        <f>BY131*VLOOKUP('Données projet'!$B$12,Paramètres!$A$1:$I$89,3,0)*VLOOKUP('Données projet'!$B$12,Paramètres!$A$1:$I$89,5,0)</f>
        <v>#N/A</v>
      </c>
      <c r="CA131" s="13" t="e">
        <f t="shared" si="93"/>
        <v>#N/A</v>
      </c>
      <c r="CB131" s="20" t="e">
        <f t="shared" si="64"/>
        <v>#N/A</v>
      </c>
      <c r="CC131" s="59" t="e">
        <f t="shared" si="65"/>
        <v>#N/A</v>
      </c>
      <c r="CD131" s="59" t="e">
        <f ca="1">AVERAGE(OFFSET($CC$3,0,0,'Données projet'!$E$12+1,1))-AVERAGE(OFFSET($H$3,0,0,'Données projet'!$E$12+1,1))</f>
        <v>#N/A</v>
      </c>
      <c r="CE131" s="59" t="e">
        <f t="shared" si="94"/>
        <v>#N/A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 t="e">
        <f>EXP(-LN(2)/35)*CK130+(1-EXP(-LN(2)/35))/(LN(2)/35)*CG131*CH131*VLOOKUP('Données projet'!$B$12,Paramètres!$A$1:$I$89,3,0)*0.475*44/12</f>
        <v>#N/A</v>
      </c>
      <c r="CL131" s="21" t="e">
        <f>EXP(-LN(2)/25)*CL130+(1-EXP(-LN(2)/25))/(LN(2)/25)*Calculateur!CG131*Calculateur!CI131*VLOOKUP('Données projet'!$B$12,Paramètres!$A$1:$I$89,3,0)*0.475*44/12</f>
        <v>#N/A</v>
      </c>
      <c r="CM131" s="21" t="e">
        <f>EXP(-LN(2)/2)*CM130+(1-EXP(-LN(2)/2))/(LN(2)/2)*CG131*CJ131*VLOOKUP('Données projet'!$B$12,Paramètres!$A$1:$I$89,3,0)*0.475*44/12</f>
        <v>#N/A</v>
      </c>
      <c r="CN131" s="22" t="e">
        <f t="shared" si="66"/>
        <v>#N/A</v>
      </c>
      <c r="CO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0</v>
      </c>
      <c r="CU131" s="17" t="e">
        <f>CT131*VLOOKUP('Données projet'!$B$13,Paramètres!$A$1:$I$89,3,0)*VLOOKUP('Données projet'!$B$13,Paramètres!$A$1:$I$89,5,0)</f>
        <v>#N/A</v>
      </c>
      <c r="CV131" s="13" t="e">
        <f t="shared" si="95"/>
        <v>#N/A</v>
      </c>
      <c r="CW131" s="20" t="e">
        <f t="shared" si="67"/>
        <v>#N/A</v>
      </c>
      <c r="CX131" s="59" t="e">
        <f t="shared" si="68"/>
        <v>#N/A</v>
      </c>
      <c r="CY131" s="59" t="e">
        <f ca="1">AVERAGE(OFFSET($CX$3,0,0,'Données projet'!$E$13+1,1))-AVERAGE(OFFSET($H$3,0,0,'Données projet'!$E$13+1,1))</f>
        <v>#N/A</v>
      </c>
      <c r="CZ131" s="59" t="e">
        <f t="shared" si="96"/>
        <v>#N/A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 t="e">
        <f>EXP(-LN(2)/35)*DF130+(1-EXP(-LN(2)/35))/(LN(2)/35)*DB131*DC131*VLOOKUP('Données projet'!$B$13,Paramètres!$A$1:$I$89,3,0)*0.475*44/12</f>
        <v>#N/A</v>
      </c>
      <c r="DG131" s="21" t="e">
        <f>EXP(-LN(2)/25)*DG130+(1-EXP(-LN(2)/25))/(LN(2)/25)*Calculateur!DB131*Calculateur!DD131*VLOOKUP('Données projet'!$B$13,Paramètres!$A$1:$I$89,3,0)*0.475*44/12</f>
        <v>#N/A</v>
      </c>
      <c r="DH131" s="21" t="e">
        <f>EXP(-LN(2)/2)*DH130+(1-EXP(-LN(2)/2))/(LN(2)/2)*DB131*DE131*VLOOKUP('Données projet'!$B$13,Paramètres!$A$1:$I$89,3,0)*0.475*44/12</f>
        <v>#N/A</v>
      </c>
      <c r="DI131" s="22" t="e">
        <f t="shared" si="69"/>
        <v>#N/A</v>
      </c>
      <c r="DJ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0</v>
      </c>
      <c r="DP131" s="17" t="e">
        <f>DO131*VLOOKUP('Données projet'!$B$14,Paramètres!$A$1:$I$89,3,0)*VLOOKUP('Données projet'!$B$14,Paramètres!$A$1:$I$89,5,0)</f>
        <v>#N/A</v>
      </c>
      <c r="DQ131" s="13" t="e">
        <f t="shared" si="97"/>
        <v>#N/A</v>
      </c>
      <c r="DR131" s="20" t="e">
        <f t="shared" si="70"/>
        <v>#N/A</v>
      </c>
      <c r="DS131" s="59" t="e">
        <f t="shared" si="71"/>
        <v>#N/A</v>
      </c>
      <c r="DT131" s="59" t="e">
        <f ca="1">AVERAGE(OFFSET($DS$3,0,0,'Données projet'!$E$14+1,1))-AVERAGE(OFFSET($H$3,0,0,'Données projet'!$E$14+1,1))</f>
        <v>#N/A</v>
      </c>
      <c r="DU131" s="59" t="e">
        <f t="shared" si="98"/>
        <v>#N/A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 t="e">
        <f>EXP(-LN(2)/35)*EA130+(1-EXP(-LN(2)/35))/(LN(2)/35)*DW131*DX131*VLOOKUP('Données projet'!$B$14,Paramètres!$A$1:$I$89,3,0)*0.475*44/12</f>
        <v>#N/A</v>
      </c>
      <c r="EB131" s="21" t="e">
        <f>EXP(-LN(2)/25)*EB130+(1-EXP(-LN(2)/25))/(LN(2)/25)*Calculateur!DW131*Calculateur!DY131*VLOOKUP('Données projet'!$B$14,Paramètres!$A$1:$I$89,3,0)*0.475*44/12</f>
        <v>#N/A</v>
      </c>
      <c r="EC131" s="21" t="e">
        <f>EXP(-LN(2)/2)*EC130+(1-EXP(-LN(2)/2))/(LN(2)/2)*DW131*DZ131*VLOOKUP('Données projet'!$B$14,Paramètres!$A$1:$I$89,3,0)*0.475*44/12</f>
        <v>#N/A</v>
      </c>
      <c r="ED131" s="22" t="e">
        <f t="shared" si="72"/>
        <v>#N/A</v>
      </c>
      <c r="EE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0</v>
      </c>
      <c r="EK131" s="17" t="e">
        <f>EJ131*VLOOKUP('Données projet'!$B$15,Paramètres!$A$1:$I$89,3,0)*VLOOKUP('Données projet'!$B$15,Paramètres!$A$1:$I$89,5,0)</f>
        <v>#N/A</v>
      </c>
      <c r="EL131" s="13" t="e">
        <f t="shared" si="99"/>
        <v>#N/A</v>
      </c>
      <c r="EM131" s="20" t="e">
        <f t="shared" si="73"/>
        <v>#N/A</v>
      </c>
      <c r="EN131" s="59" t="e">
        <f t="shared" si="74"/>
        <v>#N/A</v>
      </c>
      <c r="EO131" s="59" t="e">
        <f ca="1">AVERAGE(OFFSET($EN$3,0,0,'Données projet'!$E$15+1,1))-AVERAGE(OFFSET($H$3,0,0,'Données projet'!$E$15+1,1))</f>
        <v>#N/A</v>
      </c>
      <c r="EP131" s="59" t="e">
        <f t="shared" si="100"/>
        <v>#N/A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 t="e">
        <f>EXP(-LN(2)/35)*EV130+(1-EXP(-LN(2)/35))/(LN(2)/35)*ER131*ES131*VLOOKUP('Données projet'!$B$15,Paramètres!$A$1:$I$89,3,0)*0.475*44/12</f>
        <v>#N/A</v>
      </c>
      <c r="EW131" s="21" t="e">
        <f>EXP(-LN(2)/25)*EW130+(1-EXP(-LN(2)/25))/(LN(2)/25)*Calculateur!ER131*Calculateur!ET131*VLOOKUP('Données projet'!$B$15,Paramètres!$A$1:$I$89,3,0)*0.475*44/12</f>
        <v>#N/A</v>
      </c>
      <c r="EX131" s="21" t="e">
        <f>EXP(-LN(2)/2)*EX130+(1-EXP(-LN(2)/2))/(LN(2)/2)*ER131*EU131*VLOOKUP('Données projet'!$B$15,Paramètres!$A$1:$I$89,3,0)*0.475*44/12</f>
        <v>#N/A</v>
      </c>
      <c r="EY131" s="22" t="e">
        <f t="shared" si="75"/>
        <v>#N/A</v>
      </c>
      <c r="EZ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9" t="e">
        <f t="shared" si="77"/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45">
      <c r="A132" s="10">
        <f t="shared" si="85"/>
        <v>129</v>
      </c>
      <c r="B132" s="73">
        <f>'Scénario référence'!$B$16*5+'Scénario référence'!$B$17*0+'Scénario référence'!$B$18*5</f>
        <v>0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114.70680000000021</v>
      </c>
      <c r="D132" s="11">
        <f t="shared" si="86"/>
        <v>30.437224701280673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">
        <f>IF(OR('Scénario référence'!$F$8&gt;0,'Scénario référence'!$F$9&gt;0),('Scénario référence'!$F$8+'Scénario référence'!$F$9)*10,0)</f>
        <v>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1120.4100152379581</v>
      </c>
      <c r="H132" s="67">
        <f t="shared" ref="H132:H195" si="110">(B132+E132+F132)*44/12+(C132+D132)*0.475*44/12</f>
        <v>509.45917635473086</v>
      </c>
      <c r="I132" s="7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1.7053025658242404E-13</v>
      </c>
      <c r="O132" s="13">
        <f>N132*VLOOKUP('Données projet'!$B$9,Paramètres!$A$1:$I$89,3,0)*VLOOKUP('Données projet'!$B$9,Paramètres!$A$1:$I$89,5,0)</f>
        <v>9.5326413429575044E-14</v>
      </c>
      <c r="P132" s="13">
        <f t="shared" si="87"/>
        <v>1.4400742856080346E-12</v>
      </c>
      <c r="Q132" s="20">
        <f t="shared" si="108"/>
        <v>2.6741562174905032E-12</v>
      </c>
      <c r="R132" s="59">
        <f t="shared" si="109"/>
        <v>293.33333333333599</v>
      </c>
      <c r="S132" s="59">
        <f ca="1">AVERAGE(OFFSET($R$3,0,0,'Données projet'!$E$9+1,1))-AVERAGE(OFFSET($H$3,0,0,'Données projet'!$E$9+1,1))</f>
        <v>280.69347314340195</v>
      </c>
      <c r="T132" s="59">
        <f t="shared" si="88"/>
        <v>152.40533828556482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142.78753864257365</v>
      </c>
      <c r="AA132" s="21">
        <f>EXP(-LN(2)/25)*AA131+(1-EXP(-LN(2)/25))/(LN(2)/25)*Calculateur!V132*Calculateur!X132*VLOOKUP('Données projet'!$B$9,Paramètres!$A$1:$I$89,3,0)*0.475*44/12</f>
        <v>42.551341913008343</v>
      </c>
      <c r="AB132" s="21">
        <f>EXP(-LN(2)/2)*AB131+(1-EXP(-LN(2)/2))/(LN(2)/2)*V132*Y132*VLOOKUP('Données projet'!$B$9,Paramètres!$A$1:$I$89,3,0)*0.475*44/12</f>
        <v>2.7459293082116201</v>
      </c>
      <c r="AC132" s="22">
        <f t="shared" ref="AC132:AC153" si="111">SUM(Z132:AB132)</f>
        <v>188.08480986379362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0</v>
      </c>
      <c r="AI132" s="13">
        <f>IF('Données projet'!$A$62&gt;35,AI131+AH132-AQ131,IF(A132&lt;'Données projet'!$A$62,$AF$205^A132,IF(A132='Données projet'!$A$62,'Données projet'!$B$62,AI131+AH132-AQ131)))</f>
        <v>0</v>
      </c>
      <c r="AJ132" s="13">
        <f>AI132*VLOOKUP('Données projet'!$B$10,Paramètres!$A$1:$I$89,3,0)*VLOOKUP('Données projet'!$B$10,Paramètres!$A$1:$I$89,5,0)</f>
        <v>0</v>
      </c>
      <c r="AK132" s="13" t="e">
        <f t="shared" si="89"/>
        <v>#NUM!</v>
      </c>
      <c r="AL132" s="20" t="e">
        <f t="shared" ref="AL132:AL153" si="112">(AJ132+AK132)*0.475*44/12</f>
        <v>#NUM!</v>
      </c>
      <c r="AM132" s="59" t="e">
        <f t="shared" ref="AM132:AM195" si="113">AL132+(AD132+AE132)*44/12</f>
        <v>#NUM!</v>
      </c>
      <c r="AN132" s="59">
        <f ca="1">AVERAGE(OFFSET($AM$3,0,0,'Données projet'!$E$10+1,1))-AVERAGE(OFFSET($H$3,0,0,'Données projet'!$E$10+1,1))</f>
        <v>179.4725256147085</v>
      </c>
      <c r="AO132" s="59">
        <f t="shared" si="90"/>
        <v>282.16750121151176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36.818564440921818</v>
      </c>
      <c r="AV132" s="21">
        <f>EXP(-LN(2)/25)*AV131+(1-EXP(-LN(2)/25))/(LN(2)/25)*Calculateur!AQ132*Calculateur!AS132*VLOOKUP('Données projet'!$B$10,Paramètres!$A$1:$I$89,3,0)*0.475*44/12</f>
        <v>7.2133444084744767</v>
      </c>
      <c r="AW132" s="21">
        <f>EXP(-LN(2)/2)*AW131+(1-EXP(-LN(2)/2))/(LN(2)/2)*AQ132*AT132*VLOOKUP('Données projet'!$B$10,Paramètres!$A$1:$I$89,3,0)*0.475*44/12</f>
        <v>1.7747938251518331E-9</v>
      </c>
      <c r="AX132" s="21">
        <f t="shared" ref="AX132:AX153" si="114">SUM(AU132:AW132)</f>
        <v>44.031908851171089</v>
      </c>
      <c r="AY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>
        <f>VLOOKUP(A132,'Données projet'!$A$87:$I$107,2,0)</f>
        <v>399.77</v>
      </c>
      <c r="BB132" s="12">
        <f>VLOOKUP(A132,'Données projet'!$A$87:$I$107,9,0)</f>
        <v>7.6799999999999971</v>
      </c>
      <c r="BC132" s="12">
        <f t="array" ref="BC132">INDEX(BB:BB,MIN(IF(ISNUMBER(BB132:BB328),ROW(BB132:BB328),"")))</f>
        <v>7.6799999999999971</v>
      </c>
      <c r="BD132" s="12">
        <f>IF('Données projet'!$A$88&gt;35,BD131+BC132-BL131,IF(A132&lt;'Données projet'!$A$88,$BA$205^A132,IF(A132='Données projet'!$A$88,'Données projet'!$B$88,BD131+BC132-BL131)))</f>
        <v>399.77000000000061</v>
      </c>
      <c r="BE132" s="13">
        <f>BD132*VLOOKUP('Données projet'!$B$11,Paramètres!$A$1:$I$89,3,0)*VLOOKUP('Données projet'!$B$11,Paramètres!$A$1:$I$89,5,0)</f>
        <v>343.00266000000056</v>
      </c>
      <c r="BF132" s="13">
        <f t="shared" si="91"/>
        <v>80.119997171748139</v>
      </c>
      <c r="BG132" s="20">
        <f t="shared" ref="BG132:BG153" si="115">(BE132+BF132)*0.475*44/12</f>
        <v>736.93862790746232</v>
      </c>
      <c r="BH132" s="59">
        <f t="shared" ref="BH132:BH195" si="116">BG132+(AY132+AZ132)*44/12</f>
        <v>1030.2719612407957</v>
      </c>
      <c r="BI132" s="59">
        <f ca="1">AVERAGE(OFFSET($BH$3,0,0,'Données projet'!$E$11+1,1))-AVERAGE(OFFSET($H$3,0,0,'Données projet'!$E$11+1,1))</f>
        <v>312.89478437044261</v>
      </c>
      <c r="BJ132" s="59">
        <f t="shared" si="92"/>
        <v>276.16555507854571</v>
      </c>
      <c r="BK132" s="15">
        <f>IF(ISNA(VLOOKUP(A132,'Données projet'!$A$87:$I$107,3,0)),0,VLOOKUP(A132,'Données projet'!$A$87:$I$107,3,0))</f>
        <v>8</v>
      </c>
      <c r="BL132" s="15">
        <f>IF(ISNA(VLOOKUP(A132,'Données projet'!$A$87:$I$107,4,0)),0,VLOOKUP(A132,'Données projet'!$A$87:$I$107,4,0))</f>
        <v>143.06</v>
      </c>
      <c r="BM132" s="16">
        <f>IF(ISNA(VLOOKUP(A132,'Données projet'!$A$87:$I$107,5,0)),0%,VLOOKUP(A132,'Données projet'!$A$87:$I$107,5,0)*VLOOKUP('Données projet'!$B$11,Paramètres!$A$1:$I$89,7,0))</f>
        <v>0.23850000000000002</v>
      </c>
      <c r="BN132" s="16">
        <f>IF(ISNA(VLOOKUP(A132,'Données projet'!$A$87:$I$107,6,0)),0%,VLOOKUP(A132,'Données projet'!$A$87:$I$107,6,0)*VLOOKUP('Données projet'!$B$11,Paramètres!$A$1:$I$89,7,0))</f>
        <v>2.6500000000000003E-2</v>
      </c>
      <c r="BO132" s="16">
        <f>IF(ISNA(VLOOKUP(A132,'Données projet'!$A$87:$I$107,7,0)),0%,VLOOKUP(A132,'Données projet'!$A$87:$I$107,7,0))</f>
        <v>0.05</v>
      </c>
      <c r="BP132" s="21">
        <f>EXP(-LN(2)/35)*BP131+(1-EXP(-LN(2)/35))/(LN(2)/35)*BL132*BM132*VLOOKUP('Données projet'!$B$11,Paramètres!$A$1:$I$89,3,0)*0.475*44/12</f>
        <v>57.99790736826651</v>
      </c>
      <c r="BQ132" s="21">
        <f>EXP(-LN(2)/25)*BQ131+(1-EXP(-LN(2)/25))/(LN(2)/25)*Calculateur!BL132*Calculateur!BN132*VLOOKUP('Données projet'!$B$11,Paramètres!$A$1:$I$89,3,0)*0.475*44/12</f>
        <v>30.008045514265596</v>
      </c>
      <c r="BR132" s="21">
        <f>EXP(-LN(2)/2)*BR131+(1-EXP(-LN(2)/2))/(LN(2)/2)*BL132*BO132*VLOOKUP('Données projet'!$B$11,Paramètres!$A$1:$I$89,3,0)*0.475*44/12</f>
        <v>5.9811179210146559</v>
      </c>
      <c r="BS132" s="22">
        <f t="shared" ref="BS132:BS153" si="117">SUM(BP132:BR132)</f>
        <v>93.987070803546771</v>
      </c>
      <c r="BT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0</v>
      </c>
      <c r="BZ132" s="13" t="e">
        <f>BY132*VLOOKUP('Données projet'!$B$12,Paramètres!$A$1:$I$89,3,0)*VLOOKUP('Données projet'!$B$12,Paramètres!$A$1:$I$89,5,0)</f>
        <v>#N/A</v>
      </c>
      <c r="CA132" s="13" t="e">
        <f t="shared" si="93"/>
        <v>#N/A</v>
      </c>
      <c r="CB132" s="20" t="e">
        <f t="shared" ref="CB132:CB153" si="118">(BZ132+CA132)*0.475*44/12</f>
        <v>#N/A</v>
      </c>
      <c r="CC132" s="59" t="e">
        <f t="shared" ref="CC132:CC195" si="119">CB132+(BT132+BU132)*44/12</f>
        <v>#N/A</v>
      </c>
      <c r="CD132" s="59" t="e">
        <f ca="1">AVERAGE(OFFSET($CC$3,0,0,'Données projet'!$E$12+1,1))-AVERAGE(OFFSET($H$3,0,0,'Données projet'!$E$12+1,1))</f>
        <v>#N/A</v>
      </c>
      <c r="CE132" s="59" t="e">
        <f t="shared" si="94"/>
        <v>#N/A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 t="e">
        <f>EXP(-LN(2)/35)*CK131+(1-EXP(-LN(2)/35))/(LN(2)/35)*CG132*CH132*VLOOKUP('Données projet'!$B$12,Paramètres!$A$1:$I$89,3,0)*0.475*44/12</f>
        <v>#N/A</v>
      </c>
      <c r="CL132" s="21" t="e">
        <f>EXP(-LN(2)/25)*CL131+(1-EXP(-LN(2)/25))/(LN(2)/25)*Calculateur!CG132*Calculateur!CI132*VLOOKUP('Données projet'!$B$12,Paramètres!$A$1:$I$89,3,0)*0.475*44/12</f>
        <v>#N/A</v>
      </c>
      <c r="CM132" s="21" t="e">
        <f>EXP(-LN(2)/2)*CM131+(1-EXP(-LN(2)/2))/(LN(2)/2)*CG132*CJ132*VLOOKUP('Données projet'!$B$12,Paramètres!$A$1:$I$89,3,0)*0.475*44/12</f>
        <v>#N/A</v>
      </c>
      <c r="CN132" s="22" t="e">
        <f t="shared" ref="CN132:CN153" si="120">SUM(CK132:CM132)</f>
        <v>#N/A</v>
      </c>
      <c r="CO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0</v>
      </c>
      <c r="CU132" s="17" t="e">
        <f>CT132*VLOOKUP('Données projet'!$B$13,Paramètres!$A$1:$I$89,3,0)*VLOOKUP('Données projet'!$B$13,Paramètres!$A$1:$I$89,5,0)</f>
        <v>#N/A</v>
      </c>
      <c r="CV132" s="13" t="e">
        <f t="shared" si="95"/>
        <v>#N/A</v>
      </c>
      <c r="CW132" s="20" t="e">
        <f t="shared" ref="CW132:CW153" si="121">(CU132+CV132)*0.475*44/12</f>
        <v>#N/A</v>
      </c>
      <c r="CX132" s="59" t="e">
        <f t="shared" ref="CX132:CX195" si="122">CW132+(CO132+CP132)*44/12</f>
        <v>#N/A</v>
      </c>
      <c r="CY132" s="59" t="e">
        <f ca="1">AVERAGE(OFFSET($CX$3,0,0,'Données projet'!$E$13+1,1))-AVERAGE(OFFSET($H$3,0,0,'Données projet'!$E$13+1,1))</f>
        <v>#N/A</v>
      </c>
      <c r="CZ132" s="59" t="e">
        <f t="shared" si="96"/>
        <v>#N/A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 t="e">
        <f>EXP(-LN(2)/35)*DF131+(1-EXP(-LN(2)/35))/(LN(2)/35)*DB132*DC132*VLOOKUP('Données projet'!$B$13,Paramètres!$A$1:$I$89,3,0)*0.475*44/12</f>
        <v>#N/A</v>
      </c>
      <c r="DG132" s="21" t="e">
        <f>EXP(-LN(2)/25)*DG131+(1-EXP(-LN(2)/25))/(LN(2)/25)*Calculateur!DB132*Calculateur!DD132*VLOOKUP('Données projet'!$B$13,Paramètres!$A$1:$I$89,3,0)*0.475*44/12</f>
        <v>#N/A</v>
      </c>
      <c r="DH132" s="21" t="e">
        <f>EXP(-LN(2)/2)*DH131+(1-EXP(-LN(2)/2))/(LN(2)/2)*DB132*DE132*VLOOKUP('Données projet'!$B$13,Paramètres!$A$1:$I$89,3,0)*0.475*44/12</f>
        <v>#N/A</v>
      </c>
      <c r="DI132" s="22" t="e">
        <f t="shared" ref="DI132:DI153" si="123">SUM(DF132:DH132)</f>
        <v>#N/A</v>
      </c>
      <c r="DJ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0</v>
      </c>
      <c r="DP132" s="17" t="e">
        <f>DO132*VLOOKUP('Données projet'!$B$14,Paramètres!$A$1:$I$89,3,0)*VLOOKUP('Données projet'!$B$14,Paramètres!$A$1:$I$89,5,0)</f>
        <v>#N/A</v>
      </c>
      <c r="DQ132" s="13" t="e">
        <f t="shared" si="97"/>
        <v>#N/A</v>
      </c>
      <c r="DR132" s="20" t="e">
        <f t="shared" ref="DR132:DR153" si="124">(DP132+DQ132)*0.475*44/12</f>
        <v>#N/A</v>
      </c>
      <c r="DS132" s="59" t="e">
        <f t="shared" ref="DS132:DS195" si="125">DR132+(DJ132+DK132)*44/12</f>
        <v>#N/A</v>
      </c>
      <c r="DT132" s="59" t="e">
        <f ca="1">AVERAGE(OFFSET($DS$3,0,0,'Données projet'!$E$14+1,1))-AVERAGE(OFFSET($H$3,0,0,'Données projet'!$E$14+1,1))</f>
        <v>#N/A</v>
      </c>
      <c r="DU132" s="59" t="e">
        <f t="shared" si="98"/>
        <v>#N/A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 t="e">
        <f>EXP(-LN(2)/35)*EA131+(1-EXP(-LN(2)/35))/(LN(2)/35)*DW132*DX132*VLOOKUP('Données projet'!$B$14,Paramètres!$A$1:$I$89,3,0)*0.475*44/12</f>
        <v>#N/A</v>
      </c>
      <c r="EB132" s="21" t="e">
        <f>EXP(-LN(2)/25)*EB131+(1-EXP(-LN(2)/25))/(LN(2)/25)*Calculateur!DW132*Calculateur!DY132*VLOOKUP('Données projet'!$B$14,Paramètres!$A$1:$I$89,3,0)*0.475*44/12</f>
        <v>#N/A</v>
      </c>
      <c r="EC132" s="21" t="e">
        <f>EXP(-LN(2)/2)*EC131+(1-EXP(-LN(2)/2))/(LN(2)/2)*DW132*DZ132*VLOOKUP('Données projet'!$B$14,Paramètres!$A$1:$I$89,3,0)*0.475*44/12</f>
        <v>#N/A</v>
      </c>
      <c r="ED132" s="22" t="e">
        <f t="shared" ref="ED132:ED153" si="126">SUM(EA132:EC132)</f>
        <v>#N/A</v>
      </c>
      <c r="EE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0</v>
      </c>
      <c r="EK132" s="17" t="e">
        <f>EJ132*VLOOKUP('Données projet'!$B$15,Paramètres!$A$1:$I$89,3,0)*VLOOKUP('Données projet'!$B$15,Paramètres!$A$1:$I$89,5,0)</f>
        <v>#N/A</v>
      </c>
      <c r="EL132" s="13" t="e">
        <f t="shared" si="99"/>
        <v>#N/A</v>
      </c>
      <c r="EM132" s="20" t="e">
        <f t="shared" ref="EM132:EM153" si="127">(EK132+EL132)*0.475*44/12</f>
        <v>#N/A</v>
      </c>
      <c r="EN132" s="59" t="e">
        <f t="shared" ref="EN132:EN195" si="128">EM132+(EE132+EF132)*44/12</f>
        <v>#N/A</v>
      </c>
      <c r="EO132" s="59" t="e">
        <f ca="1">AVERAGE(OFFSET($EN$3,0,0,'Données projet'!$E$15+1,1))-AVERAGE(OFFSET($H$3,0,0,'Données projet'!$E$15+1,1))</f>
        <v>#N/A</v>
      </c>
      <c r="EP132" s="59" t="e">
        <f t="shared" si="100"/>
        <v>#N/A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 t="e">
        <f>EXP(-LN(2)/35)*EV131+(1-EXP(-LN(2)/35))/(LN(2)/35)*ER132*ES132*VLOOKUP('Données projet'!$B$15,Paramètres!$A$1:$I$89,3,0)*0.475*44/12</f>
        <v>#N/A</v>
      </c>
      <c r="EW132" s="21" t="e">
        <f>EXP(-LN(2)/25)*EW131+(1-EXP(-LN(2)/25))/(LN(2)/25)*Calculateur!ER132*Calculateur!ET132*VLOOKUP('Données projet'!$B$15,Paramètres!$A$1:$I$89,3,0)*0.475*44/12</f>
        <v>#N/A</v>
      </c>
      <c r="EX132" s="21" t="e">
        <f>EXP(-LN(2)/2)*EX131+(1-EXP(-LN(2)/2))/(LN(2)/2)*ER132*EU132*VLOOKUP('Données projet'!$B$15,Paramètres!$A$1:$I$89,3,0)*0.475*44/12</f>
        <v>#N/A</v>
      </c>
      <c r="EY132" s="22" t="e">
        <f t="shared" ref="EY132:EY153" si="129">SUM(EV132:EX132)</f>
        <v>#N/A</v>
      </c>
      <c r="EZ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9" t="e">
        <f t="shared" ref="FI132:FI195" si="131">FH132+(EZ132+FA132)*44/12</f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45">
      <c r="A133" s="10">
        <f t="shared" ref="A133:A152" si="139">A132+1</f>
        <v>130</v>
      </c>
      <c r="B133" s="73">
        <f>'Scénario référence'!$B$16*5+'Scénario référence'!$B$17*0+'Scénario référence'!$B$18*5</f>
        <v>0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115.59600000000022</v>
      </c>
      <c r="D133" s="11">
        <f t="shared" ref="D133:D196" si="140">IFERROR(EXP(-1.0587+0.8836*LN(C133)+0.284),0)</f>
        <v>30.645614103483904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">
        <f>IF(OR('Scénario référence'!$F$8&gt;0,'Scénario référence'!$F$9&gt;0),('Scénario référence'!$F$8+'Scénario référence'!$F$9)*10,0)</f>
        <v>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1128.8826351847899</v>
      </c>
      <c r="H133" s="67">
        <f t="shared" si="110"/>
        <v>511.37081123023484</v>
      </c>
      <c r="I133" s="7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1.7053025658242404E-13</v>
      </c>
      <c r="O133" s="13">
        <f>N133*VLOOKUP('Données projet'!$B$9,Paramètres!$A$1:$I$89,3,0)*VLOOKUP('Données projet'!$B$9,Paramètres!$A$1:$I$89,5,0)</f>
        <v>9.5326413429575044E-14</v>
      </c>
      <c r="P133" s="13">
        <f t="shared" ref="P133:P196" si="141">EXP(-1.0587+0.8836*LN(O133)+0.284)</f>
        <v>1.4400742856080346E-12</v>
      </c>
      <c r="Q133" s="20">
        <f t="shared" si="108"/>
        <v>2.6741562174905032E-12</v>
      </c>
      <c r="R133" s="59">
        <f t="shared" si="109"/>
        <v>293.33333333333599</v>
      </c>
      <c r="S133" s="59">
        <f ca="1">AVERAGE(OFFSET($R$3,0,0,'Données projet'!$E$9+1,1))-AVERAGE(OFFSET($H$3,0,0,'Données projet'!$E$9+1,1))</f>
        <v>280.69347314340195</v>
      </c>
      <c r="T133" s="59">
        <f t="shared" ref="T133:T196" si="142">$T$3</f>
        <v>152.40533828556482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139.98756210159175</v>
      </c>
      <c r="AA133" s="21">
        <f>EXP(-LN(2)/25)*AA132+(1-EXP(-LN(2)/25))/(LN(2)/25)*Calculateur!V133*Calculateur!X133*VLOOKUP('Données projet'!$B$9,Paramètres!$A$1:$I$89,3,0)*0.475*44/12</f>
        <v>41.387773230719311</v>
      </c>
      <c r="AB133" s="21">
        <f>EXP(-LN(2)/2)*AB132+(1-EXP(-LN(2)/2))/(LN(2)/2)*V133*Y133*VLOOKUP('Données projet'!$B$9,Paramètres!$A$1:$I$89,3,0)*0.475*44/12</f>
        <v>1.941665234495322</v>
      </c>
      <c r="AC133" s="22">
        <f t="shared" si="111"/>
        <v>183.3170005668064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0</v>
      </c>
      <c r="AI133" s="13">
        <f>IF('Données projet'!$A$62&gt;35,AI132+AH133-AQ132,IF(A133&lt;'Données projet'!$A$62,$AF$205^A133,IF(A133='Données projet'!$A$62,'Données projet'!$B$62,AI132+AH133-AQ132)))</f>
        <v>0</v>
      </c>
      <c r="AJ133" s="13">
        <f>AI133*VLOOKUP('Données projet'!$B$10,Paramètres!$A$1:$I$89,3,0)*VLOOKUP('Données projet'!$B$10,Paramètres!$A$1:$I$89,5,0)</f>
        <v>0</v>
      </c>
      <c r="AK133" s="13" t="e">
        <f t="shared" ref="AK133:AK153" si="143">EXP(-1.0587+0.8836*LN(AJ133)+0.284)</f>
        <v>#NUM!</v>
      </c>
      <c r="AL133" s="20" t="e">
        <f t="shared" si="112"/>
        <v>#NUM!</v>
      </c>
      <c r="AM133" s="59" t="e">
        <f t="shared" si="113"/>
        <v>#NUM!</v>
      </c>
      <c r="AN133" s="59">
        <f ca="1">AVERAGE(OFFSET($AM$3,0,0,'Données projet'!$E$10+1,1))-AVERAGE(OFFSET($H$3,0,0,'Données projet'!$E$10+1,1))</f>
        <v>179.4725256147085</v>
      </c>
      <c r="AO133" s="59">
        <f t="shared" ref="AO133:AO196" si="144">$AO$3</f>
        <v>282.16750121151176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36.096574849342197</v>
      </c>
      <c r="AV133" s="21">
        <f>EXP(-LN(2)/25)*AV132+(1-EXP(-LN(2)/25))/(LN(2)/25)*Calculateur!AQ133*Calculateur!AS133*VLOOKUP('Données projet'!$B$10,Paramètres!$A$1:$I$89,3,0)*0.475*44/12</f>
        <v>7.0160951262914457</v>
      </c>
      <c r="AW133" s="21">
        <f>EXP(-LN(2)/2)*AW132+(1-EXP(-LN(2)/2))/(LN(2)/2)*AQ133*AT133*VLOOKUP('Données projet'!$B$10,Paramètres!$A$1:$I$89,3,0)*0.475*44/12</f>
        <v>1.254968748972873E-9</v>
      </c>
      <c r="AX133" s="21">
        <f t="shared" si="114"/>
        <v>43.112669976888611</v>
      </c>
      <c r="AY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6.6920000000000073</v>
      </c>
      <c r="BD133" s="12">
        <f>IF('Données projet'!$A$88&gt;35,BD132+BC133-BL132,IF(A133&lt;'Données projet'!$A$88,$BA$205^A133,IF(A133='Données projet'!$A$88,'Données projet'!$B$88,BD132+BC133-BL132)))</f>
        <v>263.40200000000061</v>
      </c>
      <c r="BE133" s="13">
        <f>BD133*VLOOKUP('Données projet'!$B$11,Paramètres!$A$1:$I$89,3,0)*VLOOKUP('Données projet'!$B$11,Paramètres!$A$1:$I$89,5,0)</f>
        <v>225.99891600000055</v>
      </c>
      <c r="BF133" s="13">
        <f t="shared" ref="BF133:BF153" si="145">EXP(-1.0587+0.8836*LN(BE133)+0.284)</f>
        <v>55.416672004775094</v>
      </c>
      <c r="BG133" s="20">
        <f t="shared" si="115"/>
        <v>490.13214910831761</v>
      </c>
      <c r="BH133" s="59">
        <f t="shared" si="116"/>
        <v>783.46548244165092</v>
      </c>
      <c r="BI133" s="59">
        <f ca="1">AVERAGE(OFFSET($BH$3,0,0,'Données projet'!$E$11+1,1))-AVERAGE(OFFSET($H$3,0,0,'Données projet'!$E$11+1,1))</f>
        <v>312.89478437044261</v>
      </c>
      <c r="BJ133" s="59">
        <f t="shared" ref="BJ133:BJ196" si="146">$BJ$3</f>
        <v>276.16555507854571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>
        <f>EXP(-LN(2)/35)*BP132+(1-EXP(-LN(2)/35))/(LN(2)/35)*BL133*BM133*VLOOKUP('Données projet'!$B$11,Paramètres!$A$1:$I$89,3,0)*0.475*44/12</f>
        <v>56.860603780005285</v>
      </c>
      <c r="BQ133" s="21">
        <f>EXP(-LN(2)/25)*BQ132+(1-EXP(-LN(2)/25))/(LN(2)/25)*Calculateur!BL133*Calculateur!BN133*VLOOKUP('Données projet'!$B$11,Paramètres!$A$1:$I$89,3,0)*0.475*44/12</f>
        <v>29.187473931623476</v>
      </c>
      <c r="BR133" s="21">
        <f>EXP(-LN(2)/2)*BR132+(1-EXP(-LN(2)/2))/(LN(2)/2)*BL133*BO133*VLOOKUP('Données projet'!$B$11,Paramètres!$A$1:$I$89,3,0)*0.475*44/12</f>
        <v>4.229289041025849</v>
      </c>
      <c r="BS133" s="22">
        <f t="shared" si="117"/>
        <v>90.277366752654615</v>
      </c>
      <c r="BT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0</v>
      </c>
      <c r="BZ133" s="13" t="e">
        <f>BY133*VLOOKUP('Données projet'!$B$12,Paramètres!$A$1:$I$89,3,0)*VLOOKUP('Données projet'!$B$12,Paramètres!$A$1:$I$89,5,0)</f>
        <v>#N/A</v>
      </c>
      <c r="CA133" s="13" t="e">
        <f t="shared" ref="CA133:CA153" si="147">EXP(-1.0587+0.8836*LN(BZ133)+0.284)</f>
        <v>#N/A</v>
      </c>
      <c r="CB133" s="20" t="e">
        <f t="shared" si="118"/>
        <v>#N/A</v>
      </c>
      <c r="CC133" s="59" t="e">
        <f t="shared" si="119"/>
        <v>#N/A</v>
      </c>
      <c r="CD133" s="59" t="e">
        <f ca="1">AVERAGE(OFFSET($CC$3,0,0,'Données projet'!$E$12+1,1))-AVERAGE(OFFSET($H$3,0,0,'Données projet'!$E$12+1,1))</f>
        <v>#N/A</v>
      </c>
      <c r="CE133" s="59" t="e">
        <f t="shared" ref="CE133:CE196" si="148">$CE$3</f>
        <v>#N/A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 t="e">
        <f>EXP(-LN(2)/35)*CK132+(1-EXP(-LN(2)/35))/(LN(2)/35)*CG133*CH133*VLOOKUP('Données projet'!$B$12,Paramètres!$A$1:$I$89,3,0)*0.475*44/12</f>
        <v>#N/A</v>
      </c>
      <c r="CL133" s="21" t="e">
        <f>EXP(-LN(2)/25)*CL132+(1-EXP(-LN(2)/25))/(LN(2)/25)*Calculateur!CG133*Calculateur!CI133*VLOOKUP('Données projet'!$B$12,Paramètres!$A$1:$I$89,3,0)*0.475*44/12</f>
        <v>#N/A</v>
      </c>
      <c r="CM133" s="21" t="e">
        <f>EXP(-LN(2)/2)*CM132+(1-EXP(-LN(2)/2))/(LN(2)/2)*CG133*CJ133*VLOOKUP('Données projet'!$B$12,Paramètres!$A$1:$I$89,3,0)*0.475*44/12</f>
        <v>#N/A</v>
      </c>
      <c r="CN133" s="22" t="e">
        <f t="shared" si="120"/>
        <v>#N/A</v>
      </c>
      <c r="CO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0</v>
      </c>
      <c r="CU133" s="17" t="e">
        <f>CT133*VLOOKUP('Données projet'!$B$13,Paramètres!$A$1:$I$89,3,0)*VLOOKUP('Données projet'!$B$13,Paramètres!$A$1:$I$89,5,0)</f>
        <v>#N/A</v>
      </c>
      <c r="CV133" s="13" t="e">
        <f t="shared" ref="CV133:CV153" si="149">EXP(-1.0587+0.8836*LN(CU133)+0.284)</f>
        <v>#N/A</v>
      </c>
      <c r="CW133" s="20" t="e">
        <f t="shared" si="121"/>
        <v>#N/A</v>
      </c>
      <c r="CX133" s="59" t="e">
        <f t="shared" si="122"/>
        <v>#N/A</v>
      </c>
      <c r="CY133" s="59" t="e">
        <f ca="1">AVERAGE(OFFSET($CX$3,0,0,'Données projet'!$E$13+1,1))-AVERAGE(OFFSET($H$3,0,0,'Données projet'!$E$13+1,1))</f>
        <v>#N/A</v>
      </c>
      <c r="CZ133" s="59" t="e">
        <f t="shared" ref="CZ133:CZ196" si="150">$CZ$3</f>
        <v>#N/A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 t="e">
        <f>EXP(-LN(2)/35)*DF132+(1-EXP(-LN(2)/35))/(LN(2)/35)*DB133*DC133*VLOOKUP('Données projet'!$B$13,Paramètres!$A$1:$I$89,3,0)*0.475*44/12</f>
        <v>#N/A</v>
      </c>
      <c r="DG133" s="21" t="e">
        <f>EXP(-LN(2)/25)*DG132+(1-EXP(-LN(2)/25))/(LN(2)/25)*Calculateur!DB133*Calculateur!DD133*VLOOKUP('Données projet'!$B$13,Paramètres!$A$1:$I$89,3,0)*0.475*44/12</f>
        <v>#N/A</v>
      </c>
      <c r="DH133" s="21" t="e">
        <f>EXP(-LN(2)/2)*DH132+(1-EXP(-LN(2)/2))/(LN(2)/2)*DB133*DE133*VLOOKUP('Données projet'!$B$13,Paramètres!$A$1:$I$89,3,0)*0.475*44/12</f>
        <v>#N/A</v>
      </c>
      <c r="DI133" s="22" t="e">
        <f t="shared" si="123"/>
        <v>#N/A</v>
      </c>
      <c r="DJ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0</v>
      </c>
      <c r="DP133" s="17" t="e">
        <f>DO133*VLOOKUP('Données projet'!$B$14,Paramètres!$A$1:$I$89,3,0)*VLOOKUP('Données projet'!$B$14,Paramètres!$A$1:$I$89,5,0)</f>
        <v>#N/A</v>
      </c>
      <c r="DQ133" s="13" t="e">
        <f t="shared" ref="DQ133:DQ153" si="151">EXP(-1.0587+0.8836*LN(DP133)+0.284)</f>
        <v>#N/A</v>
      </c>
      <c r="DR133" s="20" t="e">
        <f t="shared" si="124"/>
        <v>#N/A</v>
      </c>
      <c r="DS133" s="59" t="e">
        <f t="shared" si="125"/>
        <v>#N/A</v>
      </c>
      <c r="DT133" s="59" t="e">
        <f ca="1">AVERAGE(OFFSET($DS$3,0,0,'Données projet'!$E$14+1,1))-AVERAGE(OFFSET($H$3,0,0,'Données projet'!$E$14+1,1))</f>
        <v>#N/A</v>
      </c>
      <c r="DU133" s="59" t="e">
        <f t="shared" ref="DU133:DU196" si="152">$DU$3</f>
        <v>#N/A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 t="e">
        <f>EXP(-LN(2)/35)*EA132+(1-EXP(-LN(2)/35))/(LN(2)/35)*DW133*DX133*VLOOKUP('Données projet'!$B$14,Paramètres!$A$1:$I$89,3,0)*0.475*44/12</f>
        <v>#N/A</v>
      </c>
      <c r="EB133" s="21" t="e">
        <f>EXP(-LN(2)/25)*EB132+(1-EXP(-LN(2)/25))/(LN(2)/25)*Calculateur!DW133*Calculateur!DY133*VLOOKUP('Données projet'!$B$14,Paramètres!$A$1:$I$89,3,0)*0.475*44/12</f>
        <v>#N/A</v>
      </c>
      <c r="EC133" s="21" t="e">
        <f>EXP(-LN(2)/2)*EC132+(1-EXP(-LN(2)/2))/(LN(2)/2)*DW133*DZ133*VLOOKUP('Données projet'!$B$14,Paramètres!$A$1:$I$89,3,0)*0.475*44/12</f>
        <v>#N/A</v>
      </c>
      <c r="ED133" s="22" t="e">
        <f t="shared" si="126"/>
        <v>#N/A</v>
      </c>
      <c r="EE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0</v>
      </c>
      <c r="EK133" s="17" t="e">
        <f>EJ133*VLOOKUP('Données projet'!$B$15,Paramètres!$A$1:$I$89,3,0)*VLOOKUP('Données projet'!$B$15,Paramètres!$A$1:$I$89,5,0)</f>
        <v>#N/A</v>
      </c>
      <c r="EL133" s="13" t="e">
        <f t="shared" ref="EL133:EL153" si="153">EXP(-1.0587+0.8836*LN(EK133)+0.284)</f>
        <v>#N/A</v>
      </c>
      <c r="EM133" s="20" t="e">
        <f t="shared" si="127"/>
        <v>#N/A</v>
      </c>
      <c r="EN133" s="59" t="e">
        <f t="shared" si="128"/>
        <v>#N/A</v>
      </c>
      <c r="EO133" s="59" t="e">
        <f ca="1">AVERAGE(OFFSET($EN$3,0,0,'Données projet'!$E$15+1,1))-AVERAGE(OFFSET($H$3,0,0,'Données projet'!$E$15+1,1))</f>
        <v>#N/A</v>
      </c>
      <c r="EP133" s="59" t="e">
        <f t="shared" ref="EP133:EP196" si="154">$EP$3</f>
        <v>#N/A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 t="e">
        <f>EXP(-LN(2)/35)*EV132+(1-EXP(-LN(2)/35))/(LN(2)/35)*ER133*ES133*VLOOKUP('Données projet'!$B$15,Paramètres!$A$1:$I$89,3,0)*0.475*44/12</f>
        <v>#N/A</v>
      </c>
      <c r="EW133" s="21" t="e">
        <f>EXP(-LN(2)/25)*EW132+(1-EXP(-LN(2)/25))/(LN(2)/25)*Calculateur!ER133*Calculateur!ET133*VLOOKUP('Données projet'!$B$15,Paramètres!$A$1:$I$89,3,0)*0.475*44/12</f>
        <v>#N/A</v>
      </c>
      <c r="EX133" s="21" t="e">
        <f>EXP(-LN(2)/2)*EX132+(1-EXP(-LN(2)/2))/(LN(2)/2)*ER133*EU133*VLOOKUP('Données projet'!$B$15,Paramètres!$A$1:$I$89,3,0)*0.475*44/12</f>
        <v>#N/A</v>
      </c>
      <c r="EY133" s="22" t="e">
        <f t="shared" si="129"/>
        <v>#N/A</v>
      </c>
      <c r="EZ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9" t="e">
        <f t="shared" si="131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45">
      <c r="A134" s="10">
        <f t="shared" si="139"/>
        <v>131</v>
      </c>
      <c r="B134" s="73">
        <f>'Scénario référence'!$B$16*5+'Scénario référence'!$B$17*0+'Scénario référence'!$B$18*5</f>
        <v>0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116.48520000000022</v>
      </c>
      <c r="D134" s="11">
        <f t="shared" si="140"/>
        <v>30.853816998586289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">
        <f>IF(OR('Scénario référence'!$F$8&gt;0,'Scénario référence'!$F$9&gt;0),('Scénario référence'!$F$8+'Scénario référence'!$F$9)*10,0)</f>
        <v>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1137.3538154276855</v>
      </c>
      <c r="H134" s="67">
        <f t="shared" si="110"/>
        <v>513.28212127253823</v>
      </c>
      <c r="I134" s="7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1.7053025658242404E-13</v>
      </c>
      <c r="O134" s="13">
        <f>N134*VLOOKUP('Données projet'!$B$9,Paramètres!$A$1:$I$89,3,0)*VLOOKUP('Données projet'!$B$9,Paramètres!$A$1:$I$89,5,0)</f>
        <v>9.5326413429575044E-14</v>
      </c>
      <c r="P134" s="13">
        <f t="shared" si="141"/>
        <v>1.4400742856080346E-12</v>
      </c>
      <c r="Q134" s="20">
        <f t="shared" si="108"/>
        <v>2.6741562174905032E-12</v>
      </c>
      <c r="R134" s="59">
        <f t="shared" si="109"/>
        <v>293.33333333333599</v>
      </c>
      <c r="S134" s="59">
        <f ca="1">AVERAGE(OFFSET($R$3,0,0,'Données projet'!$E$9+1,1))-AVERAGE(OFFSET($H$3,0,0,'Données projet'!$E$9+1,1))</f>
        <v>280.69347314340195</v>
      </c>
      <c r="T134" s="59">
        <f t="shared" si="142"/>
        <v>152.40533828556482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137.24249139276145</v>
      </c>
      <c r="AA134" s="21">
        <f>EXP(-LN(2)/25)*AA133+(1-EXP(-LN(2)/25))/(LN(2)/25)*Calculateur!V134*Calculateur!X134*VLOOKUP('Données projet'!$B$9,Paramètres!$A$1:$I$89,3,0)*0.475*44/12</f>
        <v>40.25602239523689</v>
      </c>
      <c r="AB134" s="21">
        <f>EXP(-LN(2)/2)*AB133+(1-EXP(-LN(2)/2))/(LN(2)/2)*V134*Y134*VLOOKUP('Données projet'!$B$9,Paramètres!$A$1:$I$89,3,0)*0.475*44/12</f>
        <v>1.3729646541058103</v>
      </c>
      <c r="AC134" s="22">
        <f t="shared" si="111"/>
        <v>178.87147844210415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0</v>
      </c>
      <c r="AI134" s="13">
        <f>IF('Données projet'!$A$62&gt;35,AI133+AH134-AQ133,IF(A134&lt;'Données projet'!$A$62,$AF$205^A134,IF(A134='Données projet'!$A$62,'Données projet'!$B$62,AI133+AH134-AQ133)))</f>
        <v>0</v>
      </c>
      <c r="AJ134" s="13">
        <f>AI134*VLOOKUP('Données projet'!$B$10,Paramètres!$A$1:$I$89,3,0)*VLOOKUP('Données projet'!$B$10,Paramètres!$A$1:$I$89,5,0)</f>
        <v>0</v>
      </c>
      <c r="AK134" s="13" t="e">
        <f t="shared" si="143"/>
        <v>#NUM!</v>
      </c>
      <c r="AL134" s="20" t="e">
        <f t="shared" si="112"/>
        <v>#NUM!</v>
      </c>
      <c r="AM134" s="59" t="e">
        <f t="shared" si="113"/>
        <v>#NUM!</v>
      </c>
      <c r="AN134" s="59">
        <f ca="1">AVERAGE(OFFSET($AM$3,0,0,'Données projet'!$E$10+1,1))-AVERAGE(OFFSET($H$3,0,0,'Données projet'!$E$10+1,1))</f>
        <v>179.4725256147085</v>
      </c>
      <c r="AO134" s="59">
        <f t="shared" si="144"/>
        <v>282.16750121151176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35.388743033283284</v>
      </c>
      <c r="AV134" s="21">
        <f>EXP(-LN(2)/25)*AV133+(1-EXP(-LN(2)/25))/(LN(2)/25)*Calculateur!AQ134*Calculateur!AS134*VLOOKUP('Données projet'!$B$10,Paramètres!$A$1:$I$89,3,0)*0.475*44/12</f>
        <v>6.8242396361025985</v>
      </c>
      <c r="AW134" s="21">
        <f>EXP(-LN(2)/2)*AW133+(1-EXP(-LN(2)/2))/(LN(2)/2)*AQ134*AT134*VLOOKUP('Données projet'!$B$10,Paramètres!$A$1:$I$89,3,0)*0.475*44/12</f>
        <v>8.8739691257591657E-10</v>
      </c>
      <c r="AX134" s="21">
        <f t="shared" si="114"/>
        <v>42.212982670273277</v>
      </c>
      <c r="AY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6.6920000000000073</v>
      </c>
      <c r="BD134" s="12">
        <f>IF('Données projet'!$A$88&gt;35,BD133+BC134-BL133,IF(A134&lt;'Données projet'!$A$88,$BA$205^A134,IF(A134='Données projet'!$A$88,'Données projet'!$B$88,BD133+BC134-BL133)))</f>
        <v>270.09400000000062</v>
      </c>
      <c r="BE134" s="13">
        <f>BD134*VLOOKUP('Données projet'!$B$11,Paramètres!$A$1:$I$89,3,0)*VLOOKUP('Données projet'!$B$11,Paramètres!$A$1:$I$89,5,0)</f>
        <v>231.74065200000055</v>
      </c>
      <c r="BF134" s="13">
        <f t="shared" si="145"/>
        <v>56.658885878990617</v>
      </c>
      <c r="BG134" s="20">
        <f t="shared" si="115"/>
        <v>502.29586180590962</v>
      </c>
      <c r="BH134" s="59">
        <f t="shared" si="116"/>
        <v>795.62919513924294</v>
      </c>
      <c r="BI134" s="59">
        <f ca="1">AVERAGE(OFFSET($BH$3,0,0,'Données projet'!$E$11+1,1))-AVERAGE(OFFSET($H$3,0,0,'Données projet'!$E$11+1,1))</f>
        <v>312.89478437044261</v>
      </c>
      <c r="BJ134" s="59">
        <f t="shared" si="146"/>
        <v>276.16555507854571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>
        <f>EXP(-LN(2)/35)*BP133+(1-EXP(-LN(2)/35))/(LN(2)/35)*BL134*BM134*VLOOKUP('Données projet'!$B$11,Paramètres!$A$1:$I$89,3,0)*0.475*44/12</f>
        <v>55.745602021423167</v>
      </c>
      <c r="BQ134" s="21">
        <f>EXP(-LN(2)/25)*BQ133+(1-EXP(-LN(2)/25))/(LN(2)/25)*Calculateur!BL134*Calculateur!BN134*VLOOKUP('Données projet'!$B$11,Paramètres!$A$1:$I$89,3,0)*0.475*44/12</f>
        <v>28.389340922060686</v>
      </c>
      <c r="BR134" s="21">
        <f>EXP(-LN(2)/2)*BR133+(1-EXP(-LN(2)/2))/(LN(2)/2)*BL134*BO134*VLOOKUP('Données projet'!$B$11,Paramètres!$A$1:$I$89,3,0)*0.475*44/12</f>
        <v>2.9905589605073288</v>
      </c>
      <c r="BS134" s="22">
        <f t="shared" si="117"/>
        <v>87.125501903991179</v>
      </c>
      <c r="BT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0</v>
      </c>
      <c r="BZ134" s="13" t="e">
        <f>BY134*VLOOKUP('Données projet'!$B$12,Paramètres!$A$1:$I$89,3,0)*VLOOKUP('Données projet'!$B$12,Paramètres!$A$1:$I$89,5,0)</f>
        <v>#N/A</v>
      </c>
      <c r="CA134" s="13" t="e">
        <f t="shared" si="147"/>
        <v>#N/A</v>
      </c>
      <c r="CB134" s="20" t="e">
        <f t="shared" si="118"/>
        <v>#N/A</v>
      </c>
      <c r="CC134" s="59" t="e">
        <f t="shared" si="119"/>
        <v>#N/A</v>
      </c>
      <c r="CD134" s="59" t="e">
        <f ca="1">AVERAGE(OFFSET($CC$3,0,0,'Données projet'!$E$12+1,1))-AVERAGE(OFFSET($H$3,0,0,'Données projet'!$E$12+1,1))</f>
        <v>#N/A</v>
      </c>
      <c r="CE134" s="59" t="e">
        <f t="shared" si="148"/>
        <v>#N/A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 t="e">
        <f>EXP(-LN(2)/35)*CK133+(1-EXP(-LN(2)/35))/(LN(2)/35)*CG134*CH134*VLOOKUP('Données projet'!$B$12,Paramètres!$A$1:$I$89,3,0)*0.475*44/12</f>
        <v>#N/A</v>
      </c>
      <c r="CL134" s="21" t="e">
        <f>EXP(-LN(2)/25)*CL133+(1-EXP(-LN(2)/25))/(LN(2)/25)*Calculateur!CG134*Calculateur!CI134*VLOOKUP('Données projet'!$B$12,Paramètres!$A$1:$I$89,3,0)*0.475*44/12</f>
        <v>#N/A</v>
      </c>
      <c r="CM134" s="21" t="e">
        <f>EXP(-LN(2)/2)*CM133+(1-EXP(-LN(2)/2))/(LN(2)/2)*CG134*CJ134*VLOOKUP('Données projet'!$B$12,Paramètres!$A$1:$I$89,3,0)*0.475*44/12</f>
        <v>#N/A</v>
      </c>
      <c r="CN134" s="22" t="e">
        <f t="shared" si="120"/>
        <v>#N/A</v>
      </c>
      <c r="CO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0</v>
      </c>
      <c r="CU134" s="17" t="e">
        <f>CT134*VLOOKUP('Données projet'!$B$13,Paramètres!$A$1:$I$89,3,0)*VLOOKUP('Données projet'!$B$13,Paramètres!$A$1:$I$89,5,0)</f>
        <v>#N/A</v>
      </c>
      <c r="CV134" s="13" t="e">
        <f t="shared" si="149"/>
        <v>#N/A</v>
      </c>
      <c r="CW134" s="20" t="e">
        <f t="shared" si="121"/>
        <v>#N/A</v>
      </c>
      <c r="CX134" s="59" t="e">
        <f t="shared" si="122"/>
        <v>#N/A</v>
      </c>
      <c r="CY134" s="59" t="e">
        <f ca="1">AVERAGE(OFFSET($CX$3,0,0,'Données projet'!$E$13+1,1))-AVERAGE(OFFSET($H$3,0,0,'Données projet'!$E$13+1,1))</f>
        <v>#N/A</v>
      </c>
      <c r="CZ134" s="59" t="e">
        <f t="shared" si="150"/>
        <v>#N/A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 t="e">
        <f>EXP(-LN(2)/35)*DF133+(1-EXP(-LN(2)/35))/(LN(2)/35)*DB134*DC134*VLOOKUP('Données projet'!$B$13,Paramètres!$A$1:$I$89,3,0)*0.475*44/12</f>
        <v>#N/A</v>
      </c>
      <c r="DG134" s="21" t="e">
        <f>EXP(-LN(2)/25)*DG133+(1-EXP(-LN(2)/25))/(LN(2)/25)*Calculateur!DB134*Calculateur!DD134*VLOOKUP('Données projet'!$B$13,Paramètres!$A$1:$I$89,3,0)*0.475*44/12</f>
        <v>#N/A</v>
      </c>
      <c r="DH134" s="21" t="e">
        <f>EXP(-LN(2)/2)*DH133+(1-EXP(-LN(2)/2))/(LN(2)/2)*DB134*DE134*VLOOKUP('Données projet'!$B$13,Paramètres!$A$1:$I$89,3,0)*0.475*44/12</f>
        <v>#N/A</v>
      </c>
      <c r="DI134" s="22" t="e">
        <f t="shared" si="123"/>
        <v>#N/A</v>
      </c>
      <c r="DJ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0</v>
      </c>
      <c r="DP134" s="17" t="e">
        <f>DO134*VLOOKUP('Données projet'!$B$14,Paramètres!$A$1:$I$89,3,0)*VLOOKUP('Données projet'!$B$14,Paramètres!$A$1:$I$89,5,0)</f>
        <v>#N/A</v>
      </c>
      <c r="DQ134" s="13" t="e">
        <f t="shared" si="151"/>
        <v>#N/A</v>
      </c>
      <c r="DR134" s="20" t="e">
        <f t="shared" si="124"/>
        <v>#N/A</v>
      </c>
      <c r="DS134" s="59" t="e">
        <f t="shared" si="125"/>
        <v>#N/A</v>
      </c>
      <c r="DT134" s="59" t="e">
        <f ca="1">AVERAGE(OFFSET($DS$3,0,0,'Données projet'!$E$14+1,1))-AVERAGE(OFFSET($H$3,0,0,'Données projet'!$E$14+1,1))</f>
        <v>#N/A</v>
      </c>
      <c r="DU134" s="59" t="e">
        <f t="shared" si="152"/>
        <v>#N/A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 t="e">
        <f>EXP(-LN(2)/35)*EA133+(1-EXP(-LN(2)/35))/(LN(2)/35)*DW134*DX134*VLOOKUP('Données projet'!$B$14,Paramètres!$A$1:$I$89,3,0)*0.475*44/12</f>
        <v>#N/A</v>
      </c>
      <c r="EB134" s="21" t="e">
        <f>EXP(-LN(2)/25)*EB133+(1-EXP(-LN(2)/25))/(LN(2)/25)*Calculateur!DW134*Calculateur!DY134*VLOOKUP('Données projet'!$B$14,Paramètres!$A$1:$I$89,3,0)*0.475*44/12</f>
        <v>#N/A</v>
      </c>
      <c r="EC134" s="21" t="e">
        <f>EXP(-LN(2)/2)*EC133+(1-EXP(-LN(2)/2))/(LN(2)/2)*DW134*DZ134*VLOOKUP('Données projet'!$B$14,Paramètres!$A$1:$I$89,3,0)*0.475*44/12</f>
        <v>#N/A</v>
      </c>
      <c r="ED134" s="22" t="e">
        <f t="shared" si="126"/>
        <v>#N/A</v>
      </c>
      <c r="EE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0</v>
      </c>
      <c r="EK134" s="17" t="e">
        <f>EJ134*VLOOKUP('Données projet'!$B$15,Paramètres!$A$1:$I$89,3,0)*VLOOKUP('Données projet'!$B$15,Paramètres!$A$1:$I$89,5,0)</f>
        <v>#N/A</v>
      </c>
      <c r="EL134" s="13" t="e">
        <f t="shared" si="153"/>
        <v>#N/A</v>
      </c>
      <c r="EM134" s="20" t="e">
        <f t="shared" si="127"/>
        <v>#N/A</v>
      </c>
      <c r="EN134" s="59" t="e">
        <f t="shared" si="128"/>
        <v>#N/A</v>
      </c>
      <c r="EO134" s="59" t="e">
        <f ca="1">AVERAGE(OFFSET($EN$3,0,0,'Données projet'!$E$15+1,1))-AVERAGE(OFFSET($H$3,0,0,'Données projet'!$E$15+1,1))</f>
        <v>#N/A</v>
      </c>
      <c r="EP134" s="59" t="e">
        <f t="shared" si="154"/>
        <v>#N/A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 t="e">
        <f>EXP(-LN(2)/35)*EV133+(1-EXP(-LN(2)/35))/(LN(2)/35)*ER134*ES134*VLOOKUP('Données projet'!$B$15,Paramètres!$A$1:$I$89,3,0)*0.475*44/12</f>
        <v>#N/A</v>
      </c>
      <c r="EW134" s="21" t="e">
        <f>EXP(-LN(2)/25)*EW133+(1-EXP(-LN(2)/25))/(LN(2)/25)*Calculateur!ER134*Calculateur!ET134*VLOOKUP('Données projet'!$B$15,Paramètres!$A$1:$I$89,3,0)*0.475*44/12</f>
        <v>#N/A</v>
      </c>
      <c r="EX134" s="21" t="e">
        <f>EXP(-LN(2)/2)*EX133+(1-EXP(-LN(2)/2))/(LN(2)/2)*ER134*EU134*VLOOKUP('Données projet'!$B$15,Paramètres!$A$1:$I$89,3,0)*0.475*44/12</f>
        <v>#N/A</v>
      </c>
      <c r="EY134" s="22" t="e">
        <f t="shared" si="129"/>
        <v>#N/A</v>
      </c>
      <c r="EZ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9" t="e">
        <f t="shared" si="131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45">
      <c r="A135" s="10">
        <f t="shared" si="139"/>
        <v>132</v>
      </c>
      <c r="B135" s="73">
        <f>'Scénario référence'!$B$16*5+'Scénario référence'!$B$17*0+'Scénario référence'!$B$18*5</f>
        <v>0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117.37440000000022</v>
      </c>
      <c r="D135" s="11">
        <f t="shared" si="140"/>
        <v>31.061834975351932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">
        <f>IF(OR('Scénario référence'!$F$8&gt;0,'Scénario référence'!$F$9&gt;0),('Scénario référence'!$F$8+'Scénario référence'!$F$9)*10,0)</f>
        <v>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1145.8235682307889</v>
      </c>
      <c r="H135" s="67">
        <f t="shared" si="110"/>
        <v>515.19310924873832</v>
      </c>
      <c r="I135" s="7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1.7053025658242404E-13</v>
      </c>
      <c r="O135" s="13">
        <f>N135*VLOOKUP('Données projet'!$B$9,Paramètres!$A$1:$I$89,3,0)*VLOOKUP('Données projet'!$B$9,Paramètres!$A$1:$I$89,5,0)</f>
        <v>9.5326413429575044E-14</v>
      </c>
      <c r="P135" s="13">
        <f t="shared" si="141"/>
        <v>1.4400742856080346E-12</v>
      </c>
      <c r="Q135" s="20">
        <f t="shared" si="108"/>
        <v>2.6741562174905032E-12</v>
      </c>
      <c r="R135" s="59">
        <f t="shared" si="109"/>
        <v>293.33333333333599</v>
      </c>
      <c r="S135" s="59">
        <f ca="1">AVERAGE(OFFSET($R$3,0,0,'Données projet'!$E$9+1,1))-AVERAGE(OFFSET($H$3,0,0,'Données projet'!$E$9+1,1))</f>
        <v>280.69347314340195</v>
      </c>
      <c r="T135" s="59">
        <f t="shared" si="142"/>
        <v>152.40533828556482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134.55124984620352</v>
      </c>
      <c r="AA135" s="21">
        <f>EXP(-LN(2)/25)*AA134+(1-EXP(-LN(2)/25))/(LN(2)/25)*Calculateur!V135*Calculateur!X135*VLOOKUP('Données projet'!$B$9,Paramètres!$A$1:$I$89,3,0)*0.475*44/12</f>
        <v>39.155219345866925</v>
      </c>
      <c r="AB135" s="21">
        <f>EXP(-LN(2)/2)*AB134+(1-EXP(-LN(2)/2))/(LN(2)/2)*V135*Y135*VLOOKUP('Données projet'!$B$9,Paramètres!$A$1:$I$89,3,0)*0.475*44/12</f>
        <v>0.97083261724766112</v>
      </c>
      <c r="AC135" s="22">
        <f t="shared" si="111"/>
        <v>174.6773018093181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0</v>
      </c>
      <c r="AJ135" s="13">
        <f>AI135*VLOOKUP('Données projet'!$B$10,Paramètres!$A$1:$I$89,3,0)*VLOOKUP('Données projet'!$B$10,Paramètres!$A$1:$I$89,5,0)</f>
        <v>0</v>
      </c>
      <c r="AK135" s="13" t="e">
        <f t="shared" si="143"/>
        <v>#NUM!</v>
      </c>
      <c r="AL135" s="20" t="e">
        <f t="shared" si="112"/>
        <v>#NUM!</v>
      </c>
      <c r="AM135" s="59" t="e">
        <f t="shared" si="113"/>
        <v>#NUM!</v>
      </c>
      <c r="AN135" s="59">
        <f ca="1">AVERAGE(OFFSET($AM$3,0,0,'Données projet'!$E$10+1,1))-AVERAGE(OFFSET($H$3,0,0,'Données projet'!$E$10+1,1))</f>
        <v>179.4725256147085</v>
      </c>
      <c r="AO135" s="59">
        <f t="shared" si="144"/>
        <v>282.16750121151176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34.694791367402509</v>
      </c>
      <c r="AV135" s="21">
        <f>EXP(-LN(2)/25)*AV134+(1-EXP(-LN(2)/25))/(LN(2)/25)*Calculateur!AQ135*Calculateur!AS135*VLOOKUP('Données projet'!$B$10,Paramètres!$A$1:$I$89,3,0)*0.475*44/12</f>
        <v>6.6376304443822072</v>
      </c>
      <c r="AW135" s="21">
        <f>EXP(-LN(2)/2)*AW134+(1-EXP(-LN(2)/2))/(LN(2)/2)*AQ135*AT135*VLOOKUP('Données projet'!$B$10,Paramètres!$A$1:$I$89,3,0)*0.475*44/12</f>
        <v>6.2748437448643648E-10</v>
      </c>
      <c r="AX135" s="21">
        <f t="shared" si="114"/>
        <v>41.3324218124122</v>
      </c>
      <c r="AY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6.6920000000000073</v>
      </c>
      <c r="BD135" s="12">
        <f>IF('Données projet'!$A$88&gt;35,BD134+BC135-BL134,IF(A135&lt;'Données projet'!$A$88,$BA$205^A135,IF(A135='Données projet'!$A$88,'Données projet'!$B$88,BD134+BC135-BL134)))</f>
        <v>276.78600000000063</v>
      </c>
      <c r="BE135" s="13">
        <f>BD135*VLOOKUP('Données projet'!$B$11,Paramètres!$A$1:$I$89,3,0)*VLOOKUP('Données projet'!$B$11,Paramètres!$A$1:$I$89,5,0)</f>
        <v>237.48238800000055</v>
      </c>
      <c r="BF135" s="13">
        <f t="shared" si="145"/>
        <v>57.897521993134497</v>
      </c>
      <c r="BG135" s="20">
        <f t="shared" si="115"/>
        <v>514.45334323804366</v>
      </c>
      <c r="BH135" s="59">
        <f t="shared" si="116"/>
        <v>807.78667657137703</v>
      </c>
      <c r="BI135" s="59">
        <f ca="1">AVERAGE(OFFSET($BH$3,0,0,'Données projet'!$E$11+1,1))-AVERAGE(OFFSET($H$3,0,0,'Données projet'!$E$11+1,1))</f>
        <v>312.89478437044261</v>
      </c>
      <c r="BJ135" s="59">
        <f t="shared" si="146"/>
        <v>276.16555507854571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>
        <f>EXP(-LN(2)/35)*BP134+(1-EXP(-LN(2)/35))/(LN(2)/35)*BL135*BM135*VLOOKUP('Données projet'!$B$11,Paramètres!$A$1:$I$89,3,0)*0.475*44/12</f>
        <v>54.652464767242925</v>
      </c>
      <c r="BQ135" s="21">
        <f>EXP(-LN(2)/25)*BQ134+(1-EXP(-LN(2)/25))/(LN(2)/25)*Calculateur!BL135*Calculateur!BN135*VLOOKUP('Données projet'!$B$11,Paramètres!$A$1:$I$89,3,0)*0.475*44/12</f>
        <v>27.613032901616382</v>
      </c>
      <c r="BR135" s="21">
        <f>EXP(-LN(2)/2)*BR134+(1-EXP(-LN(2)/2))/(LN(2)/2)*BL135*BO135*VLOOKUP('Données projet'!$B$11,Paramètres!$A$1:$I$89,3,0)*0.475*44/12</f>
        <v>2.114644520512925</v>
      </c>
      <c r="BS135" s="22">
        <f t="shared" si="117"/>
        <v>84.380142189372236</v>
      </c>
      <c r="BT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0</v>
      </c>
      <c r="BZ135" s="13" t="e">
        <f>BY135*VLOOKUP('Données projet'!$B$12,Paramètres!$A$1:$I$89,3,0)*VLOOKUP('Données projet'!$B$12,Paramètres!$A$1:$I$89,5,0)</f>
        <v>#N/A</v>
      </c>
      <c r="CA135" s="13" t="e">
        <f t="shared" si="147"/>
        <v>#N/A</v>
      </c>
      <c r="CB135" s="20" t="e">
        <f t="shared" si="118"/>
        <v>#N/A</v>
      </c>
      <c r="CC135" s="59" t="e">
        <f t="shared" si="119"/>
        <v>#N/A</v>
      </c>
      <c r="CD135" s="59" t="e">
        <f ca="1">AVERAGE(OFFSET($CC$3,0,0,'Données projet'!$E$12+1,1))-AVERAGE(OFFSET($H$3,0,0,'Données projet'!$E$12+1,1))</f>
        <v>#N/A</v>
      </c>
      <c r="CE135" s="59" t="e">
        <f t="shared" si="148"/>
        <v>#N/A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 t="e">
        <f>EXP(-LN(2)/35)*CK134+(1-EXP(-LN(2)/35))/(LN(2)/35)*CG135*CH135*VLOOKUP('Données projet'!$B$12,Paramètres!$A$1:$I$89,3,0)*0.475*44/12</f>
        <v>#N/A</v>
      </c>
      <c r="CL135" s="21" t="e">
        <f>EXP(-LN(2)/25)*CL134+(1-EXP(-LN(2)/25))/(LN(2)/25)*Calculateur!CG135*Calculateur!CI135*VLOOKUP('Données projet'!$B$12,Paramètres!$A$1:$I$89,3,0)*0.475*44/12</f>
        <v>#N/A</v>
      </c>
      <c r="CM135" s="21" t="e">
        <f>EXP(-LN(2)/2)*CM134+(1-EXP(-LN(2)/2))/(LN(2)/2)*CG135*CJ135*VLOOKUP('Données projet'!$B$12,Paramètres!$A$1:$I$89,3,0)*0.475*44/12</f>
        <v>#N/A</v>
      </c>
      <c r="CN135" s="22" t="e">
        <f t="shared" si="120"/>
        <v>#N/A</v>
      </c>
      <c r="CO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0</v>
      </c>
      <c r="CU135" s="17" t="e">
        <f>CT135*VLOOKUP('Données projet'!$B$13,Paramètres!$A$1:$I$89,3,0)*VLOOKUP('Données projet'!$B$13,Paramètres!$A$1:$I$89,5,0)</f>
        <v>#N/A</v>
      </c>
      <c r="CV135" s="13" t="e">
        <f t="shared" si="149"/>
        <v>#N/A</v>
      </c>
      <c r="CW135" s="20" t="e">
        <f t="shared" si="121"/>
        <v>#N/A</v>
      </c>
      <c r="CX135" s="59" t="e">
        <f t="shared" si="122"/>
        <v>#N/A</v>
      </c>
      <c r="CY135" s="59" t="e">
        <f ca="1">AVERAGE(OFFSET($CX$3,0,0,'Données projet'!$E$13+1,1))-AVERAGE(OFFSET($H$3,0,0,'Données projet'!$E$13+1,1))</f>
        <v>#N/A</v>
      </c>
      <c r="CZ135" s="59" t="e">
        <f t="shared" si="150"/>
        <v>#N/A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 t="e">
        <f>EXP(-LN(2)/35)*DF134+(1-EXP(-LN(2)/35))/(LN(2)/35)*DB135*DC135*VLOOKUP('Données projet'!$B$13,Paramètres!$A$1:$I$89,3,0)*0.475*44/12</f>
        <v>#N/A</v>
      </c>
      <c r="DG135" s="21" t="e">
        <f>EXP(-LN(2)/25)*DG134+(1-EXP(-LN(2)/25))/(LN(2)/25)*Calculateur!DB135*Calculateur!DD135*VLOOKUP('Données projet'!$B$13,Paramètres!$A$1:$I$89,3,0)*0.475*44/12</f>
        <v>#N/A</v>
      </c>
      <c r="DH135" s="21" t="e">
        <f>EXP(-LN(2)/2)*DH134+(1-EXP(-LN(2)/2))/(LN(2)/2)*DB135*DE135*VLOOKUP('Données projet'!$B$13,Paramètres!$A$1:$I$89,3,0)*0.475*44/12</f>
        <v>#N/A</v>
      </c>
      <c r="DI135" s="22" t="e">
        <f t="shared" si="123"/>
        <v>#N/A</v>
      </c>
      <c r="DJ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0</v>
      </c>
      <c r="DP135" s="17" t="e">
        <f>DO135*VLOOKUP('Données projet'!$B$14,Paramètres!$A$1:$I$89,3,0)*VLOOKUP('Données projet'!$B$14,Paramètres!$A$1:$I$89,5,0)</f>
        <v>#N/A</v>
      </c>
      <c r="DQ135" s="13" t="e">
        <f t="shared" si="151"/>
        <v>#N/A</v>
      </c>
      <c r="DR135" s="20" t="e">
        <f t="shared" si="124"/>
        <v>#N/A</v>
      </c>
      <c r="DS135" s="59" t="e">
        <f t="shared" si="125"/>
        <v>#N/A</v>
      </c>
      <c r="DT135" s="59" t="e">
        <f ca="1">AVERAGE(OFFSET($DS$3,0,0,'Données projet'!$E$14+1,1))-AVERAGE(OFFSET($H$3,0,0,'Données projet'!$E$14+1,1))</f>
        <v>#N/A</v>
      </c>
      <c r="DU135" s="59" t="e">
        <f t="shared" si="152"/>
        <v>#N/A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 t="e">
        <f>EXP(-LN(2)/35)*EA134+(1-EXP(-LN(2)/35))/(LN(2)/35)*DW135*DX135*VLOOKUP('Données projet'!$B$14,Paramètres!$A$1:$I$89,3,0)*0.475*44/12</f>
        <v>#N/A</v>
      </c>
      <c r="EB135" s="21" t="e">
        <f>EXP(-LN(2)/25)*EB134+(1-EXP(-LN(2)/25))/(LN(2)/25)*Calculateur!DW135*Calculateur!DY135*VLOOKUP('Données projet'!$B$14,Paramètres!$A$1:$I$89,3,0)*0.475*44/12</f>
        <v>#N/A</v>
      </c>
      <c r="EC135" s="21" t="e">
        <f>EXP(-LN(2)/2)*EC134+(1-EXP(-LN(2)/2))/(LN(2)/2)*DW135*DZ135*VLOOKUP('Données projet'!$B$14,Paramètres!$A$1:$I$89,3,0)*0.475*44/12</f>
        <v>#N/A</v>
      </c>
      <c r="ED135" s="22" t="e">
        <f t="shared" si="126"/>
        <v>#N/A</v>
      </c>
      <c r="EE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0</v>
      </c>
      <c r="EK135" s="17" t="e">
        <f>EJ135*VLOOKUP('Données projet'!$B$15,Paramètres!$A$1:$I$89,3,0)*VLOOKUP('Données projet'!$B$15,Paramètres!$A$1:$I$89,5,0)</f>
        <v>#N/A</v>
      </c>
      <c r="EL135" s="13" t="e">
        <f t="shared" si="153"/>
        <v>#N/A</v>
      </c>
      <c r="EM135" s="20" t="e">
        <f t="shared" si="127"/>
        <v>#N/A</v>
      </c>
      <c r="EN135" s="59" t="e">
        <f t="shared" si="128"/>
        <v>#N/A</v>
      </c>
      <c r="EO135" s="59" t="e">
        <f ca="1">AVERAGE(OFFSET($EN$3,0,0,'Données projet'!$E$15+1,1))-AVERAGE(OFFSET($H$3,0,0,'Données projet'!$E$15+1,1))</f>
        <v>#N/A</v>
      </c>
      <c r="EP135" s="59" t="e">
        <f t="shared" si="154"/>
        <v>#N/A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 t="e">
        <f>EXP(-LN(2)/35)*EV134+(1-EXP(-LN(2)/35))/(LN(2)/35)*ER135*ES135*VLOOKUP('Données projet'!$B$15,Paramètres!$A$1:$I$89,3,0)*0.475*44/12</f>
        <v>#N/A</v>
      </c>
      <c r="EW135" s="21" t="e">
        <f>EXP(-LN(2)/25)*EW134+(1-EXP(-LN(2)/25))/(LN(2)/25)*Calculateur!ER135*Calculateur!ET135*VLOOKUP('Données projet'!$B$15,Paramètres!$A$1:$I$89,3,0)*0.475*44/12</f>
        <v>#N/A</v>
      </c>
      <c r="EX135" s="21" t="e">
        <f>EXP(-LN(2)/2)*EX134+(1-EXP(-LN(2)/2))/(LN(2)/2)*ER135*EU135*VLOOKUP('Données projet'!$B$15,Paramètres!$A$1:$I$89,3,0)*0.475*44/12</f>
        <v>#N/A</v>
      </c>
      <c r="EY135" s="22" t="e">
        <f t="shared" si="129"/>
        <v>#N/A</v>
      </c>
      <c r="EZ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9" t="e">
        <f t="shared" si="131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45">
      <c r="A136" s="10">
        <f t="shared" si="139"/>
        <v>133</v>
      </c>
      <c r="B136" s="73">
        <f>'Scénario référence'!$B$16*5+'Scénario référence'!$B$17*0+'Scénario référence'!$B$18*5</f>
        <v>0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118.26360000000022</v>
      </c>
      <c r="D136" s="11">
        <f t="shared" si="140"/>
        <v>31.26966959708238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">
        <f>IF(OR('Scénario référence'!$F$8&gt;0,'Scénario référence'!$F$9&gt;0),('Scénario référence'!$F$8+'Scénario référence'!$F$9)*10,0)</f>
        <v>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1154.2919056616904</v>
      </c>
      <c r="H136" s="67">
        <f t="shared" si="110"/>
        <v>517.10377788158553</v>
      </c>
      <c r="I136" s="7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1.7053025658242404E-13</v>
      </c>
      <c r="O136" s="13">
        <f>N136*VLOOKUP('Données projet'!$B$9,Paramètres!$A$1:$I$89,3,0)*VLOOKUP('Données projet'!$B$9,Paramètres!$A$1:$I$89,5,0)</f>
        <v>9.5326413429575044E-14</v>
      </c>
      <c r="P136" s="13">
        <f t="shared" si="141"/>
        <v>1.4400742856080346E-12</v>
      </c>
      <c r="Q136" s="20">
        <f t="shared" si="108"/>
        <v>2.6741562174905032E-12</v>
      </c>
      <c r="R136" s="59">
        <f t="shared" si="109"/>
        <v>293.33333333333599</v>
      </c>
      <c r="S136" s="59">
        <f ca="1">AVERAGE(OFFSET($R$3,0,0,'Données projet'!$E$9+1,1))-AVERAGE(OFFSET($H$3,0,0,'Données projet'!$E$9+1,1))</f>
        <v>280.69347314340195</v>
      </c>
      <c r="T136" s="59">
        <f t="shared" si="142"/>
        <v>152.40533828556482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131.91278190487833</v>
      </c>
      <c r="AA136" s="21">
        <f>EXP(-LN(2)/25)*AA135+(1-EXP(-LN(2)/25))/(LN(2)/25)*Calculateur!V136*Calculateur!X136*VLOOKUP('Données projet'!$B$9,Paramètres!$A$1:$I$89,3,0)*0.475*44/12</f>
        <v>38.084517813770702</v>
      </c>
      <c r="AB136" s="21">
        <f>EXP(-LN(2)/2)*AB135+(1-EXP(-LN(2)/2))/(LN(2)/2)*V136*Y136*VLOOKUP('Données projet'!$B$9,Paramètres!$A$1:$I$89,3,0)*0.475*44/12</f>
        <v>0.68648232705290524</v>
      </c>
      <c r="AC136" s="22">
        <f t="shared" si="111"/>
        <v>170.68378204570195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0</v>
      </c>
      <c r="AJ136" s="13">
        <f>AI136*VLOOKUP('Données projet'!$B$10,Paramètres!$A$1:$I$89,3,0)*VLOOKUP('Données projet'!$B$10,Paramètres!$A$1:$I$89,5,0)</f>
        <v>0</v>
      </c>
      <c r="AK136" s="13" t="e">
        <f t="shared" si="143"/>
        <v>#NUM!</v>
      </c>
      <c r="AL136" s="20" t="e">
        <f t="shared" si="112"/>
        <v>#NUM!</v>
      </c>
      <c r="AM136" s="59" t="e">
        <f t="shared" si="113"/>
        <v>#NUM!</v>
      </c>
      <c r="AN136" s="59">
        <f ca="1">AVERAGE(OFFSET($AM$3,0,0,'Données projet'!$E$10+1,1))-AVERAGE(OFFSET($H$3,0,0,'Données projet'!$E$10+1,1))</f>
        <v>179.4725256147085</v>
      </c>
      <c r="AO136" s="59">
        <f t="shared" si="144"/>
        <v>282.16750121151176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34.014447670420935</v>
      </c>
      <c r="AV136" s="21">
        <f>EXP(-LN(2)/25)*AV135+(1-EXP(-LN(2)/25))/(LN(2)/25)*Calculateur!AQ136*Calculateur!AS136*VLOOKUP('Données projet'!$B$10,Paramètres!$A$1:$I$89,3,0)*0.475*44/12</f>
        <v>6.4561240908227608</v>
      </c>
      <c r="AW136" s="21">
        <f>EXP(-LN(2)/2)*AW135+(1-EXP(-LN(2)/2))/(LN(2)/2)*AQ136*AT136*VLOOKUP('Données projet'!$B$10,Paramètres!$A$1:$I$89,3,0)*0.475*44/12</f>
        <v>4.4369845628795829E-10</v>
      </c>
      <c r="AX136" s="21">
        <f t="shared" si="114"/>
        <v>40.470571761687395</v>
      </c>
      <c r="AY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6.6920000000000073</v>
      </c>
      <c r="BD136" s="12">
        <f>IF('Données projet'!$A$88&gt;35,BD135+BC136-BL135,IF(A136&lt;'Données projet'!$A$88,$BA$205^A136,IF(A136='Données projet'!$A$88,'Données projet'!$B$88,BD135+BC136-BL135)))</f>
        <v>283.47800000000063</v>
      </c>
      <c r="BE136" s="13">
        <f>BD136*VLOOKUP('Données projet'!$B$11,Paramètres!$A$1:$I$89,3,0)*VLOOKUP('Données projet'!$B$11,Paramètres!$A$1:$I$89,5,0)</f>
        <v>243.22412400000056</v>
      </c>
      <c r="BF136" s="13">
        <f t="shared" si="145"/>
        <v>59.132676800588278</v>
      </c>
      <c r="BG136" s="20">
        <f t="shared" si="115"/>
        <v>526.60476139435877</v>
      </c>
      <c r="BH136" s="59">
        <f t="shared" si="116"/>
        <v>819.93809472769203</v>
      </c>
      <c r="BI136" s="59">
        <f ca="1">AVERAGE(OFFSET($BH$3,0,0,'Données projet'!$E$11+1,1))-AVERAGE(OFFSET($H$3,0,0,'Données projet'!$E$11+1,1))</f>
        <v>312.89478437044261</v>
      </c>
      <c r="BJ136" s="59">
        <f t="shared" si="146"/>
        <v>276.16555507854571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>
        <f>EXP(-LN(2)/35)*BP135+(1-EXP(-LN(2)/35))/(LN(2)/35)*BL136*BM136*VLOOKUP('Données projet'!$B$11,Paramètres!$A$1:$I$89,3,0)*0.475*44/12</f>
        <v>53.580763267869273</v>
      </c>
      <c r="BQ136" s="21">
        <f>EXP(-LN(2)/25)*BQ135+(1-EXP(-LN(2)/25))/(LN(2)/25)*Calculateur!BL136*Calculateur!BN136*VLOOKUP('Données projet'!$B$11,Paramètres!$A$1:$I$89,3,0)*0.475*44/12</f>
        <v>26.857953064815391</v>
      </c>
      <c r="BR136" s="21">
        <f>EXP(-LN(2)/2)*BR135+(1-EXP(-LN(2)/2))/(LN(2)/2)*BL136*BO136*VLOOKUP('Données projet'!$B$11,Paramètres!$A$1:$I$89,3,0)*0.475*44/12</f>
        <v>1.4952794802536646</v>
      </c>
      <c r="BS136" s="22">
        <f t="shared" si="117"/>
        <v>81.933995812938335</v>
      </c>
      <c r="BT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0</v>
      </c>
      <c r="BZ136" s="13" t="e">
        <f>BY136*VLOOKUP('Données projet'!$B$12,Paramètres!$A$1:$I$89,3,0)*VLOOKUP('Données projet'!$B$12,Paramètres!$A$1:$I$89,5,0)</f>
        <v>#N/A</v>
      </c>
      <c r="CA136" s="13" t="e">
        <f t="shared" si="147"/>
        <v>#N/A</v>
      </c>
      <c r="CB136" s="20" t="e">
        <f t="shared" si="118"/>
        <v>#N/A</v>
      </c>
      <c r="CC136" s="59" t="e">
        <f t="shared" si="119"/>
        <v>#N/A</v>
      </c>
      <c r="CD136" s="59" t="e">
        <f ca="1">AVERAGE(OFFSET($CC$3,0,0,'Données projet'!$E$12+1,1))-AVERAGE(OFFSET($H$3,0,0,'Données projet'!$E$12+1,1))</f>
        <v>#N/A</v>
      </c>
      <c r="CE136" s="59" t="e">
        <f t="shared" si="148"/>
        <v>#N/A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 t="e">
        <f>EXP(-LN(2)/35)*CK135+(1-EXP(-LN(2)/35))/(LN(2)/35)*CG136*CH136*VLOOKUP('Données projet'!$B$12,Paramètres!$A$1:$I$89,3,0)*0.475*44/12</f>
        <v>#N/A</v>
      </c>
      <c r="CL136" s="21" t="e">
        <f>EXP(-LN(2)/25)*CL135+(1-EXP(-LN(2)/25))/(LN(2)/25)*Calculateur!CG136*Calculateur!CI136*VLOOKUP('Données projet'!$B$12,Paramètres!$A$1:$I$89,3,0)*0.475*44/12</f>
        <v>#N/A</v>
      </c>
      <c r="CM136" s="21" t="e">
        <f>EXP(-LN(2)/2)*CM135+(1-EXP(-LN(2)/2))/(LN(2)/2)*CG136*CJ136*VLOOKUP('Données projet'!$B$12,Paramètres!$A$1:$I$89,3,0)*0.475*44/12</f>
        <v>#N/A</v>
      </c>
      <c r="CN136" s="22" t="e">
        <f t="shared" si="120"/>
        <v>#N/A</v>
      </c>
      <c r="CO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0</v>
      </c>
      <c r="CU136" s="17" t="e">
        <f>CT136*VLOOKUP('Données projet'!$B$13,Paramètres!$A$1:$I$89,3,0)*VLOOKUP('Données projet'!$B$13,Paramètres!$A$1:$I$89,5,0)</f>
        <v>#N/A</v>
      </c>
      <c r="CV136" s="13" t="e">
        <f t="shared" si="149"/>
        <v>#N/A</v>
      </c>
      <c r="CW136" s="20" t="e">
        <f t="shared" si="121"/>
        <v>#N/A</v>
      </c>
      <c r="CX136" s="59" t="e">
        <f t="shared" si="122"/>
        <v>#N/A</v>
      </c>
      <c r="CY136" s="59" t="e">
        <f ca="1">AVERAGE(OFFSET($CX$3,0,0,'Données projet'!$E$13+1,1))-AVERAGE(OFFSET($H$3,0,0,'Données projet'!$E$13+1,1))</f>
        <v>#N/A</v>
      </c>
      <c r="CZ136" s="59" t="e">
        <f t="shared" si="150"/>
        <v>#N/A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 t="e">
        <f>EXP(-LN(2)/35)*DF135+(1-EXP(-LN(2)/35))/(LN(2)/35)*DB136*DC136*VLOOKUP('Données projet'!$B$13,Paramètres!$A$1:$I$89,3,0)*0.475*44/12</f>
        <v>#N/A</v>
      </c>
      <c r="DG136" s="21" t="e">
        <f>EXP(-LN(2)/25)*DG135+(1-EXP(-LN(2)/25))/(LN(2)/25)*Calculateur!DB136*Calculateur!DD136*VLOOKUP('Données projet'!$B$13,Paramètres!$A$1:$I$89,3,0)*0.475*44/12</f>
        <v>#N/A</v>
      </c>
      <c r="DH136" s="21" t="e">
        <f>EXP(-LN(2)/2)*DH135+(1-EXP(-LN(2)/2))/(LN(2)/2)*DB136*DE136*VLOOKUP('Données projet'!$B$13,Paramètres!$A$1:$I$89,3,0)*0.475*44/12</f>
        <v>#N/A</v>
      </c>
      <c r="DI136" s="22" t="e">
        <f t="shared" si="123"/>
        <v>#N/A</v>
      </c>
      <c r="DJ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0</v>
      </c>
      <c r="DP136" s="17" t="e">
        <f>DO136*VLOOKUP('Données projet'!$B$14,Paramètres!$A$1:$I$89,3,0)*VLOOKUP('Données projet'!$B$14,Paramètres!$A$1:$I$89,5,0)</f>
        <v>#N/A</v>
      </c>
      <c r="DQ136" s="13" t="e">
        <f t="shared" si="151"/>
        <v>#N/A</v>
      </c>
      <c r="DR136" s="20" t="e">
        <f t="shared" si="124"/>
        <v>#N/A</v>
      </c>
      <c r="DS136" s="59" t="e">
        <f t="shared" si="125"/>
        <v>#N/A</v>
      </c>
      <c r="DT136" s="59" t="e">
        <f ca="1">AVERAGE(OFFSET($DS$3,0,0,'Données projet'!$E$14+1,1))-AVERAGE(OFFSET($H$3,0,0,'Données projet'!$E$14+1,1))</f>
        <v>#N/A</v>
      </c>
      <c r="DU136" s="59" t="e">
        <f t="shared" si="152"/>
        <v>#N/A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 t="e">
        <f>EXP(-LN(2)/35)*EA135+(1-EXP(-LN(2)/35))/(LN(2)/35)*DW136*DX136*VLOOKUP('Données projet'!$B$14,Paramètres!$A$1:$I$89,3,0)*0.475*44/12</f>
        <v>#N/A</v>
      </c>
      <c r="EB136" s="21" t="e">
        <f>EXP(-LN(2)/25)*EB135+(1-EXP(-LN(2)/25))/(LN(2)/25)*Calculateur!DW136*Calculateur!DY136*VLOOKUP('Données projet'!$B$14,Paramètres!$A$1:$I$89,3,0)*0.475*44/12</f>
        <v>#N/A</v>
      </c>
      <c r="EC136" s="21" t="e">
        <f>EXP(-LN(2)/2)*EC135+(1-EXP(-LN(2)/2))/(LN(2)/2)*DW136*DZ136*VLOOKUP('Données projet'!$B$14,Paramètres!$A$1:$I$89,3,0)*0.475*44/12</f>
        <v>#N/A</v>
      </c>
      <c r="ED136" s="22" t="e">
        <f t="shared" si="126"/>
        <v>#N/A</v>
      </c>
      <c r="EE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0</v>
      </c>
      <c r="EK136" s="17" t="e">
        <f>EJ136*VLOOKUP('Données projet'!$B$15,Paramètres!$A$1:$I$89,3,0)*VLOOKUP('Données projet'!$B$15,Paramètres!$A$1:$I$89,5,0)</f>
        <v>#N/A</v>
      </c>
      <c r="EL136" s="13" t="e">
        <f t="shared" si="153"/>
        <v>#N/A</v>
      </c>
      <c r="EM136" s="20" t="e">
        <f t="shared" si="127"/>
        <v>#N/A</v>
      </c>
      <c r="EN136" s="59" t="e">
        <f t="shared" si="128"/>
        <v>#N/A</v>
      </c>
      <c r="EO136" s="59" t="e">
        <f ca="1">AVERAGE(OFFSET($EN$3,0,0,'Données projet'!$E$15+1,1))-AVERAGE(OFFSET($H$3,0,0,'Données projet'!$E$15+1,1))</f>
        <v>#N/A</v>
      </c>
      <c r="EP136" s="59" t="e">
        <f t="shared" si="154"/>
        <v>#N/A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 t="e">
        <f>EXP(-LN(2)/35)*EV135+(1-EXP(-LN(2)/35))/(LN(2)/35)*ER136*ES136*VLOOKUP('Données projet'!$B$15,Paramètres!$A$1:$I$89,3,0)*0.475*44/12</f>
        <v>#N/A</v>
      </c>
      <c r="EW136" s="21" t="e">
        <f>EXP(-LN(2)/25)*EW135+(1-EXP(-LN(2)/25))/(LN(2)/25)*Calculateur!ER136*Calculateur!ET136*VLOOKUP('Données projet'!$B$15,Paramètres!$A$1:$I$89,3,0)*0.475*44/12</f>
        <v>#N/A</v>
      </c>
      <c r="EX136" s="21" t="e">
        <f>EXP(-LN(2)/2)*EX135+(1-EXP(-LN(2)/2))/(LN(2)/2)*ER136*EU136*VLOOKUP('Données projet'!$B$15,Paramètres!$A$1:$I$89,3,0)*0.475*44/12</f>
        <v>#N/A</v>
      </c>
      <c r="EY136" s="22" t="e">
        <f t="shared" si="129"/>
        <v>#N/A</v>
      </c>
      <c r="EZ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9" t="e">
        <f t="shared" si="131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45">
      <c r="A137" s="10">
        <f t="shared" si="139"/>
        <v>134</v>
      </c>
      <c r="B137" s="73">
        <f>'Scénario référence'!$B$16*5+'Scénario référence'!$B$17*0+'Scénario référence'!$B$18*5</f>
        <v>0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119.15280000000023</v>
      </c>
      <c r="D137" s="11">
        <f t="shared" si="140"/>
        <v>31.477322402212781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">
        <f>IF(OR('Scénario référence'!$F$8&gt;0,'Scénario référence'!$F$9&gt;0),('Scénario référence'!$F$8+'Scénario référence'!$F$9)*10,0)</f>
        <v>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1162.7588395960302</v>
      </c>
      <c r="H137" s="67">
        <f t="shared" si="110"/>
        <v>519.01412985052093</v>
      </c>
      <c r="I137" s="7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1.7053025658242404E-13</v>
      </c>
      <c r="O137" s="13">
        <f>N137*VLOOKUP('Données projet'!$B$9,Paramètres!$A$1:$I$89,3,0)*VLOOKUP('Données projet'!$B$9,Paramètres!$A$1:$I$89,5,0)</f>
        <v>9.5326413429575044E-14</v>
      </c>
      <c r="P137" s="13">
        <f t="shared" si="141"/>
        <v>1.4400742856080346E-12</v>
      </c>
      <c r="Q137" s="20">
        <f t="shared" si="108"/>
        <v>2.6741562174905032E-12</v>
      </c>
      <c r="R137" s="59">
        <f t="shared" si="109"/>
        <v>293.33333333333599</v>
      </c>
      <c r="S137" s="59">
        <f ca="1">AVERAGE(OFFSET($R$3,0,0,'Données projet'!$E$9+1,1))-AVERAGE(OFFSET($H$3,0,0,'Données projet'!$E$9+1,1))</f>
        <v>280.69347314340195</v>
      </c>
      <c r="T137" s="59">
        <f t="shared" si="142"/>
        <v>152.40533828556482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129.32605271057596</v>
      </c>
      <c r="AA137" s="21">
        <f>EXP(-LN(2)/25)*AA136+(1-EXP(-LN(2)/25))/(LN(2)/25)*Calculateur!V137*Calculateur!X137*VLOOKUP('Données projet'!$B$9,Paramètres!$A$1:$I$89,3,0)*0.475*44/12</f>
        <v>37.043094671375393</v>
      </c>
      <c r="AB137" s="21">
        <f>EXP(-LN(2)/2)*AB136+(1-EXP(-LN(2)/2))/(LN(2)/2)*V137*Y137*VLOOKUP('Données projet'!$B$9,Paramètres!$A$1:$I$89,3,0)*0.475*44/12</f>
        <v>0.48541630862383067</v>
      </c>
      <c r="AC137" s="22">
        <f t="shared" si="111"/>
        <v>166.85456369057519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0</v>
      </c>
      <c r="AJ137" s="13">
        <f>AI137*VLOOKUP('Données projet'!$B$10,Paramètres!$A$1:$I$89,3,0)*VLOOKUP('Données projet'!$B$10,Paramètres!$A$1:$I$89,5,0)</f>
        <v>0</v>
      </c>
      <c r="AK137" s="13" t="e">
        <f t="shared" si="143"/>
        <v>#NUM!</v>
      </c>
      <c r="AL137" s="20" t="e">
        <f t="shared" si="112"/>
        <v>#NUM!</v>
      </c>
      <c r="AM137" s="59" t="e">
        <f t="shared" si="113"/>
        <v>#NUM!</v>
      </c>
      <c r="AN137" s="59">
        <f ca="1">AVERAGE(OFFSET($AM$3,0,0,'Données projet'!$E$10+1,1))-AVERAGE(OFFSET($H$3,0,0,'Données projet'!$E$10+1,1))</f>
        <v>179.4725256147085</v>
      </c>
      <c r="AO137" s="59">
        <f t="shared" si="144"/>
        <v>282.16750121151176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33.347445098368489</v>
      </c>
      <c r="AV137" s="21">
        <f>EXP(-LN(2)/25)*AV136+(1-EXP(-LN(2)/25))/(LN(2)/25)*Calculateur!AQ137*Calculateur!AS137*VLOOKUP('Données projet'!$B$10,Paramètres!$A$1:$I$89,3,0)*0.475*44/12</f>
        <v>6.2795810380464019</v>
      </c>
      <c r="AW137" s="21">
        <f>EXP(-LN(2)/2)*AW136+(1-EXP(-LN(2)/2))/(LN(2)/2)*AQ137*AT137*VLOOKUP('Données projet'!$B$10,Paramètres!$A$1:$I$89,3,0)*0.475*44/12</f>
        <v>3.1374218724321824E-10</v>
      </c>
      <c r="AX137" s="21">
        <f t="shared" si="114"/>
        <v>39.627026136728631</v>
      </c>
      <c r="AY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>
        <f>VLOOKUP(A137,'Données projet'!$A$87:$I$107,2,0)</f>
        <v>290.17</v>
      </c>
      <c r="BB137" s="12">
        <f>VLOOKUP(A137,'Données projet'!$A$87:$I$107,9,0)</f>
        <v>6.6920000000000073</v>
      </c>
      <c r="BC137" s="12">
        <f t="array" ref="BC137">INDEX(BB:BB,MIN(IF(ISNUMBER(BB137:BB333),ROW(BB137:BB333),"")))</f>
        <v>6.6920000000000073</v>
      </c>
      <c r="BD137" s="12">
        <f>IF('Données projet'!$A$88&gt;35,BD136+BC137-BL136,IF(A137&lt;'Données projet'!$A$88,$BA$205^A137,IF(A137='Données projet'!$A$88,'Données projet'!$B$88,BD136+BC137-BL136)))</f>
        <v>290.17000000000064</v>
      </c>
      <c r="BE137" s="13">
        <f>BD137*VLOOKUP('Données projet'!$B$11,Paramètres!$A$1:$I$89,3,0)*VLOOKUP('Données projet'!$B$11,Paramètres!$A$1:$I$89,5,0)</f>
        <v>248.96586000000059</v>
      </c>
      <c r="BF137" s="13">
        <f t="shared" si="145"/>
        <v>60.36444194105966</v>
      </c>
      <c r="BG137" s="20">
        <f t="shared" si="115"/>
        <v>538.75027588067985</v>
      </c>
      <c r="BH137" s="59">
        <f t="shared" si="116"/>
        <v>832.08360921401322</v>
      </c>
      <c r="BI137" s="59">
        <f ca="1">AVERAGE(OFFSET($BH$3,0,0,'Données projet'!$E$11+1,1))-AVERAGE(OFFSET($H$3,0,0,'Données projet'!$E$11+1,1))</f>
        <v>312.89478437044261</v>
      </c>
      <c r="BJ137" s="59">
        <f t="shared" si="146"/>
        <v>276.16555507854571</v>
      </c>
      <c r="BK137" s="15">
        <f>IF(ISNA(VLOOKUP(A137,'Données projet'!$A$87:$I$107,3,0)),0,VLOOKUP(A137,'Données projet'!$A$87:$I$107,3,0))</f>
        <v>9</v>
      </c>
      <c r="BL137" s="15">
        <f>IF(ISNA(VLOOKUP(A137,'Données projet'!$A$87:$I$107,4,0)),0,VLOOKUP(A137,'Données projet'!$A$87:$I$107,4,0))</f>
        <v>102.91000000000003</v>
      </c>
      <c r="BM137" s="16">
        <f>IF(ISNA(VLOOKUP(A137,'Données projet'!$A$87:$I$107,5,0)),0%,VLOOKUP(A137,'Données projet'!$A$87:$I$107,5,0)*VLOOKUP('Données projet'!$B$11,Paramètres!$A$1:$I$89,7,0))</f>
        <v>0.23850000000000002</v>
      </c>
      <c r="BN137" s="16">
        <f>IF(ISNA(VLOOKUP(A137,'Données projet'!$A$87:$I$107,6,0)),0%,VLOOKUP(A137,'Données projet'!$A$87:$I$107,6,0)*VLOOKUP('Données projet'!$B$11,Paramètres!$A$1:$I$89,7,0))</f>
        <v>2.6500000000000003E-2</v>
      </c>
      <c r="BO137" s="16">
        <f>IF(ISNA(VLOOKUP(A137,'Données projet'!$A$87:$I$107,7,0)),0%,VLOOKUP(A137,'Données projet'!$A$87:$I$107,7,0))</f>
        <v>0.05</v>
      </c>
      <c r="BP137" s="21">
        <f>EXP(-LN(2)/35)*BP136+(1-EXP(-LN(2)/35))/(LN(2)/35)*BL137*BM137*VLOOKUP('Données projet'!$B$11,Paramètres!$A$1:$I$89,3,0)*0.475*44/12</f>
        <v>75.809936944430746</v>
      </c>
      <c r="BQ137" s="21">
        <f>EXP(-LN(2)/25)*BQ136+(1-EXP(-LN(2)/25))/(LN(2)/25)*Calculateur!BL137*Calculateur!BN137*VLOOKUP('Données projet'!$B$11,Paramètres!$A$1:$I$89,3,0)*0.475*44/12</f>
        <v>28.699987379748098</v>
      </c>
      <c r="BR137" s="21">
        <f>EXP(-LN(2)/2)*BR136+(1-EXP(-LN(2)/2))/(LN(2)/2)*BL137*BO137*VLOOKUP('Données projet'!$B$11,Paramètres!$A$1:$I$89,3,0)*0.475*44/12</f>
        <v>5.2228416804060016</v>
      </c>
      <c r="BS137" s="22">
        <f t="shared" si="117"/>
        <v>109.73276600458485</v>
      </c>
      <c r="BT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0</v>
      </c>
      <c r="BZ137" s="13" t="e">
        <f>BY137*VLOOKUP('Données projet'!$B$12,Paramètres!$A$1:$I$89,3,0)*VLOOKUP('Données projet'!$B$12,Paramètres!$A$1:$I$89,5,0)</f>
        <v>#N/A</v>
      </c>
      <c r="CA137" s="13" t="e">
        <f t="shared" si="147"/>
        <v>#N/A</v>
      </c>
      <c r="CB137" s="20" t="e">
        <f t="shared" si="118"/>
        <v>#N/A</v>
      </c>
      <c r="CC137" s="59" t="e">
        <f t="shared" si="119"/>
        <v>#N/A</v>
      </c>
      <c r="CD137" s="59" t="e">
        <f ca="1">AVERAGE(OFFSET($CC$3,0,0,'Données projet'!$E$12+1,1))-AVERAGE(OFFSET($H$3,0,0,'Données projet'!$E$12+1,1))</f>
        <v>#N/A</v>
      </c>
      <c r="CE137" s="59" t="e">
        <f t="shared" si="148"/>
        <v>#N/A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 t="e">
        <f>EXP(-LN(2)/35)*CK136+(1-EXP(-LN(2)/35))/(LN(2)/35)*CG137*CH137*VLOOKUP('Données projet'!$B$12,Paramètres!$A$1:$I$89,3,0)*0.475*44/12</f>
        <v>#N/A</v>
      </c>
      <c r="CL137" s="21" t="e">
        <f>EXP(-LN(2)/25)*CL136+(1-EXP(-LN(2)/25))/(LN(2)/25)*Calculateur!CG137*Calculateur!CI137*VLOOKUP('Données projet'!$B$12,Paramètres!$A$1:$I$89,3,0)*0.475*44/12</f>
        <v>#N/A</v>
      </c>
      <c r="CM137" s="21" t="e">
        <f>EXP(-LN(2)/2)*CM136+(1-EXP(-LN(2)/2))/(LN(2)/2)*CG137*CJ137*VLOOKUP('Données projet'!$B$12,Paramètres!$A$1:$I$89,3,0)*0.475*44/12</f>
        <v>#N/A</v>
      </c>
      <c r="CN137" s="22" t="e">
        <f t="shared" si="120"/>
        <v>#N/A</v>
      </c>
      <c r="CO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0</v>
      </c>
      <c r="CU137" s="17" t="e">
        <f>CT137*VLOOKUP('Données projet'!$B$13,Paramètres!$A$1:$I$89,3,0)*VLOOKUP('Données projet'!$B$13,Paramètres!$A$1:$I$89,5,0)</f>
        <v>#N/A</v>
      </c>
      <c r="CV137" s="13" t="e">
        <f t="shared" si="149"/>
        <v>#N/A</v>
      </c>
      <c r="CW137" s="20" t="e">
        <f t="shared" si="121"/>
        <v>#N/A</v>
      </c>
      <c r="CX137" s="59" t="e">
        <f t="shared" si="122"/>
        <v>#N/A</v>
      </c>
      <c r="CY137" s="59" t="e">
        <f ca="1">AVERAGE(OFFSET($CX$3,0,0,'Données projet'!$E$13+1,1))-AVERAGE(OFFSET($H$3,0,0,'Données projet'!$E$13+1,1))</f>
        <v>#N/A</v>
      </c>
      <c r="CZ137" s="59" t="e">
        <f t="shared" si="150"/>
        <v>#N/A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 t="e">
        <f>EXP(-LN(2)/35)*DF136+(1-EXP(-LN(2)/35))/(LN(2)/35)*DB137*DC137*VLOOKUP('Données projet'!$B$13,Paramètres!$A$1:$I$89,3,0)*0.475*44/12</f>
        <v>#N/A</v>
      </c>
      <c r="DG137" s="21" t="e">
        <f>EXP(-LN(2)/25)*DG136+(1-EXP(-LN(2)/25))/(LN(2)/25)*Calculateur!DB137*Calculateur!DD137*VLOOKUP('Données projet'!$B$13,Paramètres!$A$1:$I$89,3,0)*0.475*44/12</f>
        <v>#N/A</v>
      </c>
      <c r="DH137" s="21" t="e">
        <f>EXP(-LN(2)/2)*DH136+(1-EXP(-LN(2)/2))/(LN(2)/2)*DB137*DE137*VLOOKUP('Données projet'!$B$13,Paramètres!$A$1:$I$89,3,0)*0.475*44/12</f>
        <v>#N/A</v>
      </c>
      <c r="DI137" s="22" t="e">
        <f t="shared" si="123"/>
        <v>#N/A</v>
      </c>
      <c r="DJ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0</v>
      </c>
      <c r="DP137" s="17" t="e">
        <f>DO137*VLOOKUP('Données projet'!$B$14,Paramètres!$A$1:$I$89,3,0)*VLOOKUP('Données projet'!$B$14,Paramètres!$A$1:$I$89,5,0)</f>
        <v>#N/A</v>
      </c>
      <c r="DQ137" s="13" t="e">
        <f t="shared" si="151"/>
        <v>#N/A</v>
      </c>
      <c r="DR137" s="20" t="e">
        <f t="shared" si="124"/>
        <v>#N/A</v>
      </c>
      <c r="DS137" s="59" t="e">
        <f t="shared" si="125"/>
        <v>#N/A</v>
      </c>
      <c r="DT137" s="59" t="e">
        <f ca="1">AVERAGE(OFFSET($DS$3,0,0,'Données projet'!$E$14+1,1))-AVERAGE(OFFSET($H$3,0,0,'Données projet'!$E$14+1,1))</f>
        <v>#N/A</v>
      </c>
      <c r="DU137" s="59" t="e">
        <f t="shared" si="152"/>
        <v>#N/A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 t="e">
        <f>EXP(-LN(2)/35)*EA136+(1-EXP(-LN(2)/35))/(LN(2)/35)*DW137*DX137*VLOOKUP('Données projet'!$B$14,Paramètres!$A$1:$I$89,3,0)*0.475*44/12</f>
        <v>#N/A</v>
      </c>
      <c r="EB137" s="21" t="e">
        <f>EXP(-LN(2)/25)*EB136+(1-EXP(-LN(2)/25))/(LN(2)/25)*Calculateur!DW137*Calculateur!DY137*VLOOKUP('Données projet'!$B$14,Paramètres!$A$1:$I$89,3,0)*0.475*44/12</f>
        <v>#N/A</v>
      </c>
      <c r="EC137" s="21" t="e">
        <f>EXP(-LN(2)/2)*EC136+(1-EXP(-LN(2)/2))/(LN(2)/2)*DW137*DZ137*VLOOKUP('Données projet'!$B$14,Paramètres!$A$1:$I$89,3,0)*0.475*44/12</f>
        <v>#N/A</v>
      </c>
      <c r="ED137" s="22" t="e">
        <f t="shared" si="126"/>
        <v>#N/A</v>
      </c>
      <c r="EE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0</v>
      </c>
      <c r="EK137" s="17" t="e">
        <f>EJ137*VLOOKUP('Données projet'!$B$15,Paramètres!$A$1:$I$89,3,0)*VLOOKUP('Données projet'!$B$15,Paramètres!$A$1:$I$89,5,0)</f>
        <v>#N/A</v>
      </c>
      <c r="EL137" s="13" t="e">
        <f t="shared" si="153"/>
        <v>#N/A</v>
      </c>
      <c r="EM137" s="20" t="e">
        <f t="shared" si="127"/>
        <v>#N/A</v>
      </c>
      <c r="EN137" s="59" t="e">
        <f t="shared" si="128"/>
        <v>#N/A</v>
      </c>
      <c r="EO137" s="59" t="e">
        <f ca="1">AVERAGE(OFFSET($EN$3,0,0,'Données projet'!$E$15+1,1))-AVERAGE(OFFSET($H$3,0,0,'Données projet'!$E$15+1,1))</f>
        <v>#N/A</v>
      </c>
      <c r="EP137" s="59" t="e">
        <f t="shared" si="154"/>
        <v>#N/A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 t="e">
        <f>EXP(-LN(2)/35)*EV136+(1-EXP(-LN(2)/35))/(LN(2)/35)*ER137*ES137*VLOOKUP('Données projet'!$B$15,Paramètres!$A$1:$I$89,3,0)*0.475*44/12</f>
        <v>#N/A</v>
      </c>
      <c r="EW137" s="21" t="e">
        <f>EXP(-LN(2)/25)*EW136+(1-EXP(-LN(2)/25))/(LN(2)/25)*Calculateur!ER137*Calculateur!ET137*VLOOKUP('Données projet'!$B$15,Paramètres!$A$1:$I$89,3,0)*0.475*44/12</f>
        <v>#N/A</v>
      </c>
      <c r="EX137" s="21" t="e">
        <f>EXP(-LN(2)/2)*EX136+(1-EXP(-LN(2)/2))/(LN(2)/2)*ER137*EU137*VLOOKUP('Données projet'!$B$15,Paramètres!$A$1:$I$89,3,0)*0.475*44/12</f>
        <v>#N/A</v>
      </c>
      <c r="EY137" s="22" t="e">
        <f t="shared" si="129"/>
        <v>#N/A</v>
      </c>
      <c r="EZ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9" t="e">
        <f t="shared" si="131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45">
      <c r="A138" s="10">
        <f t="shared" si="139"/>
        <v>135</v>
      </c>
      <c r="B138" s="73">
        <f>'Scénario référence'!$B$16*5+'Scénario référence'!$B$17*0+'Scénario référence'!$B$18*5</f>
        <v>0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120.04200000000023</v>
      </c>
      <c r="D138" s="11">
        <f t="shared" si="140"/>
        <v>31.68479490489014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">
        <f>IF(OR('Scénario référence'!$F$8&gt;0,'Scénario référence'!$F$9&gt;0),('Scénario référence'!$F$8+'Scénario référence'!$F$9)*10,0)</f>
        <v>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1171.2243817219608</v>
      </c>
      <c r="H138" s="67">
        <f t="shared" si="110"/>
        <v>520.9241677926841</v>
      </c>
      <c r="I138" s="7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1.7053025658242404E-13</v>
      </c>
      <c r="O138" s="13">
        <f>N138*VLOOKUP('Données projet'!$B$9,Paramètres!$A$1:$I$89,3,0)*VLOOKUP('Données projet'!$B$9,Paramètres!$A$1:$I$89,5,0)</f>
        <v>9.5326413429575044E-14</v>
      </c>
      <c r="P138" s="13">
        <f t="shared" si="141"/>
        <v>1.4400742856080346E-12</v>
      </c>
      <c r="Q138" s="20">
        <f t="shared" si="108"/>
        <v>2.6741562174905032E-12</v>
      </c>
      <c r="R138" s="59">
        <f t="shared" si="109"/>
        <v>293.33333333333599</v>
      </c>
      <c r="S138" s="59">
        <f ca="1">AVERAGE(OFFSET($R$3,0,0,'Données projet'!$E$9+1,1))-AVERAGE(OFFSET($H$3,0,0,'Données projet'!$E$9+1,1))</f>
        <v>280.69347314340195</v>
      </c>
      <c r="T138" s="59">
        <f t="shared" si="142"/>
        <v>152.40533828556482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126.79004769802486</v>
      </c>
      <c r="AA138" s="21">
        <f>EXP(-LN(2)/25)*AA137+(1-EXP(-LN(2)/25))/(LN(2)/25)*Calculateur!V138*Calculateur!X138*VLOOKUP('Données projet'!$B$9,Paramètres!$A$1:$I$89,3,0)*0.475*44/12</f>
        <v>36.030149299574944</v>
      </c>
      <c r="AB138" s="21">
        <f>EXP(-LN(2)/2)*AB137+(1-EXP(-LN(2)/2))/(LN(2)/2)*V138*Y138*VLOOKUP('Données projet'!$B$9,Paramètres!$A$1:$I$89,3,0)*0.475*44/12</f>
        <v>0.34324116352645268</v>
      </c>
      <c r="AC138" s="22">
        <f t="shared" si="111"/>
        <v>163.16343816112624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0</v>
      </c>
      <c r="AJ138" s="13">
        <f>AI138*VLOOKUP('Données projet'!$B$10,Paramètres!$A$1:$I$89,3,0)*VLOOKUP('Données projet'!$B$10,Paramètres!$A$1:$I$89,5,0)</f>
        <v>0</v>
      </c>
      <c r="AK138" s="13" t="e">
        <f t="shared" si="143"/>
        <v>#NUM!</v>
      </c>
      <c r="AL138" s="20" t="e">
        <f t="shared" si="112"/>
        <v>#NUM!</v>
      </c>
      <c r="AM138" s="59" t="e">
        <f t="shared" si="113"/>
        <v>#NUM!</v>
      </c>
      <c r="AN138" s="59">
        <f ca="1">AVERAGE(OFFSET($AM$3,0,0,'Données projet'!$E$10+1,1))-AVERAGE(OFFSET($H$3,0,0,'Données projet'!$E$10+1,1))</f>
        <v>179.4725256147085</v>
      </c>
      <c r="AO138" s="59">
        <f t="shared" si="144"/>
        <v>282.16750121151176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32.693522039922591</v>
      </c>
      <c r="AV138" s="21">
        <f>EXP(-LN(2)/25)*AV137+(1-EXP(-LN(2)/25))/(LN(2)/25)*Calculateur!AQ138*Calculateur!AS138*VLOOKUP('Données projet'!$B$10,Paramètres!$A$1:$I$89,3,0)*0.475*44/12</f>
        <v>6.1078655643322088</v>
      </c>
      <c r="AW138" s="21">
        <f>EXP(-LN(2)/2)*AW137+(1-EXP(-LN(2)/2))/(LN(2)/2)*AQ138*AT138*VLOOKUP('Données projet'!$B$10,Paramètres!$A$1:$I$89,3,0)*0.475*44/12</f>
        <v>2.2184922814397914E-10</v>
      </c>
      <c r="AX138" s="21">
        <f t="shared" si="114"/>
        <v>38.801387604476652</v>
      </c>
      <c r="AY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5.3759999999999994</v>
      </c>
      <c r="BD138" s="12">
        <f>IF('Données projet'!$A$88&gt;35,BD137+BC138-BL137,IF(A138&lt;'Données projet'!$A$88,$BA$205^A138,IF(A138='Données projet'!$A$88,'Données projet'!$B$88,BD137+BC138-BL137)))</f>
        <v>192.63600000000059</v>
      </c>
      <c r="BE138" s="13">
        <f>BD138*VLOOKUP('Données projet'!$B$11,Paramètres!$A$1:$I$89,3,0)*VLOOKUP('Données projet'!$B$11,Paramètres!$A$1:$I$89,5,0)</f>
        <v>165.28168800000054</v>
      </c>
      <c r="BF138" s="13">
        <f t="shared" si="145"/>
        <v>42.031553771273103</v>
      </c>
      <c r="BG138" s="20">
        <f t="shared" si="115"/>
        <v>361.07056275163495</v>
      </c>
      <c r="BH138" s="59">
        <f t="shared" si="116"/>
        <v>654.40389608496821</v>
      </c>
      <c r="BI138" s="59">
        <f ca="1">AVERAGE(OFFSET($BH$3,0,0,'Données projet'!$E$11+1,1))-AVERAGE(OFFSET($H$3,0,0,'Données projet'!$E$11+1,1))</f>
        <v>312.89478437044261</v>
      </c>
      <c r="BJ138" s="59">
        <f t="shared" si="146"/>
        <v>276.16555507854571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>
        <f>EXP(-LN(2)/35)*BP137+(1-EXP(-LN(2)/35))/(LN(2)/35)*BL138*BM138*VLOOKUP('Données projet'!$B$11,Paramètres!$A$1:$I$89,3,0)*0.475*44/12</f>
        <v>74.323350320446224</v>
      </c>
      <c r="BQ138" s="21">
        <f>EXP(-LN(2)/25)*BQ137+(1-EXP(-LN(2)/25))/(LN(2)/25)*Calculateur!BL138*Calculateur!BN138*VLOOKUP('Données projet'!$B$11,Paramètres!$A$1:$I$89,3,0)*0.475*44/12</f>
        <v>27.915184715582146</v>
      </c>
      <c r="BR138" s="21">
        <f>EXP(-LN(2)/2)*BR137+(1-EXP(-LN(2)/2))/(LN(2)/2)*BL138*BO138*VLOOKUP('Données projet'!$B$11,Paramètres!$A$1:$I$89,3,0)*0.475*44/12</f>
        <v>3.6931067692788271</v>
      </c>
      <c r="BS138" s="22">
        <f t="shared" si="117"/>
        <v>105.93164180530719</v>
      </c>
      <c r="BT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0</v>
      </c>
      <c r="BZ138" s="13" t="e">
        <f>BY138*VLOOKUP('Données projet'!$B$12,Paramètres!$A$1:$I$89,3,0)*VLOOKUP('Données projet'!$B$12,Paramètres!$A$1:$I$89,5,0)</f>
        <v>#N/A</v>
      </c>
      <c r="CA138" s="13" t="e">
        <f t="shared" si="147"/>
        <v>#N/A</v>
      </c>
      <c r="CB138" s="20" t="e">
        <f t="shared" si="118"/>
        <v>#N/A</v>
      </c>
      <c r="CC138" s="59" t="e">
        <f t="shared" si="119"/>
        <v>#N/A</v>
      </c>
      <c r="CD138" s="59" t="e">
        <f ca="1">AVERAGE(OFFSET($CC$3,0,0,'Données projet'!$E$12+1,1))-AVERAGE(OFFSET($H$3,0,0,'Données projet'!$E$12+1,1))</f>
        <v>#N/A</v>
      </c>
      <c r="CE138" s="59" t="e">
        <f t="shared" si="148"/>
        <v>#N/A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 t="e">
        <f>EXP(-LN(2)/35)*CK137+(1-EXP(-LN(2)/35))/(LN(2)/35)*CG138*CH138*VLOOKUP('Données projet'!$B$12,Paramètres!$A$1:$I$89,3,0)*0.475*44/12</f>
        <v>#N/A</v>
      </c>
      <c r="CL138" s="21" t="e">
        <f>EXP(-LN(2)/25)*CL137+(1-EXP(-LN(2)/25))/(LN(2)/25)*Calculateur!CG138*Calculateur!CI138*VLOOKUP('Données projet'!$B$12,Paramètres!$A$1:$I$89,3,0)*0.475*44/12</f>
        <v>#N/A</v>
      </c>
      <c r="CM138" s="21" t="e">
        <f>EXP(-LN(2)/2)*CM137+(1-EXP(-LN(2)/2))/(LN(2)/2)*CG138*CJ138*VLOOKUP('Données projet'!$B$12,Paramètres!$A$1:$I$89,3,0)*0.475*44/12</f>
        <v>#N/A</v>
      </c>
      <c r="CN138" s="22" t="e">
        <f t="shared" si="120"/>
        <v>#N/A</v>
      </c>
      <c r="CO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0</v>
      </c>
      <c r="CU138" s="17" t="e">
        <f>CT138*VLOOKUP('Données projet'!$B$13,Paramètres!$A$1:$I$89,3,0)*VLOOKUP('Données projet'!$B$13,Paramètres!$A$1:$I$89,5,0)</f>
        <v>#N/A</v>
      </c>
      <c r="CV138" s="13" t="e">
        <f t="shared" si="149"/>
        <v>#N/A</v>
      </c>
      <c r="CW138" s="20" t="e">
        <f t="shared" si="121"/>
        <v>#N/A</v>
      </c>
      <c r="CX138" s="59" t="e">
        <f t="shared" si="122"/>
        <v>#N/A</v>
      </c>
      <c r="CY138" s="59" t="e">
        <f ca="1">AVERAGE(OFFSET($CX$3,0,0,'Données projet'!$E$13+1,1))-AVERAGE(OFFSET($H$3,0,0,'Données projet'!$E$13+1,1))</f>
        <v>#N/A</v>
      </c>
      <c r="CZ138" s="59" t="e">
        <f t="shared" si="150"/>
        <v>#N/A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 t="e">
        <f>EXP(-LN(2)/35)*DF137+(1-EXP(-LN(2)/35))/(LN(2)/35)*DB138*DC138*VLOOKUP('Données projet'!$B$13,Paramètres!$A$1:$I$89,3,0)*0.475*44/12</f>
        <v>#N/A</v>
      </c>
      <c r="DG138" s="21" t="e">
        <f>EXP(-LN(2)/25)*DG137+(1-EXP(-LN(2)/25))/(LN(2)/25)*Calculateur!DB138*Calculateur!DD138*VLOOKUP('Données projet'!$B$13,Paramètres!$A$1:$I$89,3,0)*0.475*44/12</f>
        <v>#N/A</v>
      </c>
      <c r="DH138" s="21" t="e">
        <f>EXP(-LN(2)/2)*DH137+(1-EXP(-LN(2)/2))/(LN(2)/2)*DB138*DE138*VLOOKUP('Données projet'!$B$13,Paramètres!$A$1:$I$89,3,0)*0.475*44/12</f>
        <v>#N/A</v>
      </c>
      <c r="DI138" s="22" t="e">
        <f t="shared" si="123"/>
        <v>#N/A</v>
      </c>
      <c r="DJ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0</v>
      </c>
      <c r="DP138" s="17" t="e">
        <f>DO138*VLOOKUP('Données projet'!$B$14,Paramètres!$A$1:$I$89,3,0)*VLOOKUP('Données projet'!$B$14,Paramètres!$A$1:$I$89,5,0)</f>
        <v>#N/A</v>
      </c>
      <c r="DQ138" s="13" t="e">
        <f t="shared" si="151"/>
        <v>#N/A</v>
      </c>
      <c r="DR138" s="20" t="e">
        <f t="shared" si="124"/>
        <v>#N/A</v>
      </c>
      <c r="DS138" s="59" t="e">
        <f t="shared" si="125"/>
        <v>#N/A</v>
      </c>
      <c r="DT138" s="59" t="e">
        <f ca="1">AVERAGE(OFFSET($DS$3,0,0,'Données projet'!$E$14+1,1))-AVERAGE(OFFSET($H$3,0,0,'Données projet'!$E$14+1,1))</f>
        <v>#N/A</v>
      </c>
      <c r="DU138" s="59" t="e">
        <f t="shared" si="152"/>
        <v>#N/A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 t="e">
        <f>EXP(-LN(2)/35)*EA137+(1-EXP(-LN(2)/35))/(LN(2)/35)*DW138*DX138*VLOOKUP('Données projet'!$B$14,Paramètres!$A$1:$I$89,3,0)*0.475*44/12</f>
        <v>#N/A</v>
      </c>
      <c r="EB138" s="21" t="e">
        <f>EXP(-LN(2)/25)*EB137+(1-EXP(-LN(2)/25))/(LN(2)/25)*Calculateur!DW138*Calculateur!DY138*VLOOKUP('Données projet'!$B$14,Paramètres!$A$1:$I$89,3,0)*0.475*44/12</f>
        <v>#N/A</v>
      </c>
      <c r="EC138" s="21" t="e">
        <f>EXP(-LN(2)/2)*EC137+(1-EXP(-LN(2)/2))/(LN(2)/2)*DW138*DZ138*VLOOKUP('Données projet'!$B$14,Paramètres!$A$1:$I$89,3,0)*0.475*44/12</f>
        <v>#N/A</v>
      </c>
      <c r="ED138" s="22" t="e">
        <f t="shared" si="126"/>
        <v>#N/A</v>
      </c>
      <c r="EE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0</v>
      </c>
      <c r="EK138" s="17" t="e">
        <f>EJ138*VLOOKUP('Données projet'!$B$15,Paramètres!$A$1:$I$89,3,0)*VLOOKUP('Données projet'!$B$15,Paramètres!$A$1:$I$89,5,0)</f>
        <v>#N/A</v>
      </c>
      <c r="EL138" s="13" t="e">
        <f t="shared" si="153"/>
        <v>#N/A</v>
      </c>
      <c r="EM138" s="20" t="e">
        <f t="shared" si="127"/>
        <v>#N/A</v>
      </c>
      <c r="EN138" s="59" t="e">
        <f t="shared" si="128"/>
        <v>#N/A</v>
      </c>
      <c r="EO138" s="59" t="e">
        <f ca="1">AVERAGE(OFFSET($EN$3,0,0,'Données projet'!$E$15+1,1))-AVERAGE(OFFSET($H$3,0,0,'Données projet'!$E$15+1,1))</f>
        <v>#N/A</v>
      </c>
      <c r="EP138" s="59" t="e">
        <f t="shared" si="154"/>
        <v>#N/A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 t="e">
        <f>EXP(-LN(2)/35)*EV137+(1-EXP(-LN(2)/35))/(LN(2)/35)*ER138*ES138*VLOOKUP('Données projet'!$B$15,Paramètres!$A$1:$I$89,3,0)*0.475*44/12</f>
        <v>#N/A</v>
      </c>
      <c r="EW138" s="21" t="e">
        <f>EXP(-LN(2)/25)*EW137+(1-EXP(-LN(2)/25))/(LN(2)/25)*Calculateur!ER138*Calculateur!ET138*VLOOKUP('Données projet'!$B$15,Paramètres!$A$1:$I$89,3,0)*0.475*44/12</f>
        <v>#N/A</v>
      </c>
      <c r="EX138" s="21" t="e">
        <f>EXP(-LN(2)/2)*EX137+(1-EXP(-LN(2)/2))/(LN(2)/2)*ER138*EU138*VLOOKUP('Données projet'!$B$15,Paramètres!$A$1:$I$89,3,0)*0.475*44/12</f>
        <v>#N/A</v>
      </c>
      <c r="EY138" s="22" t="e">
        <f t="shared" si="129"/>
        <v>#N/A</v>
      </c>
      <c r="EZ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9" t="e">
        <f t="shared" si="131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45">
      <c r="A139" s="10">
        <f t="shared" si="139"/>
        <v>136</v>
      </c>
      <c r="B139" s="73">
        <f>'Scénario référence'!$B$16*5+'Scénario référence'!$B$17*0+'Scénario référence'!$B$18*5</f>
        <v>0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120.93120000000023</v>
      </c>
      <c r="D139" s="11">
        <f t="shared" si="140"/>
        <v>31.892088595533707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">
        <f>IF(OR('Scénario référence'!$F$8&gt;0,'Scénario référence'!$F$9&gt;0),('Scénario référence'!$F$8+'Scénario référence'!$F$9)*10,0)</f>
        <v>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1179.6885435444726</v>
      </c>
      <c r="H139" s="67">
        <f t="shared" si="110"/>
        <v>522.83389430388831</v>
      </c>
      <c r="I139" s="7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1.7053025658242404E-13</v>
      </c>
      <c r="O139" s="13">
        <f>N139*VLOOKUP('Données projet'!$B$9,Paramètres!$A$1:$I$89,3,0)*VLOOKUP('Données projet'!$B$9,Paramètres!$A$1:$I$89,5,0)</f>
        <v>9.5326413429575044E-14</v>
      </c>
      <c r="P139" s="13">
        <f t="shared" si="141"/>
        <v>1.4400742856080346E-12</v>
      </c>
      <c r="Q139" s="20">
        <f t="shared" si="108"/>
        <v>2.6741562174905032E-12</v>
      </c>
      <c r="R139" s="59">
        <f t="shared" si="109"/>
        <v>293.33333333333599</v>
      </c>
      <c r="S139" s="59">
        <f ca="1">AVERAGE(OFFSET($R$3,0,0,'Données projet'!$E$9+1,1))-AVERAGE(OFFSET($H$3,0,0,'Données projet'!$E$9+1,1))</f>
        <v>280.69347314340195</v>
      </c>
      <c r="T139" s="59">
        <f t="shared" si="142"/>
        <v>152.40533828556482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124.30377219695957</v>
      </c>
      <c r="AA139" s="21">
        <f>EXP(-LN(2)/25)*AA138+(1-EXP(-LN(2)/25))/(LN(2)/25)*Calculateur!V139*Calculateur!X139*VLOOKUP('Données projet'!$B$9,Paramètres!$A$1:$I$89,3,0)*0.475*44/12</f>
        <v>35.044902972234866</v>
      </c>
      <c r="AB139" s="21">
        <f>EXP(-LN(2)/2)*AB138+(1-EXP(-LN(2)/2))/(LN(2)/2)*V139*Y139*VLOOKUP('Données projet'!$B$9,Paramètres!$A$1:$I$89,3,0)*0.475*44/12</f>
        <v>0.24270815431191536</v>
      </c>
      <c r="AC139" s="22">
        <f t="shared" si="111"/>
        <v>159.59138332350636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0</v>
      </c>
      <c r="AJ139" s="13">
        <f>AI139*VLOOKUP('Données projet'!$B$10,Paramètres!$A$1:$I$89,3,0)*VLOOKUP('Données projet'!$B$10,Paramètres!$A$1:$I$89,5,0)</f>
        <v>0</v>
      </c>
      <c r="AK139" s="13" t="e">
        <f t="shared" si="143"/>
        <v>#NUM!</v>
      </c>
      <c r="AL139" s="20" t="e">
        <f t="shared" si="112"/>
        <v>#NUM!</v>
      </c>
      <c r="AM139" s="59" t="e">
        <f t="shared" si="113"/>
        <v>#NUM!</v>
      </c>
      <c r="AN139" s="59">
        <f ca="1">AVERAGE(OFFSET($AM$3,0,0,'Données projet'!$E$10+1,1))-AVERAGE(OFFSET($H$3,0,0,'Données projet'!$E$10+1,1))</f>
        <v>179.4725256147085</v>
      </c>
      <c r="AO139" s="59">
        <f t="shared" si="144"/>
        <v>282.16750121151176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32.052422013799138</v>
      </c>
      <c r="AV139" s="21">
        <f>EXP(-LN(2)/25)*AV138+(1-EXP(-LN(2)/25))/(LN(2)/25)*Calculateur!AQ139*Calculateur!AS139*VLOOKUP('Données projet'!$B$10,Paramètres!$A$1:$I$89,3,0)*0.475*44/12</f>
        <v>5.9408456592768539</v>
      </c>
      <c r="AW139" s="21">
        <f>EXP(-LN(2)/2)*AW138+(1-EXP(-LN(2)/2))/(LN(2)/2)*AQ139*AT139*VLOOKUP('Données projet'!$B$10,Paramètres!$A$1:$I$89,3,0)*0.475*44/12</f>
        <v>1.5687109362160912E-10</v>
      </c>
      <c r="AX139" s="21">
        <f t="shared" si="114"/>
        <v>37.993267673232864</v>
      </c>
      <c r="AY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5.3759999999999994</v>
      </c>
      <c r="BD139" s="12">
        <f>IF('Données projet'!$A$88&gt;35,BD138+BC139-BL138,IF(A139&lt;'Données projet'!$A$88,$BA$205^A139,IF(A139='Données projet'!$A$88,'Données projet'!$B$88,BD138+BC139-BL138)))</f>
        <v>198.0120000000006</v>
      </c>
      <c r="BE139" s="13">
        <f>BD139*VLOOKUP('Données projet'!$B$11,Paramètres!$A$1:$I$89,3,0)*VLOOKUP('Données projet'!$B$11,Paramètres!$A$1:$I$89,5,0)</f>
        <v>169.89429600000054</v>
      </c>
      <c r="BF139" s="13">
        <f t="shared" si="145"/>
        <v>43.066348548702905</v>
      </c>
      <c r="BG139" s="20">
        <f t="shared" si="115"/>
        <v>370.90645592232516</v>
      </c>
      <c r="BH139" s="59">
        <f t="shared" si="116"/>
        <v>664.23978925565848</v>
      </c>
      <c r="BI139" s="59">
        <f ca="1">AVERAGE(OFFSET($BH$3,0,0,'Données projet'!$E$11+1,1))-AVERAGE(OFFSET($H$3,0,0,'Données projet'!$E$11+1,1))</f>
        <v>312.89478437044261</v>
      </c>
      <c r="BJ139" s="59">
        <f t="shared" si="146"/>
        <v>276.16555507854571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>
        <f>EXP(-LN(2)/35)*BP138+(1-EXP(-LN(2)/35))/(LN(2)/35)*BL139*BM139*VLOOKUP('Données projet'!$B$11,Paramètres!$A$1:$I$89,3,0)*0.475*44/12</f>
        <v>72.865914753429735</v>
      </c>
      <c r="BQ139" s="21">
        <f>EXP(-LN(2)/25)*BQ138+(1-EXP(-LN(2)/25))/(LN(2)/25)*Calculateur!BL139*Calculateur!BN139*VLOOKUP('Données projet'!$B$11,Paramètres!$A$1:$I$89,3,0)*0.475*44/12</f>
        <v>27.151842521538789</v>
      </c>
      <c r="BR139" s="21">
        <f>EXP(-LN(2)/2)*BR138+(1-EXP(-LN(2)/2))/(LN(2)/2)*BL139*BO139*VLOOKUP('Données projet'!$B$11,Paramètres!$A$1:$I$89,3,0)*0.475*44/12</f>
        <v>2.6114208402030012</v>
      </c>
      <c r="BS139" s="22">
        <f t="shared" si="117"/>
        <v>102.62917811517151</v>
      </c>
      <c r="BT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0</v>
      </c>
      <c r="BZ139" s="13" t="e">
        <f>BY139*VLOOKUP('Données projet'!$B$12,Paramètres!$A$1:$I$89,3,0)*VLOOKUP('Données projet'!$B$12,Paramètres!$A$1:$I$89,5,0)</f>
        <v>#N/A</v>
      </c>
      <c r="CA139" s="13" t="e">
        <f t="shared" si="147"/>
        <v>#N/A</v>
      </c>
      <c r="CB139" s="20" t="e">
        <f t="shared" si="118"/>
        <v>#N/A</v>
      </c>
      <c r="CC139" s="59" t="e">
        <f t="shared" si="119"/>
        <v>#N/A</v>
      </c>
      <c r="CD139" s="59" t="e">
        <f ca="1">AVERAGE(OFFSET($CC$3,0,0,'Données projet'!$E$12+1,1))-AVERAGE(OFFSET($H$3,0,0,'Données projet'!$E$12+1,1))</f>
        <v>#N/A</v>
      </c>
      <c r="CE139" s="59" t="e">
        <f t="shared" si="148"/>
        <v>#N/A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 t="e">
        <f>EXP(-LN(2)/35)*CK138+(1-EXP(-LN(2)/35))/(LN(2)/35)*CG139*CH139*VLOOKUP('Données projet'!$B$12,Paramètres!$A$1:$I$89,3,0)*0.475*44/12</f>
        <v>#N/A</v>
      </c>
      <c r="CL139" s="21" t="e">
        <f>EXP(-LN(2)/25)*CL138+(1-EXP(-LN(2)/25))/(LN(2)/25)*Calculateur!CG139*Calculateur!CI139*VLOOKUP('Données projet'!$B$12,Paramètres!$A$1:$I$89,3,0)*0.475*44/12</f>
        <v>#N/A</v>
      </c>
      <c r="CM139" s="21" t="e">
        <f>EXP(-LN(2)/2)*CM138+(1-EXP(-LN(2)/2))/(LN(2)/2)*CG139*CJ139*VLOOKUP('Données projet'!$B$12,Paramètres!$A$1:$I$89,3,0)*0.475*44/12</f>
        <v>#N/A</v>
      </c>
      <c r="CN139" s="22" t="e">
        <f t="shared" si="120"/>
        <v>#N/A</v>
      </c>
      <c r="CO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0</v>
      </c>
      <c r="CU139" s="17" t="e">
        <f>CT139*VLOOKUP('Données projet'!$B$13,Paramètres!$A$1:$I$89,3,0)*VLOOKUP('Données projet'!$B$13,Paramètres!$A$1:$I$89,5,0)</f>
        <v>#N/A</v>
      </c>
      <c r="CV139" s="13" t="e">
        <f t="shared" si="149"/>
        <v>#N/A</v>
      </c>
      <c r="CW139" s="20" t="e">
        <f t="shared" si="121"/>
        <v>#N/A</v>
      </c>
      <c r="CX139" s="59" t="e">
        <f t="shared" si="122"/>
        <v>#N/A</v>
      </c>
      <c r="CY139" s="59" t="e">
        <f ca="1">AVERAGE(OFFSET($CX$3,0,0,'Données projet'!$E$13+1,1))-AVERAGE(OFFSET($H$3,0,0,'Données projet'!$E$13+1,1))</f>
        <v>#N/A</v>
      </c>
      <c r="CZ139" s="59" t="e">
        <f t="shared" si="150"/>
        <v>#N/A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 t="e">
        <f>EXP(-LN(2)/35)*DF138+(1-EXP(-LN(2)/35))/(LN(2)/35)*DB139*DC139*VLOOKUP('Données projet'!$B$13,Paramètres!$A$1:$I$89,3,0)*0.475*44/12</f>
        <v>#N/A</v>
      </c>
      <c r="DG139" s="21" t="e">
        <f>EXP(-LN(2)/25)*DG138+(1-EXP(-LN(2)/25))/(LN(2)/25)*Calculateur!DB139*Calculateur!DD139*VLOOKUP('Données projet'!$B$13,Paramètres!$A$1:$I$89,3,0)*0.475*44/12</f>
        <v>#N/A</v>
      </c>
      <c r="DH139" s="21" t="e">
        <f>EXP(-LN(2)/2)*DH138+(1-EXP(-LN(2)/2))/(LN(2)/2)*DB139*DE139*VLOOKUP('Données projet'!$B$13,Paramètres!$A$1:$I$89,3,0)*0.475*44/12</f>
        <v>#N/A</v>
      </c>
      <c r="DI139" s="22" t="e">
        <f t="shared" si="123"/>
        <v>#N/A</v>
      </c>
      <c r="DJ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0</v>
      </c>
      <c r="DP139" s="17" t="e">
        <f>DO139*VLOOKUP('Données projet'!$B$14,Paramètres!$A$1:$I$89,3,0)*VLOOKUP('Données projet'!$B$14,Paramètres!$A$1:$I$89,5,0)</f>
        <v>#N/A</v>
      </c>
      <c r="DQ139" s="13" t="e">
        <f t="shared" si="151"/>
        <v>#N/A</v>
      </c>
      <c r="DR139" s="20" t="e">
        <f t="shared" si="124"/>
        <v>#N/A</v>
      </c>
      <c r="DS139" s="59" t="e">
        <f t="shared" si="125"/>
        <v>#N/A</v>
      </c>
      <c r="DT139" s="59" t="e">
        <f ca="1">AVERAGE(OFFSET($DS$3,0,0,'Données projet'!$E$14+1,1))-AVERAGE(OFFSET($H$3,0,0,'Données projet'!$E$14+1,1))</f>
        <v>#N/A</v>
      </c>
      <c r="DU139" s="59" t="e">
        <f t="shared" si="152"/>
        <v>#N/A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 t="e">
        <f>EXP(-LN(2)/35)*EA138+(1-EXP(-LN(2)/35))/(LN(2)/35)*DW139*DX139*VLOOKUP('Données projet'!$B$14,Paramètres!$A$1:$I$89,3,0)*0.475*44/12</f>
        <v>#N/A</v>
      </c>
      <c r="EB139" s="21" t="e">
        <f>EXP(-LN(2)/25)*EB138+(1-EXP(-LN(2)/25))/(LN(2)/25)*Calculateur!DW139*Calculateur!DY139*VLOOKUP('Données projet'!$B$14,Paramètres!$A$1:$I$89,3,0)*0.475*44/12</f>
        <v>#N/A</v>
      </c>
      <c r="EC139" s="21" t="e">
        <f>EXP(-LN(2)/2)*EC138+(1-EXP(-LN(2)/2))/(LN(2)/2)*DW139*DZ139*VLOOKUP('Données projet'!$B$14,Paramètres!$A$1:$I$89,3,0)*0.475*44/12</f>
        <v>#N/A</v>
      </c>
      <c r="ED139" s="22" t="e">
        <f t="shared" si="126"/>
        <v>#N/A</v>
      </c>
      <c r="EE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0</v>
      </c>
      <c r="EK139" s="17" t="e">
        <f>EJ139*VLOOKUP('Données projet'!$B$15,Paramètres!$A$1:$I$89,3,0)*VLOOKUP('Données projet'!$B$15,Paramètres!$A$1:$I$89,5,0)</f>
        <v>#N/A</v>
      </c>
      <c r="EL139" s="13" t="e">
        <f t="shared" si="153"/>
        <v>#N/A</v>
      </c>
      <c r="EM139" s="20" t="e">
        <f t="shared" si="127"/>
        <v>#N/A</v>
      </c>
      <c r="EN139" s="59" t="e">
        <f t="shared" si="128"/>
        <v>#N/A</v>
      </c>
      <c r="EO139" s="59" t="e">
        <f ca="1">AVERAGE(OFFSET($EN$3,0,0,'Données projet'!$E$15+1,1))-AVERAGE(OFFSET($H$3,0,0,'Données projet'!$E$15+1,1))</f>
        <v>#N/A</v>
      </c>
      <c r="EP139" s="59" t="e">
        <f t="shared" si="154"/>
        <v>#N/A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 t="e">
        <f>EXP(-LN(2)/35)*EV138+(1-EXP(-LN(2)/35))/(LN(2)/35)*ER139*ES139*VLOOKUP('Données projet'!$B$15,Paramètres!$A$1:$I$89,3,0)*0.475*44/12</f>
        <v>#N/A</v>
      </c>
      <c r="EW139" s="21" t="e">
        <f>EXP(-LN(2)/25)*EW138+(1-EXP(-LN(2)/25))/(LN(2)/25)*Calculateur!ER139*Calculateur!ET139*VLOOKUP('Données projet'!$B$15,Paramètres!$A$1:$I$89,3,0)*0.475*44/12</f>
        <v>#N/A</v>
      </c>
      <c r="EX139" s="21" t="e">
        <f>EXP(-LN(2)/2)*EX138+(1-EXP(-LN(2)/2))/(LN(2)/2)*ER139*EU139*VLOOKUP('Données projet'!$B$15,Paramètres!$A$1:$I$89,3,0)*0.475*44/12</f>
        <v>#N/A</v>
      </c>
      <c r="EY139" s="22" t="e">
        <f t="shared" si="129"/>
        <v>#N/A</v>
      </c>
      <c r="EZ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9" t="e">
        <f t="shared" si="131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45">
      <c r="A140" s="10">
        <f t="shared" si="139"/>
        <v>137</v>
      </c>
      <c r="B140" s="73">
        <f>'Scénario référence'!$B$16*5+'Scénario référence'!$B$17*0+'Scénario référence'!$B$18*5</f>
        <v>0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121.82040000000023</v>
      </c>
      <c r="D140" s="11">
        <f t="shared" si="140"/>
        <v>32.09920494137846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">
        <f>IF(OR('Scénario référence'!$F$8&gt;0,'Scénario référence'!$F$9&gt;0),('Scénario référence'!$F$8+'Scénario référence'!$F$9)*10,0)</f>
        <v>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1188.1513363895899</v>
      </c>
      <c r="H140" s="67">
        <f t="shared" si="110"/>
        <v>524.74331193956789</v>
      </c>
      <c r="I140" s="7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1.7053025658242404E-13</v>
      </c>
      <c r="O140" s="13">
        <f>N140*VLOOKUP('Données projet'!$B$9,Paramètres!$A$1:$I$89,3,0)*VLOOKUP('Données projet'!$B$9,Paramètres!$A$1:$I$89,5,0)</f>
        <v>9.5326413429575044E-14</v>
      </c>
      <c r="P140" s="13">
        <f t="shared" si="141"/>
        <v>1.4400742856080346E-12</v>
      </c>
      <c r="Q140" s="20">
        <f t="shared" si="108"/>
        <v>2.6741562174905032E-12</v>
      </c>
      <c r="R140" s="59">
        <f t="shared" si="109"/>
        <v>293.33333333333599</v>
      </c>
      <c r="S140" s="59">
        <f ca="1">AVERAGE(OFFSET($R$3,0,0,'Données projet'!$E$9+1,1))-AVERAGE(OFFSET($H$3,0,0,'Données projet'!$E$9+1,1))</f>
        <v>280.69347314340195</v>
      </c>
      <c r="T140" s="59">
        <f t="shared" si="142"/>
        <v>152.40533828556482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121.86625104199184</v>
      </c>
      <c r="AA140" s="21">
        <f>EXP(-LN(2)/25)*AA139+(1-EXP(-LN(2)/25))/(LN(2)/25)*Calculateur!V140*Calculateur!X140*VLOOKUP('Données projet'!$B$9,Paramètres!$A$1:$I$89,3,0)*0.475*44/12</f>
        <v>34.086598257527754</v>
      </c>
      <c r="AB140" s="21">
        <f>EXP(-LN(2)/2)*AB139+(1-EXP(-LN(2)/2))/(LN(2)/2)*V140*Y140*VLOOKUP('Données projet'!$B$9,Paramètres!$A$1:$I$89,3,0)*0.475*44/12</f>
        <v>0.17162058176322637</v>
      </c>
      <c r="AC140" s="22">
        <f t="shared" si="111"/>
        <v>156.12446988128281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0</v>
      </c>
      <c r="AJ140" s="13">
        <f>AI140*VLOOKUP('Données projet'!$B$10,Paramètres!$A$1:$I$89,3,0)*VLOOKUP('Données projet'!$B$10,Paramètres!$A$1:$I$89,5,0)</f>
        <v>0</v>
      </c>
      <c r="AK140" s="13" t="e">
        <f t="shared" si="143"/>
        <v>#NUM!</v>
      </c>
      <c r="AL140" s="20" t="e">
        <f t="shared" si="112"/>
        <v>#NUM!</v>
      </c>
      <c r="AM140" s="59" t="e">
        <f t="shared" si="113"/>
        <v>#NUM!</v>
      </c>
      <c r="AN140" s="59">
        <f ca="1">AVERAGE(OFFSET($AM$3,0,0,'Données projet'!$E$10+1,1))-AVERAGE(OFFSET($H$3,0,0,'Données projet'!$E$10+1,1))</f>
        <v>179.4725256147085</v>
      </c>
      <c r="AO140" s="59">
        <f t="shared" si="144"/>
        <v>282.16750121151176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31.42389356815556</v>
      </c>
      <c r="AV140" s="21">
        <f>EXP(-LN(2)/25)*AV139+(1-EXP(-LN(2)/25))/(LN(2)/25)*Calculateur!AQ140*Calculateur!AS140*VLOOKUP('Données projet'!$B$10,Paramètres!$A$1:$I$89,3,0)*0.475*44/12</f>
        <v>5.7783929223084334</v>
      </c>
      <c r="AW140" s="21">
        <f>EXP(-LN(2)/2)*AW139+(1-EXP(-LN(2)/2))/(LN(2)/2)*AQ140*AT140*VLOOKUP('Données projet'!$B$10,Paramètres!$A$1:$I$89,3,0)*0.475*44/12</f>
        <v>1.1092461407198957E-10</v>
      </c>
      <c r="AX140" s="21">
        <f t="shared" si="114"/>
        <v>37.202286490574913</v>
      </c>
      <c r="AY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5.3759999999999994</v>
      </c>
      <c r="BD140" s="12">
        <f>IF('Données projet'!$A$88&gt;35,BD139+BC140-BL139,IF(A140&lt;'Données projet'!$A$88,$BA$205^A140,IF(A140='Données projet'!$A$88,'Données projet'!$B$88,BD139+BC140-BL139)))</f>
        <v>203.3880000000006</v>
      </c>
      <c r="BE140" s="13">
        <f>BD140*VLOOKUP('Données projet'!$B$11,Paramètres!$A$1:$I$89,3,0)*VLOOKUP('Données projet'!$B$11,Paramètres!$A$1:$I$89,5,0)</f>
        <v>174.50690400000053</v>
      </c>
      <c r="BF140" s="13">
        <f t="shared" si="145"/>
        <v>44.097877859243965</v>
      </c>
      <c r="BG140" s="20">
        <f t="shared" si="115"/>
        <v>380.73666173818418</v>
      </c>
      <c r="BH140" s="59">
        <f t="shared" si="116"/>
        <v>674.0699950715175</v>
      </c>
      <c r="BI140" s="59">
        <f ca="1">AVERAGE(OFFSET($BH$3,0,0,'Données projet'!$E$11+1,1))-AVERAGE(OFFSET($H$3,0,0,'Données projet'!$E$11+1,1))</f>
        <v>312.89478437044261</v>
      </c>
      <c r="BJ140" s="59">
        <f t="shared" si="146"/>
        <v>276.16555507854571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>
        <f>EXP(-LN(2)/35)*BP139+(1-EXP(-LN(2)/35))/(LN(2)/35)*BL140*BM140*VLOOKUP('Données projet'!$B$11,Paramètres!$A$1:$I$89,3,0)*0.475*44/12</f>
        <v>71.437058608934521</v>
      </c>
      <c r="BQ140" s="21">
        <f>EXP(-LN(2)/25)*BQ139+(1-EXP(-LN(2)/25))/(LN(2)/25)*Calculateur!BL140*Calculateur!BN140*VLOOKUP('Données projet'!$B$11,Paramètres!$A$1:$I$89,3,0)*0.475*44/12</f>
        <v>26.409373959933969</v>
      </c>
      <c r="BR140" s="21">
        <f>EXP(-LN(2)/2)*BR139+(1-EXP(-LN(2)/2))/(LN(2)/2)*BL140*BO140*VLOOKUP('Données projet'!$B$11,Paramètres!$A$1:$I$89,3,0)*0.475*44/12</f>
        <v>1.8465533846394138</v>
      </c>
      <c r="BS140" s="22">
        <f t="shared" si="117"/>
        <v>99.6929859535079</v>
      </c>
      <c r="BT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0</v>
      </c>
      <c r="BZ140" s="13" t="e">
        <f>BY140*VLOOKUP('Données projet'!$B$12,Paramètres!$A$1:$I$89,3,0)*VLOOKUP('Données projet'!$B$12,Paramètres!$A$1:$I$89,5,0)</f>
        <v>#N/A</v>
      </c>
      <c r="CA140" s="13" t="e">
        <f t="shared" si="147"/>
        <v>#N/A</v>
      </c>
      <c r="CB140" s="20" t="e">
        <f t="shared" si="118"/>
        <v>#N/A</v>
      </c>
      <c r="CC140" s="59" t="e">
        <f t="shared" si="119"/>
        <v>#N/A</v>
      </c>
      <c r="CD140" s="59" t="e">
        <f ca="1">AVERAGE(OFFSET($CC$3,0,0,'Données projet'!$E$12+1,1))-AVERAGE(OFFSET($H$3,0,0,'Données projet'!$E$12+1,1))</f>
        <v>#N/A</v>
      </c>
      <c r="CE140" s="59" t="e">
        <f t="shared" si="148"/>
        <v>#N/A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 t="e">
        <f>EXP(-LN(2)/35)*CK139+(1-EXP(-LN(2)/35))/(LN(2)/35)*CG140*CH140*VLOOKUP('Données projet'!$B$12,Paramètres!$A$1:$I$89,3,0)*0.475*44/12</f>
        <v>#N/A</v>
      </c>
      <c r="CL140" s="21" t="e">
        <f>EXP(-LN(2)/25)*CL139+(1-EXP(-LN(2)/25))/(LN(2)/25)*Calculateur!CG140*Calculateur!CI140*VLOOKUP('Données projet'!$B$12,Paramètres!$A$1:$I$89,3,0)*0.475*44/12</f>
        <v>#N/A</v>
      </c>
      <c r="CM140" s="21" t="e">
        <f>EXP(-LN(2)/2)*CM139+(1-EXP(-LN(2)/2))/(LN(2)/2)*CG140*CJ140*VLOOKUP('Données projet'!$B$12,Paramètres!$A$1:$I$89,3,0)*0.475*44/12</f>
        <v>#N/A</v>
      </c>
      <c r="CN140" s="22" t="e">
        <f t="shared" si="120"/>
        <v>#N/A</v>
      </c>
      <c r="CO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0</v>
      </c>
      <c r="CU140" s="17" t="e">
        <f>CT140*VLOOKUP('Données projet'!$B$13,Paramètres!$A$1:$I$89,3,0)*VLOOKUP('Données projet'!$B$13,Paramètres!$A$1:$I$89,5,0)</f>
        <v>#N/A</v>
      </c>
      <c r="CV140" s="13" t="e">
        <f t="shared" si="149"/>
        <v>#N/A</v>
      </c>
      <c r="CW140" s="20" t="e">
        <f t="shared" si="121"/>
        <v>#N/A</v>
      </c>
      <c r="CX140" s="59" t="e">
        <f t="shared" si="122"/>
        <v>#N/A</v>
      </c>
      <c r="CY140" s="59" t="e">
        <f ca="1">AVERAGE(OFFSET($CX$3,0,0,'Données projet'!$E$13+1,1))-AVERAGE(OFFSET($H$3,0,0,'Données projet'!$E$13+1,1))</f>
        <v>#N/A</v>
      </c>
      <c r="CZ140" s="59" t="e">
        <f t="shared" si="150"/>
        <v>#N/A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 t="e">
        <f>EXP(-LN(2)/35)*DF139+(1-EXP(-LN(2)/35))/(LN(2)/35)*DB140*DC140*VLOOKUP('Données projet'!$B$13,Paramètres!$A$1:$I$89,3,0)*0.475*44/12</f>
        <v>#N/A</v>
      </c>
      <c r="DG140" s="21" t="e">
        <f>EXP(-LN(2)/25)*DG139+(1-EXP(-LN(2)/25))/(LN(2)/25)*Calculateur!DB140*Calculateur!DD140*VLOOKUP('Données projet'!$B$13,Paramètres!$A$1:$I$89,3,0)*0.475*44/12</f>
        <v>#N/A</v>
      </c>
      <c r="DH140" s="21" t="e">
        <f>EXP(-LN(2)/2)*DH139+(1-EXP(-LN(2)/2))/(LN(2)/2)*DB140*DE140*VLOOKUP('Données projet'!$B$13,Paramètres!$A$1:$I$89,3,0)*0.475*44/12</f>
        <v>#N/A</v>
      </c>
      <c r="DI140" s="22" t="e">
        <f t="shared" si="123"/>
        <v>#N/A</v>
      </c>
      <c r="DJ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0</v>
      </c>
      <c r="DP140" s="17" t="e">
        <f>DO140*VLOOKUP('Données projet'!$B$14,Paramètres!$A$1:$I$89,3,0)*VLOOKUP('Données projet'!$B$14,Paramètres!$A$1:$I$89,5,0)</f>
        <v>#N/A</v>
      </c>
      <c r="DQ140" s="13" t="e">
        <f t="shared" si="151"/>
        <v>#N/A</v>
      </c>
      <c r="DR140" s="20" t="e">
        <f t="shared" si="124"/>
        <v>#N/A</v>
      </c>
      <c r="DS140" s="59" t="e">
        <f t="shared" si="125"/>
        <v>#N/A</v>
      </c>
      <c r="DT140" s="59" t="e">
        <f ca="1">AVERAGE(OFFSET($DS$3,0,0,'Données projet'!$E$14+1,1))-AVERAGE(OFFSET($H$3,0,0,'Données projet'!$E$14+1,1))</f>
        <v>#N/A</v>
      </c>
      <c r="DU140" s="59" t="e">
        <f t="shared" si="152"/>
        <v>#N/A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 t="e">
        <f>EXP(-LN(2)/35)*EA139+(1-EXP(-LN(2)/35))/(LN(2)/35)*DW140*DX140*VLOOKUP('Données projet'!$B$14,Paramètres!$A$1:$I$89,3,0)*0.475*44/12</f>
        <v>#N/A</v>
      </c>
      <c r="EB140" s="21" t="e">
        <f>EXP(-LN(2)/25)*EB139+(1-EXP(-LN(2)/25))/(LN(2)/25)*Calculateur!DW140*Calculateur!DY140*VLOOKUP('Données projet'!$B$14,Paramètres!$A$1:$I$89,3,0)*0.475*44/12</f>
        <v>#N/A</v>
      </c>
      <c r="EC140" s="21" t="e">
        <f>EXP(-LN(2)/2)*EC139+(1-EXP(-LN(2)/2))/(LN(2)/2)*DW140*DZ140*VLOOKUP('Données projet'!$B$14,Paramètres!$A$1:$I$89,3,0)*0.475*44/12</f>
        <v>#N/A</v>
      </c>
      <c r="ED140" s="22" t="e">
        <f t="shared" si="126"/>
        <v>#N/A</v>
      </c>
      <c r="EE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0</v>
      </c>
      <c r="EK140" s="17" t="e">
        <f>EJ140*VLOOKUP('Données projet'!$B$15,Paramètres!$A$1:$I$89,3,0)*VLOOKUP('Données projet'!$B$15,Paramètres!$A$1:$I$89,5,0)</f>
        <v>#N/A</v>
      </c>
      <c r="EL140" s="13" t="e">
        <f t="shared" si="153"/>
        <v>#N/A</v>
      </c>
      <c r="EM140" s="20" t="e">
        <f t="shared" si="127"/>
        <v>#N/A</v>
      </c>
      <c r="EN140" s="59" t="e">
        <f t="shared" si="128"/>
        <v>#N/A</v>
      </c>
      <c r="EO140" s="59" t="e">
        <f ca="1">AVERAGE(OFFSET($EN$3,0,0,'Données projet'!$E$15+1,1))-AVERAGE(OFFSET($H$3,0,0,'Données projet'!$E$15+1,1))</f>
        <v>#N/A</v>
      </c>
      <c r="EP140" s="59" t="e">
        <f t="shared" si="154"/>
        <v>#N/A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 t="e">
        <f>EXP(-LN(2)/35)*EV139+(1-EXP(-LN(2)/35))/(LN(2)/35)*ER140*ES140*VLOOKUP('Données projet'!$B$15,Paramètres!$A$1:$I$89,3,0)*0.475*44/12</f>
        <v>#N/A</v>
      </c>
      <c r="EW140" s="21" t="e">
        <f>EXP(-LN(2)/25)*EW139+(1-EXP(-LN(2)/25))/(LN(2)/25)*Calculateur!ER140*Calculateur!ET140*VLOOKUP('Données projet'!$B$15,Paramètres!$A$1:$I$89,3,0)*0.475*44/12</f>
        <v>#N/A</v>
      </c>
      <c r="EX140" s="21" t="e">
        <f>EXP(-LN(2)/2)*EX139+(1-EXP(-LN(2)/2))/(LN(2)/2)*ER140*EU140*VLOOKUP('Données projet'!$B$15,Paramètres!$A$1:$I$89,3,0)*0.475*44/12</f>
        <v>#N/A</v>
      </c>
      <c r="EY140" s="22" t="e">
        <f t="shared" si="129"/>
        <v>#N/A</v>
      </c>
      <c r="EZ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9" t="e">
        <f t="shared" si="131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45">
      <c r="A141" s="10">
        <f t="shared" si="139"/>
        <v>138</v>
      </c>
      <c r="B141" s="73">
        <f>'Scénario référence'!$B$16*5+'Scénario référence'!$B$17*0+'Scénario référence'!$B$18*5</f>
        <v>0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122.70960000000024</v>
      </c>
      <c r="D141" s="11">
        <f t="shared" si="140"/>
        <v>32.306145387002346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">
        <f>IF(OR('Scénario référence'!$F$8&gt;0,'Scénario référence'!$F$9&gt;0),('Scénario référence'!$F$8+'Scénario référence'!$F$9)*10,0)</f>
        <v>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1196.6127714084412</v>
      </c>
      <c r="H141" s="67">
        <f t="shared" si="110"/>
        <v>526.65242321569622</v>
      </c>
      <c r="I141" s="7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1.7053025658242404E-13</v>
      </c>
      <c r="O141" s="13">
        <f>N141*VLOOKUP('Données projet'!$B$9,Paramètres!$A$1:$I$89,3,0)*VLOOKUP('Données projet'!$B$9,Paramètres!$A$1:$I$89,5,0)</f>
        <v>9.5326413429575044E-14</v>
      </c>
      <c r="P141" s="13">
        <f t="shared" si="141"/>
        <v>1.4400742856080346E-12</v>
      </c>
      <c r="Q141" s="20">
        <f t="shared" si="108"/>
        <v>2.6741562174905032E-12</v>
      </c>
      <c r="R141" s="59">
        <f t="shared" si="109"/>
        <v>293.33333333333599</v>
      </c>
      <c r="S141" s="59">
        <f ca="1">AVERAGE(OFFSET($R$3,0,0,'Données projet'!$E$9+1,1))-AVERAGE(OFFSET($H$3,0,0,'Données projet'!$E$9+1,1))</f>
        <v>280.69347314340195</v>
      </c>
      <c r="T141" s="59">
        <f t="shared" si="142"/>
        <v>152.40533828556482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119.47652819013193</v>
      </c>
      <c r="AA141" s="21">
        <f>EXP(-LN(2)/25)*AA140+(1-EXP(-LN(2)/25))/(LN(2)/25)*Calculateur!V141*Calculateur!X141*VLOOKUP('Données projet'!$B$9,Paramètres!$A$1:$I$89,3,0)*0.475*44/12</f>
        <v>33.154498435639361</v>
      </c>
      <c r="AB141" s="21">
        <f>EXP(-LN(2)/2)*AB140+(1-EXP(-LN(2)/2))/(LN(2)/2)*V141*Y141*VLOOKUP('Données projet'!$B$9,Paramètres!$A$1:$I$89,3,0)*0.475*44/12</f>
        <v>0.1213540771559577</v>
      </c>
      <c r="AC141" s="22">
        <f t="shared" si="111"/>
        <v>152.75238070292724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0</v>
      </c>
      <c r="AJ141" s="13">
        <f>AI141*VLOOKUP('Données projet'!$B$10,Paramètres!$A$1:$I$89,3,0)*VLOOKUP('Données projet'!$B$10,Paramètres!$A$1:$I$89,5,0)</f>
        <v>0</v>
      </c>
      <c r="AK141" s="13" t="e">
        <f t="shared" si="143"/>
        <v>#NUM!</v>
      </c>
      <c r="AL141" s="20" t="e">
        <f t="shared" si="112"/>
        <v>#NUM!</v>
      </c>
      <c r="AM141" s="59" t="e">
        <f t="shared" si="113"/>
        <v>#NUM!</v>
      </c>
      <c r="AN141" s="59">
        <f ca="1">AVERAGE(OFFSET($AM$3,0,0,'Données projet'!$E$10+1,1))-AVERAGE(OFFSET($H$3,0,0,'Données projet'!$E$10+1,1))</f>
        <v>179.4725256147085</v>
      </c>
      <c r="AO141" s="59">
        <f t="shared" si="144"/>
        <v>282.16750121151176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30.807690181966553</v>
      </c>
      <c r="AV141" s="21">
        <f>EXP(-LN(2)/25)*AV140+(1-EXP(-LN(2)/25))/(LN(2)/25)*Calculateur!AQ141*Calculateur!AS141*VLOOKUP('Données projet'!$B$10,Paramètres!$A$1:$I$89,3,0)*0.475*44/12</f>
        <v>5.6203824639754325</v>
      </c>
      <c r="AW141" s="21">
        <f>EXP(-LN(2)/2)*AW140+(1-EXP(-LN(2)/2))/(LN(2)/2)*AQ141*AT141*VLOOKUP('Données projet'!$B$10,Paramètres!$A$1:$I$89,3,0)*0.475*44/12</f>
        <v>7.843554681080456E-11</v>
      </c>
      <c r="AX141" s="21">
        <f t="shared" si="114"/>
        <v>36.428072646020425</v>
      </c>
      <c r="AY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5.3759999999999994</v>
      </c>
      <c r="BD141" s="12">
        <f>IF('Données projet'!$A$88&gt;35,BD140+BC141-BL140,IF(A141&lt;'Données projet'!$A$88,$BA$205^A141,IF(A141='Données projet'!$A$88,'Données projet'!$B$88,BD140+BC141-BL140)))</f>
        <v>208.76400000000061</v>
      </c>
      <c r="BE141" s="13">
        <f>BD141*VLOOKUP('Données projet'!$B$11,Paramètres!$A$1:$I$89,3,0)*VLOOKUP('Données projet'!$B$11,Paramètres!$A$1:$I$89,5,0)</f>
        <v>179.11951200000053</v>
      </c>
      <c r="BF141" s="13">
        <f t="shared" si="145"/>
        <v>45.126237937997139</v>
      </c>
      <c r="BG141" s="20">
        <f t="shared" si="115"/>
        <v>390.56134780867916</v>
      </c>
      <c r="BH141" s="59">
        <f t="shared" si="116"/>
        <v>683.89468114201247</v>
      </c>
      <c r="BI141" s="59">
        <f ca="1">AVERAGE(OFFSET($BH$3,0,0,'Données projet'!$E$11+1,1))-AVERAGE(OFFSET($H$3,0,0,'Données projet'!$E$11+1,1))</f>
        <v>312.89478437044261</v>
      </c>
      <c r="BJ141" s="59">
        <f t="shared" si="146"/>
        <v>276.16555507854571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>
        <f>EXP(-LN(2)/35)*BP140+(1-EXP(-LN(2)/35))/(LN(2)/35)*BL141*BM141*VLOOKUP('Données projet'!$B$11,Paramètres!$A$1:$I$89,3,0)*0.475*44/12</f>
        <v>70.036221461916654</v>
      </c>
      <c r="BQ141" s="21">
        <f>EXP(-LN(2)/25)*BQ140+(1-EXP(-LN(2)/25))/(LN(2)/25)*Calculateur!BL141*Calculateur!BN141*VLOOKUP('Données projet'!$B$11,Paramètres!$A$1:$I$89,3,0)*0.475*44/12</f>
        <v>25.687208240190959</v>
      </c>
      <c r="BR141" s="21">
        <f>EXP(-LN(2)/2)*BR140+(1-EXP(-LN(2)/2))/(LN(2)/2)*BL141*BO141*VLOOKUP('Données projet'!$B$11,Paramètres!$A$1:$I$89,3,0)*0.475*44/12</f>
        <v>1.3057104201015008</v>
      </c>
      <c r="BS141" s="22">
        <f t="shared" si="117"/>
        <v>97.029140122209114</v>
      </c>
      <c r="BT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0</v>
      </c>
      <c r="BZ141" s="13" t="e">
        <f>BY141*VLOOKUP('Données projet'!$B$12,Paramètres!$A$1:$I$89,3,0)*VLOOKUP('Données projet'!$B$12,Paramètres!$A$1:$I$89,5,0)</f>
        <v>#N/A</v>
      </c>
      <c r="CA141" s="13" t="e">
        <f t="shared" si="147"/>
        <v>#N/A</v>
      </c>
      <c r="CB141" s="20" t="e">
        <f t="shared" si="118"/>
        <v>#N/A</v>
      </c>
      <c r="CC141" s="59" t="e">
        <f t="shared" si="119"/>
        <v>#N/A</v>
      </c>
      <c r="CD141" s="59" t="e">
        <f ca="1">AVERAGE(OFFSET($CC$3,0,0,'Données projet'!$E$12+1,1))-AVERAGE(OFFSET($H$3,0,0,'Données projet'!$E$12+1,1))</f>
        <v>#N/A</v>
      </c>
      <c r="CE141" s="59" t="e">
        <f t="shared" si="148"/>
        <v>#N/A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 t="e">
        <f>EXP(-LN(2)/35)*CK140+(1-EXP(-LN(2)/35))/(LN(2)/35)*CG141*CH141*VLOOKUP('Données projet'!$B$12,Paramètres!$A$1:$I$89,3,0)*0.475*44/12</f>
        <v>#N/A</v>
      </c>
      <c r="CL141" s="21" t="e">
        <f>EXP(-LN(2)/25)*CL140+(1-EXP(-LN(2)/25))/(LN(2)/25)*Calculateur!CG141*Calculateur!CI141*VLOOKUP('Données projet'!$B$12,Paramètres!$A$1:$I$89,3,0)*0.475*44/12</f>
        <v>#N/A</v>
      </c>
      <c r="CM141" s="21" t="e">
        <f>EXP(-LN(2)/2)*CM140+(1-EXP(-LN(2)/2))/(LN(2)/2)*CG141*CJ141*VLOOKUP('Données projet'!$B$12,Paramètres!$A$1:$I$89,3,0)*0.475*44/12</f>
        <v>#N/A</v>
      </c>
      <c r="CN141" s="22" t="e">
        <f t="shared" si="120"/>
        <v>#N/A</v>
      </c>
      <c r="CO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0</v>
      </c>
      <c r="CU141" s="17" t="e">
        <f>CT141*VLOOKUP('Données projet'!$B$13,Paramètres!$A$1:$I$89,3,0)*VLOOKUP('Données projet'!$B$13,Paramètres!$A$1:$I$89,5,0)</f>
        <v>#N/A</v>
      </c>
      <c r="CV141" s="13" t="e">
        <f t="shared" si="149"/>
        <v>#N/A</v>
      </c>
      <c r="CW141" s="20" t="e">
        <f t="shared" si="121"/>
        <v>#N/A</v>
      </c>
      <c r="CX141" s="59" t="e">
        <f t="shared" si="122"/>
        <v>#N/A</v>
      </c>
      <c r="CY141" s="59" t="e">
        <f ca="1">AVERAGE(OFFSET($CX$3,0,0,'Données projet'!$E$13+1,1))-AVERAGE(OFFSET($H$3,0,0,'Données projet'!$E$13+1,1))</f>
        <v>#N/A</v>
      </c>
      <c r="CZ141" s="59" t="e">
        <f t="shared" si="150"/>
        <v>#N/A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 t="e">
        <f>EXP(-LN(2)/35)*DF140+(1-EXP(-LN(2)/35))/(LN(2)/35)*DB141*DC141*VLOOKUP('Données projet'!$B$13,Paramètres!$A$1:$I$89,3,0)*0.475*44/12</f>
        <v>#N/A</v>
      </c>
      <c r="DG141" s="21" t="e">
        <f>EXP(-LN(2)/25)*DG140+(1-EXP(-LN(2)/25))/(LN(2)/25)*Calculateur!DB141*Calculateur!DD141*VLOOKUP('Données projet'!$B$13,Paramètres!$A$1:$I$89,3,0)*0.475*44/12</f>
        <v>#N/A</v>
      </c>
      <c r="DH141" s="21" t="e">
        <f>EXP(-LN(2)/2)*DH140+(1-EXP(-LN(2)/2))/(LN(2)/2)*DB141*DE141*VLOOKUP('Données projet'!$B$13,Paramètres!$A$1:$I$89,3,0)*0.475*44/12</f>
        <v>#N/A</v>
      </c>
      <c r="DI141" s="22" t="e">
        <f t="shared" si="123"/>
        <v>#N/A</v>
      </c>
      <c r="DJ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0</v>
      </c>
      <c r="DP141" s="17" t="e">
        <f>DO141*VLOOKUP('Données projet'!$B$14,Paramètres!$A$1:$I$89,3,0)*VLOOKUP('Données projet'!$B$14,Paramètres!$A$1:$I$89,5,0)</f>
        <v>#N/A</v>
      </c>
      <c r="DQ141" s="13" t="e">
        <f t="shared" si="151"/>
        <v>#N/A</v>
      </c>
      <c r="DR141" s="20" t="e">
        <f t="shared" si="124"/>
        <v>#N/A</v>
      </c>
      <c r="DS141" s="59" t="e">
        <f t="shared" si="125"/>
        <v>#N/A</v>
      </c>
      <c r="DT141" s="59" t="e">
        <f ca="1">AVERAGE(OFFSET($DS$3,0,0,'Données projet'!$E$14+1,1))-AVERAGE(OFFSET($H$3,0,0,'Données projet'!$E$14+1,1))</f>
        <v>#N/A</v>
      </c>
      <c r="DU141" s="59" t="e">
        <f t="shared" si="152"/>
        <v>#N/A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 t="e">
        <f>EXP(-LN(2)/35)*EA140+(1-EXP(-LN(2)/35))/(LN(2)/35)*DW141*DX141*VLOOKUP('Données projet'!$B$14,Paramètres!$A$1:$I$89,3,0)*0.475*44/12</f>
        <v>#N/A</v>
      </c>
      <c r="EB141" s="21" t="e">
        <f>EXP(-LN(2)/25)*EB140+(1-EXP(-LN(2)/25))/(LN(2)/25)*Calculateur!DW141*Calculateur!DY141*VLOOKUP('Données projet'!$B$14,Paramètres!$A$1:$I$89,3,0)*0.475*44/12</f>
        <v>#N/A</v>
      </c>
      <c r="EC141" s="21" t="e">
        <f>EXP(-LN(2)/2)*EC140+(1-EXP(-LN(2)/2))/(LN(2)/2)*DW141*DZ141*VLOOKUP('Données projet'!$B$14,Paramètres!$A$1:$I$89,3,0)*0.475*44/12</f>
        <v>#N/A</v>
      </c>
      <c r="ED141" s="22" t="e">
        <f t="shared" si="126"/>
        <v>#N/A</v>
      </c>
      <c r="EE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0</v>
      </c>
      <c r="EK141" s="17" t="e">
        <f>EJ141*VLOOKUP('Données projet'!$B$15,Paramètres!$A$1:$I$89,3,0)*VLOOKUP('Données projet'!$B$15,Paramètres!$A$1:$I$89,5,0)</f>
        <v>#N/A</v>
      </c>
      <c r="EL141" s="13" t="e">
        <f t="shared" si="153"/>
        <v>#N/A</v>
      </c>
      <c r="EM141" s="20" t="e">
        <f t="shared" si="127"/>
        <v>#N/A</v>
      </c>
      <c r="EN141" s="59" t="e">
        <f t="shared" si="128"/>
        <v>#N/A</v>
      </c>
      <c r="EO141" s="59" t="e">
        <f ca="1">AVERAGE(OFFSET($EN$3,0,0,'Données projet'!$E$15+1,1))-AVERAGE(OFFSET($H$3,0,0,'Données projet'!$E$15+1,1))</f>
        <v>#N/A</v>
      </c>
      <c r="EP141" s="59" t="e">
        <f t="shared" si="154"/>
        <v>#N/A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 t="e">
        <f>EXP(-LN(2)/35)*EV140+(1-EXP(-LN(2)/35))/(LN(2)/35)*ER141*ES141*VLOOKUP('Données projet'!$B$15,Paramètres!$A$1:$I$89,3,0)*0.475*44/12</f>
        <v>#N/A</v>
      </c>
      <c r="EW141" s="21" t="e">
        <f>EXP(-LN(2)/25)*EW140+(1-EXP(-LN(2)/25))/(LN(2)/25)*Calculateur!ER141*Calculateur!ET141*VLOOKUP('Données projet'!$B$15,Paramètres!$A$1:$I$89,3,0)*0.475*44/12</f>
        <v>#N/A</v>
      </c>
      <c r="EX141" s="21" t="e">
        <f>EXP(-LN(2)/2)*EX140+(1-EXP(-LN(2)/2))/(LN(2)/2)*ER141*EU141*VLOOKUP('Données projet'!$B$15,Paramètres!$A$1:$I$89,3,0)*0.475*44/12</f>
        <v>#N/A</v>
      </c>
      <c r="EY141" s="22" t="e">
        <f t="shared" si="129"/>
        <v>#N/A</v>
      </c>
      <c r="EZ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9" t="e">
        <f t="shared" si="131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45">
      <c r="A142" s="10">
        <f t="shared" si="139"/>
        <v>139</v>
      </c>
      <c r="B142" s="73">
        <f>'Scénario référence'!$B$16*5+'Scénario référence'!$B$17*0+'Scénario référence'!$B$18*5</f>
        <v>0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123.59880000000024</v>
      </c>
      <c r="D142" s="11">
        <f t="shared" si="140"/>
        <v>32.512911354837613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">
        <f>IF(OR('Scénario référence'!$F$8&gt;0,'Scénario référence'!$F$9&gt;0),('Scénario référence'!$F$8+'Scénario référence'!$F$9)*10,0)</f>
        <v>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1205.0728595812045</v>
      </c>
      <c r="H142" s="67">
        <f t="shared" si="110"/>
        <v>528.56123060967593</v>
      </c>
      <c r="I142" s="7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1.7053025658242404E-13</v>
      </c>
      <c r="O142" s="13">
        <f>N142*VLOOKUP('Données projet'!$B$9,Paramètres!$A$1:$I$89,3,0)*VLOOKUP('Données projet'!$B$9,Paramètres!$A$1:$I$89,5,0)</f>
        <v>9.5326413429575044E-14</v>
      </c>
      <c r="P142" s="13">
        <f t="shared" si="141"/>
        <v>1.4400742856080346E-12</v>
      </c>
      <c r="Q142" s="20">
        <f t="shared" si="108"/>
        <v>2.6741562174905032E-12</v>
      </c>
      <c r="R142" s="59">
        <f t="shared" si="109"/>
        <v>293.33333333333599</v>
      </c>
      <c r="S142" s="59">
        <f ca="1">AVERAGE(OFFSET($R$3,0,0,'Données projet'!$E$9+1,1))-AVERAGE(OFFSET($H$3,0,0,'Données projet'!$E$9+1,1))</f>
        <v>280.69347314340195</v>
      </c>
      <c r="T142" s="59">
        <f t="shared" si="142"/>
        <v>152.40533828556482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117.13366634580998</v>
      </c>
      <c r="AA142" s="21">
        <f>EXP(-LN(2)/25)*AA141+(1-EXP(-LN(2)/25))/(LN(2)/25)*Calculateur!V142*Calculateur!X142*VLOOKUP('Données projet'!$B$9,Paramètres!$A$1:$I$89,3,0)*0.475*44/12</f>
        <v>32.247886932397506</v>
      </c>
      <c r="AB142" s="21">
        <f>EXP(-LN(2)/2)*AB141+(1-EXP(-LN(2)/2))/(LN(2)/2)*V142*Y142*VLOOKUP('Données projet'!$B$9,Paramètres!$A$1:$I$89,3,0)*0.475*44/12</f>
        <v>8.5810290881613197E-2</v>
      </c>
      <c r="AC142" s="22">
        <f t="shared" si="111"/>
        <v>149.46736356908912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0</v>
      </c>
      <c r="AJ142" s="13">
        <f>AI142*VLOOKUP('Données projet'!$B$10,Paramètres!$A$1:$I$89,3,0)*VLOOKUP('Données projet'!$B$10,Paramètres!$A$1:$I$89,5,0)</f>
        <v>0</v>
      </c>
      <c r="AK142" s="13" t="e">
        <f t="shared" si="143"/>
        <v>#NUM!</v>
      </c>
      <c r="AL142" s="20" t="e">
        <f t="shared" si="112"/>
        <v>#NUM!</v>
      </c>
      <c r="AM142" s="59" t="e">
        <f t="shared" si="113"/>
        <v>#NUM!</v>
      </c>
      <c r="AN142" s="59">
        <f ca="1">AVERAGE(OFFSET($AM$3,0,0,'Données projet'!$E$10+1,1))-AVERAGE(OFFSET($H$3,0,0,'Données projet'!$E$10+1,1))</f>
        <v>179.4725256147085</v>
      </c>
      <c r="AO142" s="59">
        <f t="shared" si="144"/>
        <v>282.16750121151176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30.203570168333759</v>
      </c>
      <c r="AV142" s="21">
        <f>EXP(-LN(2)/25)*AV141+(1-EXP(-LN(2)/25))/(LN(2)/25)*Calculateur!AQ142*Calculateur!AS142*VLOOKUP('Données projet'!$B$10,Paramètres!$A$1:$I$89,3,0)*0.475*44/12</f>
        <v>5.4666928099349557</v>
      </c>
      <c r="AW142" s="21">
        <f>EXP(-LN(2)/2)*AW141+(1-EXP(-LN(2)/2))/(LN(2)/2)*AQ142*AT142*VLOOKUP('Données projet'!$B$10,Paramètres!$A$1:$I$89,3,0)*0.475*44/12</f>
        <v>5.5462307035994786E-11</v>
      </c>
      <c r="AX142" s="21">
        <f t="shared" si="114"/>
        <v>35.670262978324182</v>
      </c>
      <c r="AY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>
        <f>VLOOKUP(A142,'Données projet'!$A$87:$I$107,2,0)</f>
        <v>214.14</v>
      </c>
      <c r="BB142" s="12">
        <f>VLOOKUP(A142,'Données projet'!$A$87:$I$107,9,0)</f>
        <v>5.3759999999999994</v>
      </c>
      <c r="BC142" s="12">
        <f t="array" ref="BC142">INDEX(BB:BB,MIN(IF(ISNUMBER(BB142:BB338),ROW(BB142:BB338),"")))</f>
        <v>5.3759999999999994</v>
      </c>
      <c r="BD142" s="12">
        <f>IF('Données projet'!$A$88&gt;35,BD141+BC142-BL141,IF(A142&lt;'Données projet'!$A$88,$BA$205^A142,IF(A142='Données projet'!$A$88,'Données projet'!$B$88,BD141+BC142-BL141)))</f>
        <v>214.14000000000061</v>
      </c>
      <c r="BE142" s="13">
        <f>BD142*VLOOKUP('Données projet'!$B$11,Paramètres!$A$1:$I$89,3,0)*VLOOKUP('Données projet'!$B$11,Paramètres!$A$1:$I$89,5,0)</f>
        <v>183.73212000000055</v>
      </c>
      <c r="BF142" s="13">
        <f t="shared" si="145"/>
        <v>46.15151978129721</v>
      </c>
      <c r="BG142" s="20">
        <f t="shared" si="115"/>
        <v>400.38067261909356</v>
      </c>
      <c r="BH142" s="59">
        <f t="shared" si="116"/>
        <v>693.71400595242687</v>
      </c>
      <c r="BI142" s="59">
        <f ca="1">AVERAGE(OFFSET($BH$3,0,0,'Données projet'!$E$11+1,1))-AVERAGE(OFFSET($H$3,0,0,'Données projet'!$E$11+1,1))</f>
        <v>312.89478437044261</v>
      </c>
      <c r="BJ142" s="59">
        <f t="shared" si="146"/>
        <v>276.16555507854571</v>
      </c>
      <c r="BK142" s="15">
        <f>IF(ISNA(VLOOKUP(A142,'Données projet'!$A$87:$I$107,3,0)),0,VLOOKUP(A142,'Données projet'!$A$87:$I$107,3,0))</f>
        <v>10</v>
      </c>
      <c r="BL142" s="15">
        <f>IF(ISNA(VLOOKUP(A142,'Données projet'!$A$87:$I$107,4,0)),0,VLOOKUP(A142,'Données projet'!$A$87:$I$107,4,0))</f>
        <v>88.109999999999985</v>
      </c>
      <c r="BM142" s="16">
        <f>IF(ISNA(VLOOKUP(A142,'Données projet'!$A$87:$I$107,5,0)),0%,VLOOKUP(A142,'Données projet'!$A$87:$I$107,5,0)*VLOOKUP('Données projet'!$B$11,Paramètres!$A$1:$I$89,7,0))</f>
        <v>0.23850000000000002</v>
      </c>
      <c r="BN142" s="16">
        <f>IF(ISNA(VLOOKUP(A142,'Données projet'!$A$87:$I$107,6,0)),0%,VLOOKUP(A142,'Données projet'!$A$87:$I$107,6,0)*VLOOKUP('Données projet'!$B$11,Paramètres!$A$1:$I$89,7,0))</f>
        <v>2.6500000000000003E-2</v>
      </c>
      <c r="BO142" s="16">
        <f>IF(ISNA(VLOOKUP(A142,'Données projet'!$A$87:$I$107,7,0)),0%,VLOOKUP(A142,'Données projet'!$A$87:$I$107,7,0))</f>
        <v>0.05</v>
      </c>
      <c r="BP142" s="21">
        <f>EXP(-LN(2)/35)*BP141+(1-EXP(-LN(2)/35))/(LN(2)/35)*BL142*BM142*VLOOKUP('Données projet'!$B$11,Paramètres!$A$1:$I$89,3,0)*0.475*44/12</f>
        <v>88.594720981541798</v>
      </c>
      <c r="BQ142" s="21">
        <f>EXP(-LN(2)/25)*BQ141+(1-EXP(-LN(2)/25))/(LN(2)/25)*Calculateur!BL142*Calculateur!BN142*VLOOKUP('Données projet'!$B$11,Paramètres!$A$1:$I$89,3,0)*0.475*44/12</f>
        <v>27.190722152163435</v>
      </c>
      <c r="BR142" s="21">
        <f>EXP(-LN(2)/2)*BR141+(1-EXP(-LN(2)/2))/(LN(2)/2)*BL142*BO142*VLOOKUP('Données projet'!$B$11,Paramètres!$A$1:$I$89,3,0)*0.475*44/12</f>
        <v>4.4897320038479913</v>
      </c>
      <c r="BS142" s="22">
        <f t="shared" si="117"/>
        <v>120.27517513755322</v>
      </c>
      <c r="BT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0</v>
      </c>
      <c r="BZ142" s="13" t="e">
        <f>BY142*VLOOKUP('Données projet'!$B$12,Paramètres!$A$1:$I$89,3,0)*VLOOKUP('Données projet'!$B$12,Paramètres!$A$1:$I$89,5,0)</f>
        <v>#N/A</v>
      </c>
      <c r="CA142" s="13" t="e">
        <f t="shared" si="147"/>
        <v>#N/A</v>
      </c>
      <c r="CB142" s="20" t="e">
        <f t="shared" si="118"/>
        <v>#N/A</v>
      </c>
      <c r="CC142" s="59" t="e">
        <f t="shared" si="119"/>
        <v>#N/A</v>
      </c>
      <c r="CD142" s="59" t="e">
        <f ca="1">AVERAGE(OFFSET($CC$3,0,0,'Données projet'!$E$12+1,1))-AVERAGE(OFFSET($H$3,0,0,'Données projet'!$E$12+1,1))</f>
        <v>#N/A</v>
      </c>
      <c r="CE142" s="59" t="e">
        <f t="shared" si="148"/>
        <v>#N/A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 t="e">
        <f>EXP(-LN(2)/35)*CK141+(1-EXP(-LN(2)/35))/(LN(2)/35)*CG142*CH142*VLOOKUP('Données projet'!$B$12,Paramètres!$A$1:$I$89,3,0)*0.475*44/12</f>
        <v>#N/A</v>
      </c>
      <c r="CL142" s="21" t="e">
        <f>EXP(-LN(2)/25)*CL141+(1-EXP(-LN(2)/25))/(LN(2)/25)*Calculateur!CG142*Calculateur!CI142*VLOOKUP('Données projet'!$B$12,Paramètres!$A$1:$I$89,3,0)*0.475*44/12</f>
        <v>#N/A</v>
      </c>
      <c r="CM142" s="21" t="e">
        <f>EXP(-LN(2)/2)*CM141+(1-EXP(-LN(2)/2))/(LN(2)/2)*CG142*CJ142*VLOOKUP('Données projet'!$B$12,Paramètres!$A$1:$I$89,3,0)*0.475*44/12</f>
        <v>#N/A</v>
      </c>
      <c r="CN142" s="22" t="e">
        <f t="shared" si="120"/>
        <v>#N/A</v>
      </c>
      <c r="CO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0</v>
      </c>
      <c r="CU142" s="17" t="e">
        <f>CT142*VLOOKUP('Données projet'!$B$13,Paramètres!$A$1:$I$89,3,0)*VLOOKUP('Données projet'!$B$13,Paramètres!$A$1:$I$89,5,0)</f>
        <v>#N/A</v>
      </c>
      <c r="CV142" s="13" t="e">
        <f t="shared" si="149"/>
        <v>#N/A</v>
      </c>
      <c r="CW142" s="20" t="e">
        <f t="shared" si="121"/>
        <v>#N/A</v>
      </c>
      <c r="CX142" s="59" t="e">
        <f t="shared" si="122"/>
        <v>#N/A</v>
      </c>
      <c r="CY142" s="59" t="e">
        <f ca="1">AVERAGE(OFFSET($CX$3,0,0,'Données projet'!$E$13+1,1))-AVERAGE(OFFSET($H$3,0,0,'Données projet'!$E$13+1,1))</f>
        <v>#N/A</v>
      </c>
      <c r="CZ142" s="59" t="e">
        <f t="shared" si="150"/>
        <v>#N/A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 t="e">
        <f>EXP(-LN(2)/35)*DF141+(1-EXP(-LN(2)/35))/(LN(2)/35)*DB142*DC142*VLOOKUP('Données projet'!$B$13,Paramètres!$A$1:$I$89,3,0)*0.475*44/12</f>
        <v>#N/A</v>
      </c>
      <c r="DG142" s="21" t="e">
        <f>EXP(-LN(2)/25)*DG141+(1-EXP(-LN(2)/25))/(LN(2)/25)*Calculateur!DB142*Calculateur!DD142*VLOOKUP('Données projet'!$B$13,Paramètres!$A$1:$I$89,3,0)*0.475*44/12</f>
        <v>#N/A</v>
      </c>
      <c r="DH142" s="21" t="e">
        <f>EXP(-LN(2)/2)*DH141+(1-EXP(-LN(2)/2))/(LN(2)/2)*DB142*DE142*VLOOKUP('Données projet'!$B$13,Paramètres!$A$1:$I$89,3,0)*0.475*44/12</f>
        <v>#N/A</v>
      </c>
      <c r="DI142" s="22" t="e">
        <f t="shared" si="123"/>
        <v>#N/A</v>
      </c>
      <c r="DJ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0</v>
      </c>
      <c r="DP142" s="17" t="e">
        <f>DO142*VLOOKUP('Données projet'!$B$14,Paramètres!$A$1:$I$89,3,0)*VLOOKUP('Données projet'!$B$14,Paramètres!$A$1:$I$89,5,0)</f>
        <v>#N/A</v>
      </c>
      <c r="DQ142" s="13" t="e">
        <f t="shared" si="151"/>
        <v>#N/A</v>
      </c>
      <c r="DR142" s="20" t="e">
        <f t="shared" si="124"/>
        <v>#N/A</v>
      </c>
      <c r="DS142" s="59" t="e">
        <f t="shared" si="125"/>
        <v>#N/A</v>
      </c>
      <c r="DT142" s="59" t="e">
        <f ca="1">AVERAGE(OFFSET($DS$3,0,0,'Données projet'!$E$14+1,1))-AVERAGE(OFFSET($H$3,0,0,'Données projet'!$E$14+1,1))</f>
        <v>#N/A</v>
      </c>
      <c r="DU142" s="59" t="e">
        <f t="shared" si="152"/>
        <v>#N/A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 t="e">
        <f>EXP(-LN(2)/35)*EA141+(1-EXP(-LN(2)/35))/(LN(2)/35)*DW142*DX142*VLOOKUP('Données projet'!$B$14,Paramètres!$A$1:$I$89,3,0)*0.475*44/12</f>
        <v>#N/A</v>
      </c>
      <c r="EB142" s="21" t="e">
        <f>EXP(-LN(2)/25)*EB141+(1-EXP(-LN(2)/25))/(LN(2)/25)*Calculateur!DW142*Calculateur!DY142*VLOOKUP('Données projet'!$B$14,Paramètres!$A$1:$I$89,3,0)*0.475*44/12</f>
        <v>#N/A</v>
      </c>
      <c r="EC142" s="21" t="e">
        <f>EXP(-LN(2)/2)*EC141+(1-EXP(-LN(2)/2))/(LN(2)/2)*DW142*DZ142*VLOOKUP('Données projet'!$B$14,Paramètres!$A$1:$I$89,3,0)*0.475*44/12</f>
        <v>#N/A</v>
      </c>
      <c r="ED142" s="22" t="e">
        <f t="shared" si="126"/>
        <v>#N/A</v>
      </c>
      <c r="EE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0</v>
      </c>
      <c r="EK142" s="17" t="e">
        <f>EJ142*VLOOKUP('Données projet'!$B$15,Paramètres!$A$1:$I$89,3,0)*VLOOKUP('Données projet'!$B$15,Paramètres!$A$1:$I$89,5,0)</f>
        <v>#N/A</v>
      </c>
      <c r="EL142" s="13" t="e">
        <f t="shared" si="153"/>
        <v>#N/A</v>
      </c>
      <c r="EM142" s="20" t="e">
        <f t="shared" si="127"/>
        <v>#N/A</v>
      </c>
      <c r="EN142" s="59" t="e">
        <f t="shared" si="128"/>
        <v>#N/A</v>
      </c>
      <c r="EO142" s="59" t="e">
        <f ca="1">AVERAGE(OFFSET($EN$3,0,0,'Données projet'!$E$15+1,1))-AVERAGE(OFFSET($H$3,0,0,'Données projet'!$E$15+1,1))</f>
        <v>#N/A</v>
      </c>
      <c r="EP142" s="59" t="e">
        <f t="shared" si="154"/>
        <v>#N/A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 t="e">
        <f>EXP(-LN(2)/35)*EV141+(1-EXP(-LN(2)/35))/(LN(2)/35)*ER142*ES142*VLOOKUP('Données projet'!$B$15,Paramètres!$A$1:$I$89,3,0)*0.475*44/12</f>
        <v>#N/A</v>
      </c>
      <c r="EW142" s="21" t="e">
        <f>EXP(-LN(2)/25)*EW141+(1-EXP(-LN(2)/25))/(LN(2)/25)*Calculateur!ER142*Calculateur!ET142*VLOOKUP('Données projet'!$B$15,Paramètres!$A$1:$I$89,3,0)*0.475*44/12</f>
        <v>#N/A</v>
      </c>
      <c r="EX142" s="21" t="e">
        <f>EXP(-LN(2)/2)*EX141+(1-EXP(-LN(2)/2))/(LN(2)/2)*ER142*EU142*VLOOKUP('Données projet'!$B$15,Paramètres!$A$1:$I$89,3,0)*0.475*44/12</f>
        <v>#N/A</v>
      </c>
      <c r="EY142" s="22" t="e">
        <f t="shared" si="129"/>
        <v>#N/A</v>
      </c>
      <c r="EZ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9" t="e">
        <f t="shared" si="131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45">
      <c r="A143" s="10">
        <f t="shared" si="139"/>
        <v>140</v>
      </c>
      <c r="B143" s="73">
        <f>'Scénario référence'!$B$16*5+'Scénario référence'!$B$17*0+'Scénario référence'!$B$18*5</f>
        <v>0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124.48800000000024</v>
      </c>
      <c r="D143" s="11">
        <f t="shared" si="140"/>
        <v>32.719504245667331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">
        <f>IF(OR('Scénario référence'!$F$8&gt;0,'Scénario référence'!$F$9&gt;0),('Scénario référence'!$F$8+'Scénario référence'!$F$9)*10,0)</f>
        <v>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1213.5316117209427</v>
      </c>
      <c r="H143" s="67">
        <f t="shared" si="110"/>
        <v>530.4697365612044</v>
      </c>
      <c r="I143" s="7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1.7053025658242404E-13</v>
      </c>
      <c r="O143" s="13">
        <f>N143*VLOOKUP('Données projet'!$B$9,Paramètres!$A$1:$I$89,3,0)*VLOOKUP('Données projet'!$B$9,Paramètres!$A$1:$I$89,5,0)</f>
        <v>9.5326413429575044E-14</v>
      </c>
      <c r="P143" s="13">
        <f t="shared" si="141"/>
        <v>1.4400742856080346E-12</v>
      </c>
      <c r="Q143" s="20">
        <f t="shared" si="108"/>
        <v>2.6741562174905032E-12</v>
      </c>
      <c r="R143" s="59">
        <f t="shared" si="109"/>
        <v>293.33333333333599</v>
      </c>
      <c r="S143" s="59">
        <f ca="1">AVERAGE(OFFSET($R$3,0,0,'Données projet'!$E$9+1,1))-AVERAGE(OFFSET($H$3,0,0,'Données projet'!$E$9+1,1))</f>
        <v>280.69347314340195</v>
      </c>
      <c r="T143" s="59">
        <f t="shared" si="142"/>
        <v>152.40533828556482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114.83674659325057</v>
      </c>
      <c r="AA143" s="21">
        <f>EXP(-LN(2)/25)*AA142+(1-EXP(-LN(2)/25))/(LN(2)/25)*Calculateur!V143*Calculateur!X143*VLOOKUP('Données projet'!$B$9,Paramètres!$A$1:$I$89,3,0)*0.475*44/12</f>
        <v>31.366066768388425</v>
      </c>
      <c r="AB143" s="21">
        <f>EXP(-LN(2)/2)*AB142+(1-EXP(-LN(2)/2))/(LN(2)/2)*V143*Y143*VLOOKUP('Données projet'!$B$9,Paramètres!$A$1:$I$89,3,0)*0.475*44/12</f>
        <v>6.0677038577978862E-2</v>
      </c>
      <c r="AC143" s="22">
        <f t="shared" si="111"/>
        <v>146.26349040021697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0</v>
      </c>
      <c r="AJ143" s="13">
        <f>AI143*VLOOKUP('Données projet'!$B$10,Paramètres!$A$1:$I$89,3,0)*VLOOKUP('Données projet'!$B$10,Paramètres!$A$1:$I$89,5,0)</f>
        <v>0</v>
      </c>
      <c r="AK143" s="13" t="e">
        <f t="shared" si="143"/>
        <v>#NUM!</v>
      </c>
      <c r="AL143" s="20" t="e">
        <f t="shared" si="112"/>
        <v>#NUM!</v>
      </c>
      <c r="AM143" s="59" t="e">
        <f t="shared" si="113"/>
        <v>#NUM!</v>
      </c>
      <c r="AN143" s="59">
        <f ca="1">AVERAGE(OFFSET($AM$3,0,0,'Données projet'!$E$10+1,1))-AVERAGE(OFFSET($H$3,0,0,'Données projet'!$E$10+1,1))</f>
        <v>179.4725256147085</v>
      </c>
      <c r="AO143" s="59">
        <f t="shared" si="144"/>
        <v>282.16750121151176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29.61129657969148</v>
      </c>
      <c r="AV143" s="21">
        <f>EXP(-LN(2)/25)*AV142+(1-EXP(-LN(2)/25))/(LN(2)/25)*Calculateur!AQ143*Calculateur!AS143*VLOOKUP('Données projet'!$B$10,Paramètres!$A$1:$I$89,3,0)*0.475*44/12</f>
        <v>5.3172058075664035</v>
      </c>
      <c r="AW143" s="21">
        <f>EXP(-LN(2)/2)*AW142+(1-EXP(-LN(2)/2))/(LN(2)/2)*AQ143*AT143*VLOOKUP('Données projet'!$B$10,Paramètres!$A$1:$I$89,3,0)*0.475*44/12</f>
        <v>3.921777340540228E-11</v>
      </c>
      <c r="AX143" s="21">
        <f t="shared" si="114"/>
        <v>34.928502387297101</v>
      </c>
      <c r="AY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4.0349999999999966</v>
      </c>
      <c r="BD143" s="12">
        <f>IF('Données projet'!$A$88&gt;35,BD142+BC143-BL142,IF(A143&lt;'Données projet'!$A$88,$BA$205^A143,IF(A143='Données projet'!$A$88,'Données projet'!$B$88,BD142+BC143-BL142)))</f>
        <v>130.06500000000062</v>
      </c>
      <c r="BE143" s="13">
        <f>BD143*VLOOKUP('Données projet'!$B$11,Paramètres!$A$1:$I$89,3,0)*VLOOKUP('Données projet'!$B$11,Paramètres!$A$1:$I$89,5,0)</f>
        <v>111.59577000000054</v>
      </c>
      <c r="BF143" s="13">
        <f t="shared" si="145"/>
        <v>29.706644692577495</v>
      </c>
      <c r="BG143" s="20">
        <f t="shared" si="115"/>
        <v>246.10170558957336</v>
      </c>
      <c r="BH143" s="59">
        <f t="shared" si="116"/>
        <v>539.43503892290664</v>
      </c>
      <c r="BI143" s="59">
        <f ca="1">AVERAGE(OFFSET($BH$3,0,0,'Données projet'!$E$11+1,1))-AVERAGE(OFFSET($H$3,0,0,'Données projet'!$E$11+1,1))</f>
        <v>312.89478437044261</v>
      </c>
      <c r="BJ143" s="59">
        <f t="shared" si="146"/>
        <v>276.16555507854571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>
        <f>EXP(-LN(2)/35)*BP142+(1-EXP(-LN(2)/35))/(LN(2)/35)*BL143*BM143*VLOOKUP('Données projet'!$B$11,Paramètres!$A$1:$I$89,3,0)*0.475*44/12</f>
        <v>86.8574325405378</v>
      </c>
      <c r="BQ143" s="21">
        <f>EXP(-LN(2)/25)*BQ142+(1-EXP(-LN(2)/25))/(LN(2)/25)*Calculateur!BL143*Calculateur!BN143*VLOOKUP('Données projet'!$B$11,Paramètres!$A$1:$I$89,3,0)*0.475*44/12</f>
        <v>26.447190425014593</v>
      </c>
      <c r="BR143" s="21">
        <f>EXP(-LN(2)/2)*BR142+(1-EXP(-LN(2)/2))/(LN(2)/2)*BL143*BO143*VLOOKUP('Données projet'!$B$11,Paramètres!$A$1:$I$89,3,0)*0.475*44/12</f>
        <v>3.1747199456311814</v>
      </c>
      <c r="BS143" s="22">
        <f t="shared" si="117"/>
        <v>116.47934291118358</v>
      </c>
      <c r="BT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0</v>
      </c>
      <c r="BZ143" s="13" t="e">
        <f>BY143*VLOOKUP('Données projet'!$B$12,Paramètres!$A$1:$I$89,3,0)*VLOOKUP('Données projet'!$B$12,Paramètres!$A$1:$I$89,5,0)</f>
        <v>#N/A</v>
      </c>
      <c r="CA143" s="13" t="e">
        <f t="shared" si="147"/>
        <v>#N/A</v>
      </c>
      <c r="CB143" s="20" t="e">
        <f t="shared" si="118"/>
        <v>#N/A</v>
      </c>
      <c r="CC143" s="59" t="e">
        <f t="shared" si="119"/>
        <v>#N/A</v>
      </c>
      <c r="CD143" s="59" t="e">
        <f ca="1">AVERAGE(OFFSET($CC$3,0,0,'Données projet'!$E$12+1,1))-AVERAGE(OFFSET($H$3,0,0,'Données projet'!$E$12+1,1))</f>
        <v>#N/A</v>
      </c>
      <c r="CE143" s="59" t="e">
        <f t="shared" si="148"/>
        <v>#N/A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 t="e">
        <f>EXP(-LN(2)/35)*CK142+(1-EXP(-LN(2)/35))/(LN(2)/35)*CG143*CH143*VLOOKUP('Données projet'!$B$12,Paramètres!$A$1:$I$89,3,0)*0.475*44/12</f>
        <v>#N/A</v>
      </c>
      <c r="CL143" s="21" t="e">
        <f>EXP(-LN(2)/25)*CL142+(1-EXP(-LN(2)/25))/(LN(2)/25)*Calculateur!CG143*Calculateur!CI143*VLOOKUP('Données projet'!$B$12,Paramètres!$A$1:$I$89,3,0)*0.475*44/12</f>
        <v>#N/A</v>
      </c>
      <c r="CM143" s="21" t="e">
        <f>EXP(-LN(2)/2)*CM142+(1-EXP(-LN(2)/2))/(LN(2)/2)*CG143*CJ143*VLOOKUP('Données projet'!$B$12,Paramètres!$A$1:$I$89,3,0)*0.475*44/12</f>
        <v>#N/A</v>
      </c>
      <c r="CN143" s="22" t="e">
        <f t="shared" si="120"/>
        <v>#N/A</v>
      </c>
      <c r="CO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0</v>
      </c>
      <c r="CU143" s="17" t="e">
        <f>CT143*VLOOKUP('Données projet'!$B$13,Paramètres!$A$1:$I$89,3,0)*VLOOKUP('Données projet'!$B$13,Paramètres!$A$1:$I$89,5,0)</f>
        <v>#N/A</v>
      </c>
      <c r="CV143" s="13" t="e">
        <f t="shared" si="149"/>
        <v>#N/A</v>
      </c>
      <c r="CW143" s="20" t="e">
        <f t="shared" si="121"/>
        <v>#N/A</v>
      </c>
      <c r="CX143" s="59" t="e">
        <f t="shared" si="122"/>
        <v>#N/A</v>
      </c>
      <c r="CY143" s="59" t="e">
        <f ca="1">AVERAGE(OFFSET($CX$3,0,0,'Données projet'!$E$13+1,1))-AVERAGE(OFFSET($H$3,0,0,'Données projet'!$E$13+1,1))</f>
        <v>#N/A</v>
      </c>
      <c r="CZ143" s="59" t="e">
        <f t="shared" si="150"/>
        <v>#N/A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 t="e">
        <f>EXP(-LN(2)/35)*DF142+(1-EXP(-LN(2)/35))/(LN(2)/35)*DB143*DC143*VLOOKUP('Données projet'!$B$13,Paramètres!$A$1:$I$89,3,0)*0.475*44/12</f>
        <v>#N/A</v>
      </c>
      <c r="DG143" s="21" t="e">
        <f>EXP(-LN(2)/25)*DG142+(1-EXP(-LN(2)/25))/(LN(2)/25)*Calculateur!DB143*Calculateur!DD143*VLOOKUP('Données projet'!$B$13,Paramètres!$A$1:$I$89,3,0)*0.475*44/12</f>
        <v>#N/A</v>
      </c>
      <c r="DH143" s="21" t="e">
        <f>EXP(-LN(2)/2)*DH142+(1-EXP(-LN(2)/2))/(LN(2)/2)*DB143*DE143*VLOOKUP('Données projet'!$B$13,Paramètres!$A$1:$I$89,3,0)*0.475*44/12</f>
        <v>#N/A</v>
      </c>
      <c r="DI143" s="22" t="e">
        <f t="shared" si="123"/>
        <v>#N/A</v>
      </c>
      <c r="DJ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0</v>
      </c>
      <c r="DP143" s="17" t="e">
        <f>DO143*VLOOKUP('Données projet'!$B$14,Paramètres!$A$1:$I$89,3,0)*VLOOKUP('Données projet'!$B$14,Paramètres!$A$1:$I$89,5,0)</f>
        <v>#N/A</v>
      </c>
      <c r="DQ143" s="13" t="e">
        <f t="shared" si="151"/>
        <v>#N/A</v>
      </c>
      <c r="DR143" s="20" t="e">
        <f t="shared" si="124"/>
        <v>#N/A</v>
      </c>
      <c r="DS143" s="59" t="e">
        <f t="shared" si="125"/>
        <v>#N/A</v>
      </c>
      <c r="DT143" s="59" t="e">
        <f ca="1">AVERAGE(OFFSET($DS$3,0,0,'Données projet'!$E$14+1,1))-AVERAGE(OFFSET($H$3,0,0,'Données projet'!$E$14+1,1))</f>
        <v>#N/A</v>
      </c>
      <c r="DU143" s="59" t="e">
        <f t="shared" si="152"/>
        <v>#N/A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 t="e">
        <f>EXP(-LN(2)/35)*EA142+(1-EXP(-LN(2)/35))/(LN(2)/35)*DW143*DX143*VLOOKUP('Données projet'!$B$14,Paramètres!$A$1:$I$89,3,0)*0.475*44/12</f>
        <v>#N/A</v>
      </c>
      <c r="EB143" s="21" t="e">
        <f>EXP(-LN(2)/25)*EB142+(1-EXP(-LN(2)/25))/(LN(2)/25)*Calculateur!DW143*Calculateur!DY143*VLOOKUP('Données projet'!$B$14,Paramètres!$A$1:$I$89,3,0)*0.475*44/12</f>
        <v>#N/A</v>
      </c>
      <c r="EC143" s="21" t="e">
        <f>EXP(-LN(2)/2)*EC142+(1-EXP(-LN(2)/2))/(LN(2)/2)*DW143*DZ143*VLOOKUP('Données projet'!$B$14,Paramètres!$A$1:$I$89,3,0)*0.475*44/12</f>
        <v>#N/A</v>
      </c>
      <c r="ED143" s="22" t="e">
        <f t="shared" si="126"/>
        <v>#N/A</v>
      </c>
      <c r="EE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0</v>
      </c>
      <c r="EK143" s="17" t="e">
        <f>EJ143*VLOOKUP('Données projet'!$B$15,Paramètres!$A$1:$I$89,3,0)*VLOOKUP('Données projet'!$B$15,Paramètres!$A$1:$I$89,5,0)</f>
        <v>#N/A</v>
      </c>
      <c r="EL143" s="13" t="e">
        <f t="shared" si="153"/>
        <v>#N/A</v>
      </c>
      <c r="EM143" s="20" t="e">
        <f t="shared" si="127"/>
        <v>#N/A</v>
      </c>
      <c r="EN143" s="59" t="e">
        <f t="shared" si="128"/>
        <v>#N/A</v>
      </c>
      <c r="EO143" s="59" t="e">
        <f ca="1">AVERAGE(OFFSET($EN$3,0,0,'Données projet'!$E$15+1,1))-AVERAGE(OFFSET($H$3,0,0,'Données projet'!$E$15+1,1))</f>
        <v>#N/A</v>
      </c>
      <c r="EP143" s="59" t="e">
        <f t="shared" si="154"/>
        <v>#N/A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 t="e">
        <f>EXP(-LN(2)/35)*EV142+(1-EXP(-LN(2)/35))/(LN(2)/35)*ER143*ES143*VLOOKUP('Données projet'!$B$15,Paramètres!$A$1:$I$89,3,0)*0.475*44/12</f>
        <v>#N/A</v>
      </c>
      <c r="EW143" s="21" t="e">
        <f>EXP(-LN(2)/25)*EW142+(1-EXP(-LN(2)/25))/(LN(2)/25)*Calculateur!ER143*Calculateur!ET143*VLOOKUP('Données projet'!$B$15,Paramètres!$A$1:$I$89,3,0)*0.475*44/12</f>
        <v>#N/A</v>
      </c>
      <c r="EX143" s="21" t="e">
        <f>EXP(-LN(2)/2)*EX142+(1-EXP(-LN(2)/2))/(LN(2)/2)*ER143*EU143*VLOOKUP('Données projet'!$B$15,Paramètres!$A$1:$I$89,3,0)*0.475*44/12</f>
        <v>#N/A</v>
      </c>
      <c r="EY143" s="22" t="e">
        <f t="shared" si="129"/>
        <v>#N/A</v>
      </c>
      <c r="EZ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9" t="e">
        <f t="shared" si="131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45">
      <c r="A144" s="10">
        <f t="shared" si="139"/>
        <v>141</v>
      </c>
      <c r="B144" s="73">
        <f>'Scénario référence'!$B$16*5+'Scénario référence'!$B$17*0+'Scénario référence'!$B$18*5</f>
        <v>0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125.37720000000024</v>
      </c>
      <c r="D144" s="11">
        <f t="shared" si="140"/>
        <v>32.925925439106905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">
        <f>IF(OR('Scénario référence'!$F$8&gt;0,'Scénario référence'!$F$9&gt;0),('Scénario référence'!$F$8+'Scénario référence'!$F$9)*10,0)</f>
        <v>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1221.9890384773182</v>
      </c>
      <c r="H144" s="67">
        <f t="shared" si="110"/>
        <v>532.3779434731116</v>
      </c>
      <c r="I144" s="7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1.7053025658242404E-13</v>
      </c>
      <c r="O144" s="13">
        <f>N144*VLOOKUP('Données projet'!$B$9,Paramètres!$A$1:$I$89,3,0)*VLOOKUP('Données projet'!$B$9,Paramètres!$A$1:$I$89,5,0)</f>
        <v>9.5326413429575044E-14</v>
      </c>
      <c r="P144" s="13">
        <f t="shared" si="141"/>
        <v>1.4400742856080346E-12</v>
      </c>
      <c r="Q144" s="20">
        <f t="shared" si="108"/>
        <v>2.6741562174905032E-12</v>
      </c>
      <c r="R144" s="59">
        <f t="shared" si="109"/>
        <v>293.33333333333599</v>
      </c>
      <c r="S144" s="59">
        <f ca="1">AVERAGE(OFFSET($R$3,0,0,'Données projet'!$E$9+1,1))-AVERAGE(OFFSET($H$3,0,0,'Données projet'!$E$9+1,1))</f>
        <v>280.69347314340195</v>
      </c>
      <c r="T144" s="59">
        <f t="shared" si="142"/>
        <v>152.40533828556482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112.58486803605612</v>
      </c>
      <c r="AA144" s="21">
        <f>EXP(-LN(2)/25)*AA143+(1-EXP(-LN(2)/25))/(LN(2)/25)*Calculateur!V144*Calculateur!X144*VLOOKUP('Données projet'!$B$9,Paramètres!$A$1:$I$89,3,0)*0.475*44/12</f>
        <v>30.50836002313708</v>
      </c>
      <c r="AB144" s="21">
        <f>EXP(-LN(2)/2)*AB143+(1-EXP(-LN(2)/2))/(LN(2)/2)*V144*Y144*VLOOKUP('Données projet'!$B$9,Paramètres!$A$1:$I$89,3,0)*0.475*44/12</f>
        <v>4.2905145440806605E-2</v>
      </c>
      <c r="AC144" s="22">
        <f t="shared" si="111"/>
        <v>143.13613320463401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0</v>
      </c>
      <c r="AJ144" s="13">
        <f>AI144*VLOOKUP('Données projet'!$B$10,Paramètres!$A$1:$I$89,3,0)*VLOOKUP('Données projet'!$B$10,Paramètres!$A$1:$I$89,5,0)</f>
        <v>0</v>
      </c>
      <c r="AK144" s="13" t="e">
        <f t="shared" si="143"/>
        <v>#NUM!</v>
      </c>
      <c r="AL144" s="20" t="e">
        <f t="shared" si="112"/>
        <v>#NUM!</v>
      </c>
      <c r="AM144" s="59" t="e">
        <f t="shared" si="113"/>
        <v>#NUM!</v>
      </c>
      <c r="AN144" s="59">
        <f ca="1">AVERAGE(OFFSET($AM$3,0,0,'Données projet'!$E$10+1,1))-AVERAGE(OFFSET($H$3,0,0,'Données projet'!$E$10+1,1))</f>
        <v>179.4725256147085</v>
      </c>
      <c r="AO144" s="59">
        <f t="shared" si="144"/>
        <v>282.16750121151176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29.030637114871258</v>
      </c>
      <c r="AV144" s="21">
        <f>EXP(-LN(2)/25)*AV143+(1-EXP(-LN(2)/25))/(LN(2)/25)*Calculateur!AQ144*Calculateur!AS144*VLOOKUP('Données projet'!$B$10,Paramètres!$A$1:$I$89,3,0)*0.475*44/12</f>
        <v>5.1718065351387992</v>
      </c>
      <c r="AW144" s="21">
        <f>EXP(-LN(2)/2)*AW143+(1-EXP(-LN(2)/2))/(LN(2)/2)*AQ144*AT144*VLOOKUP('Données projet'!$B$10,Paramètres!$A$1:$I$89,3,0)*0.475*44/12</f>
        <v>2.7731153517997393E-11</v>
      </c>
      <c r="AX144" s="21">
        <f t="shared" si="114"/>
        <v>34.202443650037786</v>
      </c>
      <c r="AY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4.0349999999999966</v>
      </c>
      <c r="BD144" s="12">
        <f>IF('Données projet'!$A$88&gt;35,BD143+BC144-BL143,IF(A144&lt;'Données projet'!$A$88,$BA$205^A144,IF(A144='Données projet'!$A$88,'Données projet'!$B$88,BD143+BC144-BL143)))</f>
        <v>134.10000000000062</v>
      </c>
      <c r="BE144" s="13">
        <f>BD144*VLOOKUP('Données projet'!$B$11,Paramètres!$A$1:$I$89,3,0)*VLOOKUP('Données projet'!$B$11,Paramètres!$A$1:$I$89,5,0)</f>
        <v>115.05780000000055</v>
      </c>
      <c r="BF144" s="13">
        <f t="shared" si="145"/>
        <v>30.51950605857655</v>
      </c>
      <c r="BG144" s="20">
        <f t="shared" si="115"/>
        <v>253.5471413853551</v>
      </c>
      <c r="BH144" s="59">
        <f t="shared" si="116"/>
        <v>546.88047471868845</v>
      </c>
      <c r="BI144" s="59">
        <f ca="1">AVERAGE(OFFSET($BH$3,0,0,'Données projet'!$E$11+1,1))-AVERAGE(OFFSET($H$3,0,0,'Données projet'!$E$11+1,1))</f>
        <v>312.89478437044261</v>
      </c>
      <c r="BJ144" s="59">
        <f t="shared" si="146"/>
        <v>276.16555507854571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>
        <f>EXP(-LN(2)/35)*BP143+(1-EXP(-LN(2)/35))/(LN(2)/35)*BL144*BM144*VLOOKUP('Données projet'!$B$11,Paramètres!$A$1:$I$89,3,0)*0.475*44/12</f>
        <v>85.154211266220585</v>
      </c>
      <c r="BQ144" s="21">
        <f>EXP(-LN(2)/25)*BQ143+(1-EXP(-LN(2)/25))/(LN(2)/25)*Calculateur!BL144*Calculateur!BN144*VLOOKUP('Données projet'!$B$11,Paramètres!$A$1:$I$89,3,0)*0.475*44/12</f>
        <v>25.72399061204527</v>
      </c>
      <c r="BR144" s="21">
        <f>EXP(-LN(2)/2)*BR143+(1-EXP(-LN(2)/2))/(LN(2)/2)*BL144*BO144*VLOOKUP('Données projet'!$B$11,Paramètres!$A$1:$I$89,3,0)*0.475*44/12</f>
        <v>2.2448660019239961</v>
      </c>
      <c r="BS144" s="22">
        <f t="shared" si="117"/>
        <v>113.12306788018985</v>
      </c>
      <c r="BT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0</v>
      </c>
      <c r="BZ144" s="13" t="e">
        <f>BY144*VLOOKUP('Données projet'!$B$12,Paramètres!$A$1:$I$89,3,0)*VLOOKUP('Données projet'!$B$12,Paramètres!$A$1:$I$89,5,0)</f>
        <v>#N/A</v>
      </c>
      <c r="CA144" s="13" t="e">
        <f t="shared" si="147"/>
        <v>#N/A</v>
      </c>
      <c r="CB144" s="20" t="e">
        <f t="shared" si="118"/>
        <v>#N/A</v>
      </c>
      <c r="CC144" s="59" t="e">
        <f t="shared" si="119"/>
        <v>#N/A</v>
      </c>
      <c r="CD144" s="59" t="e">
        <f ca="1">AVERAGE(OFFSET($CC$3,0,0,'Données projet'!$E$12+1,1))-AVERAGE(OFFSET($H$3,0,0,'Données projet'!$E$12+1,1))</f>
        <v>#N/A</v>
      </c>
      <c r="CE144" s="59" t="e">
        <f t="shared" si="148"/>
        <v>#N/A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 t="e">
        <f>EXP(-LN(2)/35)*CK143+(1-EXP(-LN(2)/35))/(LN(2)/35)*CG144*CH144*VLOOKUP('Données projet'!$B$12,Paramètres!$A$1:$I$89,3,0)*0.475*44/12</f>
        <v>#N/A</v>
      </c>
      <c r="CL144" s="21" t="e">
        <f>EXP(-LN(2)/25)*CL143+(1-EXP(-LN(2)/25))/(LN(2)/25)*Calculateur!CG144*Calculateur!CI144*VLOOKUP('Données projet'!$B$12,Paramètres!$A$1:$I$89,3,0)*0.475*44/12</f>
        <v>#N/A</v>
      </c>
      <c r="CM144" s="21" t="e">
        <f>EXP(-LN(2)/2)*CM143+(1-EXP(-LN(2)/2))/(LN(2)/2)*CG144*CJ144*VLOOKUP('Données projet'!$B$12,Paramètres!$A$1:$I$89,3,0)*0.475*44/12</f>
        <v>#N/A</v>
      </c>
      <c r="CN144" s="22" t="e">
        <f t="shared" si="120"/>
        <v>#N/A</v>
      </c>
      <c r="CO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0</v>
      </c>
      <c r="CU144" s="17" t="e">
        <f>CT144*VLOOKUP('Données projet'!$B$13,Paramètres!$A$1:$I$89,3,0)*VLOOKUP('Données projet'!$B$13,Paramètres!$A$1:$I$89,5,0)</f>
        <v>#N/A</v>
      </c>
      <c r="CV144" s="13" t="e">
        <f t="shared" si="149"/>
        <v>#N/A</v>
      </c>
      <c r="CW144" s="20" t="e">
        <f t="shared" si="121"/>
        <v>#N/A</v>
      </c>
      <c r="CX144" s="59" t="e">
        <f t="shared" si="122"/>
        <v>#N/A</v>
      </c>
      <c r="CY144" s="59" t="e">
        <f ca="1">AVERAGE(OFFSET($CX$3,0,0,'Données projet'!$E$13+1,1))-AVERAGE(OFFSET($H$3,0,0,'Données projet'!$E$13+1,1))</f>
        <v>#N/A</v>
      </c>
      <c r="CZ144" s="59" t="e">
        <f t="shared" si="150"/>
        <v>#N/A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 t="e">
        <f>EXP(-LN(2)/35)*DF143+(1-EXP(-LN(2)/35))/(LN(2)/35)*DB144*DC144*VLOOKUP('Données projet'!$B$13,Paramètres!$A$1:$I$89,3,0)*0.475*44/12</f>
        <v>#N/A</v>
      </c>
      <c r="DG144" s="21" t="e">
        <f>EXP(-LN(2)/25)*DG143+(1-EXP(-LN(2)/25))/(LN(2)/25)*Calculateur!DB144*Calculateur!DD144*VLOOKUP('Données projet'!$B$13,Paramètres!$A$1:$I$89,3,0)*0.475*44/12</f>
        <v>#N/A</v>
      </c>
      <c r="DH144" s="21" t="e">
        <f>EXP(-LN(2)/2)*DH143+(1-EXP(-LN(2)/2))/(LN(2)/2)*DB144*DE144*VLOOKUP('Données projet'!$B$13,Paramètres!$A$1:$I$89,3,0)*0.475*44/12</f>
        <v>#N/A</v>
      </c>
      <c r="DI144" s="22" t="e">
        <f t="shared" si="123"/>
        <v>#N/A</v>
      </c>
      <c r="DJ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0</v>
      </c>
      <c r="DP144" s="17" t="e">
        <f>DO144*VLOOKUP('Données projet'!$B$14,Paramètres!$A$1:$I$89,3,0)*VLOOKUP('Données projet'!$B$14,Paramètres!$A$1:$I$89,5,0)</f>
        <v>#N/A</v>
      </c>
      <c r="DQ144" s="13" t="e">
        <f t="shared" si="151"/>
        <v>#N/A</v>
      </c>
      <c r="DR144" s="20" t="e">
        <f t="shared" si="124"/>
        <v>#N/A</v>
      </c>
      <c r="DS144" s="59" t="e">
        <f t="shared" si="125"/>
        <v>#N/A</v>
      </c>
      <c r="DT144" s="59" t="e">
        <f ca="1">AVERAGE(OFFSET($DS$3,0,0,'Données projet'!$E$14+1,1))-AVERAGE(OFFSET($H$3,0,0,'Données projet'!$E$14+1,1))</f>
        <v>#N/A</v>
      </c>
      <c r="DU144" s="59" t="e">
        <f t="shared" si="152"/>
        <v>#N/A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 t="e">
        <f>EXP(-LN(2)/35)*EA143+(1-EXP(-LN(2)/35))/(LN(2)/35)*DW144*DX144*VLOOKUP('Données projet'!$B$14,Paramètres!$A$1:$I$89,3,0)*0.475*44/12</f>
        <v>#N/A</v>
      </c>
      <c r="EB144" s="21" t="e">
        <f>EXP(-LN(2)/25)*EB143+(1-EXP(-LN(2)/25))/(LN(2)/25)*Calculateur!DW144*Calculateur!DY144*VLOOKUP('Données projet'!$B$14,Paramètres!$A$1:$I$89,3,0)*0.475*44/12</f>
        <v>#N/A</v>
      </c>
      <c r="EC144" s="21" t="e">
        <f>EXP(-LN(2)/2)*EC143+(1-EXP(-LN(2)/2))/(LN(2)/2)*DW144*DZ144*VLOOKUP('Données projet'!$B$14,Paramètres!$A$1:$I$89,3,0)*0.475*44/12</f>
        <v>#N/A</v>
      </c>
      <c r="ED144" s="22" t="e">
        <f t="shared" si="126"/>
        <v>#N/A</v>
      </c>
      <c r="EE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0</v>
      </c>
      <c r="EK144" s="17" t="e">
        <f>EJ144*VLOOKUP('Données projet'!$B$15,Paramètres!$A$1:$I$89,3,0)*VLOOKUP('Données projet'!$B$15,Paramètres!$A$1:$I$89,5,0)</f>
        <v>#N/A</v>
      </c>
      <c r="EL144" s="13" t="e">
        <f t="shared" si="153"/>
        <v>#N/A</v>
      </c>
      <c r="EM144" s="20" t="e">
        <f t="shared" si="127"/>
        <v>#N/A</v>
      </c>
      <c r="EN144" s="59" t="e">
        <f t="shared" si="128"/>
        <v>#N/A</v>
      </c>
      <c r="EO144" s="59" t="e">
        <f ca="1">AVERAGE(OFFSET($EN$3,0,0,'Données projet'!$E$15+1,1))-AVERAGE(OFFSET($H$3,0,0,'Données projet'!$E$15+1,1))</f>
        <v>#N/A</v>
      </c>
      <c r="EP144" s="59" t="e">
        <f t="shared" si="154"/>
        <v>#N/A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 t="e">
        <f>EXP(-LN(2)/35)*EV143+(1-EXP(-LN(2)/35))/(LN(2)/35)*ER144*ES144*VLOOKUP('Données projet'!$B$15,Paramètres!$A$1:$I$89,3,0)*0.475*44/12</f>
        <v>#N/A</v>
      </c>
      <c r="EW144" s="21" t="e">
        <f>EXP(-LN(2)/25)*EW143+(1-EXP(-LN(2)/25))/(LN(2)/25)*Calculateur!ER144*Calculateur!ET144*VLOOKUP('Données projet'!$B$15,Paramètres!$A$1:$I$89,3,0)*0.475*44/12</f>
        <v>#N/A</v>
      </c>
      <c r="EX144" s="21" t="e">
        <f>EXP(-LN(2)/2)*EX143+(1-EXP(-LN(2)/2))/(LN(2)/2)*ER144*EU144*VLOOKUP('Données projet'!$B$15,Paramètres!$A$1:$I$89,3,0)*0.475*44/12</f>
        <v>#N/A</v>
      </c>
      <c r="EY144" s="22" t="e">
        <f t="shared" si="129"/>
        <v>#N/A</v>
      </c>
      <c r="EZ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9" t="e">
        <f t="shared" si="131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45">
      <c r="A145" s="10">
        <f t="shared" si="139"/>
        <v>142</v>
      </c>
      <c r="B145" s="73">
        <f>'Scénario référence'!$B$16*5+'Scénario référence'!$B$17*0+'Scénario référence'!$B$18*5</f>
        <v>0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126.26640000000025</v>
      </c>
      <c r="D145" s="11">
        <f t="shared" si="140"/>
        <v>33.132176294071868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">
        <f>IF(OR('Scénario référence'!$F$8&gt;0,'Scénario référence'!$F$9&gt;0),('Scénario référence'!$F$8+'Scénario référence'!$F$9)*10,0)</f>
        <v>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1230.4451503402058</v>
      </c>
      <c r="H145" s="67">
        <f t="shared" si="110"/>
        <v>534.28585371217559</v>
      </c>
      <c r="I145" s="7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1.7053025658242404E-13</v>
      </c>
      <c r="O145" s="13">
        <f>N145*VLOOKUP('Données projet'!$B$9,Paramètres!$A$1:$I$89,3,0)*VLOOKUP('Données projet'!$B$9,Paramètres!$A$1:$I$89,5,0)</f>
        <v>9.5326413429575044E-14</v>
      </c>
      <c r="P145" s="13">
        <f t="shared" si="141"/>
        <v>1.4400742856080346E-12</v>
      </c>
      <c r="Q145" s="20">
        <f t="shared" si="108"/>
        <v>2.6741562174905032E-12</v>
      </c>
      <c r="R145" s="59">
        <f t="shared" si="109"/>
        <v>293.33333333333599</v>
      </c>
      <c r="S145" s="59">
        <f ca="1">AVERAGE(OFFSET($R$3,0,0,'Données projet'!$E$9+1,1))-AVERAGE(OFFSET($H$3,0,0,'Données projet'!$E$9+1,1))</f>
        <v>280.69347314340195</v>
      </c>
      <c r="T145" s="59">
        <f t="shared" si="142"/>
        <v>152.40533828556482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110.37714744385796</v>
      </c>
      <c r="AA145" s="21">
        <f>EXP(-LN(2)/25)*AA144+(1-EXP(-LN(2)/25))/(LN(2)/25)*Calculateur!V145*Calculateur!X145*VLOOKUP('Données projet'!$B$9,Paramètres!$A$1:$I$89,3,0)*0.475*44/12</f>
        <v>29.674107313939469</v>
      </c>
      <c r="AB145" s="21">
        <f>EXP(-LN(2)/2)*AB144+(1-EXP(-LN(2)/2))/(LN(2)/2)*V145*Y145*VLOOKUP('Données projet'!$B$9,Paramètres!$A$1:$I$89,3,0)*0.475*44/12</f>
        <v>3.0338519288989434E-2</v>
      </c>
      <c r="AC145" s="22">
        <f t="shared" si="111"/>
        <v>140.08159327708643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0</v>
      </c>
      <c r="AJ145" s="13">
        <f>AI145*VLOOKUP('Données projet'!$B$10,Paramètres!$A$1:$I$89,3,0)*VLOOKUP('Données projet'!$B$10,Paramètres!$A$1:$I$89,5,0)</f>
        <v>0</v>
      </c>
      <c r="AK145" s="13" t="e">
        <f t="shared" si="143"/>
        <v>#NUM!</v>
      </c>
      <c r="AL145" s="20" t="e">
        <f t="shared" si="112"/>
        <v>#NUM!</v>
      </c>
      <c r="AM145" s="59" t="e">
        <f t="shared" si="113"/>
        <v>#NUM!</v>
      </c>
      <c r="AN145" s="59">
        <f ca="1">AVERAGE(OFFSET($AM$3,0,0,'Données projet'!$E$10+1,1))-AVERAGE(OFFSET($H$3,0,0,'Données projet'!$E$10+1,1))</f>
        <v>179.4725256147085</v>
      </c>
      <c r="AO145" s="59">
        <f t="shared" si="144"/>
        <v>282.16750121151176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28.461364027988857</v>
      </c>
      <c r="AV145" s="21">
        <f>EXP(-LN(2)/25)*AV144+(1-EXP(-LN(2)/25))/(LN(2)/25)*Calculateur!AQ145*Calculateur!AS145*VLOOKUP('Données projet'!$B$10,Paramètres!$A$1:$I$89,3,0)*0.475*44/12</f>
        <v>5.0303832134619437</v>
      </c>
      <c r="AW145" s="21">
        <f>EXP(-LN(2)/2)*AW144+(1-EXP(-LN(2)/2))/(LN(2)/2)*AQ145*AT145*VLOOKUP('Données projet'!$B$10,Paramètres!$A$1:$I$89,3,0)*0.475*44/12</f>
        <v>1.960888670270114E-11</v>
      </c>
      <c r="AX145" s="21">
        <f t="shared" si="114"/>
        <v>33.491747241470414</v>
      </c>
      <c r="AY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4.0349999999999966</v>
      </c>
      <c r="BD145" s="12">
        <f>IF('Données projet'!$A$88&gt;35,BD144+BC145-BL144,IF(A145&lt;'Données projet'!$A$88,$BA$205^A145,IF(A145='Données projet'!$A$88,'Données projet'!$B$88,BD144+BC145-BL144)))</f>
        <v>138.13500000000062</v>
      </c>
      <c r="BE145" s="13">
        <f>BD145*VLOOKUP('Données projet'!$B$11,Paramètres!$A$1:$I$89,3,0)*VLOOKUP('Données projet'!$B$11,Paramètres!$A$1:$I$89,5,0)</f>
        <v>118.51983000000054</v>
      </c>
      <c r="BF145" s="13">
        <f t="shared" si="145"/>
        <v>31.329524972487654</v>
      </c>
      <c r="BG145" s="20">
        <f t="shared" si="115"/>
        <v>260.98762657708357</v>
      </c>
      <c r="BH145" s="59">
        <f t="shared" si="116"/>
        <v>554.32095991041683</v>
      </c>
      <c r="BI145" s="59">
        <f ca="1">AVERAGE(OFFSET($BH$3,0,0,'Données projet'!$E$11+1,1))-AVERAGE(OFFSET($H$3,0,0,'Données projet'!$E$11+1,1))</f>
        <v>312.89478437044261</v>
      </c>
      <c r="BJ145" s="59">
        <f t="shared" si="146"/>
        <v>276.16555507854571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>
        <f>EXP(-LN(2)/35)*BP144+(1-EXP(-LN(2)/35))/(LN(2)/35)*BL145*BM145*VLOOKUP('Données projet'!$B$11,Paramètres!$A$1:$I$89,3,0)*0.475*44/12</f>
        <v>83.484389122230326</v>
      </c>
      <c r="BQ145" s="21">
        <f>EXP(-LN(2)/25)*BQ144+(1-EXP(-LN(2)/25))/(LN(2)/25)*Calculateur!BL145*Calculateur!BN145*VLOOKUP('Données projet'!$B$11,Paramètres!$A$1:$I$89,3,0)*0.475*44/12</f>
        <v>25.020566735993018</v>
      </c>
      <c r="BR145" s="21">
        <f>EXP(-LN(2)/2)*BR144+(1-EXP(-LN(2)/2))/(LN(2)/2)*BL145*BO145*VLOOKUP('Données projet'!$B$11,Paramètres!$A$1:$I$89,3,0)*0.475*44/12</f>
        <v>1.5873599728155909</v>
      </c>
      <c r="BS145" s="22">
        <f t="shared" si="117"/>
        <v>110.09231583103893</v>
      </c>
      <c r="BT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0</v>
      </c>
      <c r="BZ145" s="13" t="e">
        <f>BY145*VLOOKUP('Données projet'!$B$12,Paramètres!$A$1:$I$89,3,0)*VLOOKUP('Données projet'!$B$12,Paramètres!$A$1:$I$89,5,0)</f>
        <v>#N/A</v>
      </c>
      <c r="CA145" s="13" t="e">
        <f t="shared" si="147"/>
        <v>#N/A</v>
      </c>
      <c r="CB145" s="20" t="e">
        <f t="shared" si="118"/>
        <v>#N/A</v>
      </c>
      <c r="CC145" s="59" t="e">
        <f t="shared" si="119"/>
        <v>#N/A</v>
      </c>
      <c r="CD145" s="59" t="e">
        <f ca="1">AVERAGE(OFFSET($CC$3,0,0,'Données projet'!$E$12+1,1))-AVERAGE(OFFSET($H$3,0,0,'Données projet'!$E$12+1,1))</f>
        <v>#N/A</v>
      </c>
      <c r="CE145" s="59" t="e">
        <f t="shared" si="148"/>
        <v>#N/A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 t="e">
        <f>EXP(-LN(2)/35)*CK144+(1-EXP(-LN(2)/35))/(LN(2)/35)*CG145*CH145*VLOOKUP('Données projet'!$B$12,Paramètres!$A$1:$I$89,3,0)*0.475*44/12</f>
        <v>#N/A</v>
      </c>
      <c r="CL145" s="21" t="e">
        <f>EXP(-LN(2)/25)*CL144+(1-EXP(-LN(2)/25))/(LN(2)/25)*Calculateur!CG145*Calculateur!CI145*VLOOKUP('Données projet'!$B$12,Paramètres!$A$1:$I$89,3,0)*0.475*44/12</f>
        <v>#N/A</v>
      </c>
      <c r="CM145" s="21" t="e">
        <f>EXP(-LN(2)/2)*CM144+(1-EXP(-LN(2)/2))/(LN(2)/2)*CG145*CJ145*VLOOKUP('Données projet'!$B$12,Paramètres!$A$1:$I$89,3,0)*0.475*44/12</f>
        <v>#N/A</v>
      </c>
      <c r="CN145" s="22" t="e">
        <f t="shared" si="120"/>
        <v>#N/A</v>
      </c>
      <c r="CO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0</v>
      </c>
      <c r="CU145" s="17" t="e">
        <f>CT145*VLOOKUP('Données projet'!$B$13,Paramètres!$A$1:$I$89,3,0)*VLOOKUP('Données projet'!$B$13,Paramètres!$A$1:$I$89,5,0)</f>
        <v>#N/A</v>
      </c>
      <c r="CV145" s="13" t="e">
        <f t="shared" si="149"/>
        <v>#N/A</v>
      </c>
      <c r="CW145" s="20" t="e">
        <f t="shared" si="121"/>
        <v>#N/A</v>
      </c>
      <c r="CX145" s="59" t="e">
        <f t="shared" si="122"/>
        <v>#N/A</v>
      </c>
      <c r="CY145" s="59" t="e">
        <f ca="1">AVERAGE(OFFSET($CX$3,0,0,'Données projet'!$E$13+1,1))-AVERAGE(OFFSET($H$3,0,0,'Données projet'!$E$13+1,1))</f>
        <v>#N/A</v>
      </c>
      <c r="CZ145" s="59" t="e">
        <f t="shared" si="150"/>
        <v>#N/A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 t="e">
        <f>EXP(-LN(2)/35)*DF144+(1-EXP(-LN(2)/35))/(LN(2)/35)*DB145*DC145*VLOOKUP('Données projet'!$B$13,Paramètres!$A$1:$I$89,3,0)*0.475*44/12</f>
        <v>#N/A</v>
      </c>
      <c r="DG145" s="21" t="e">
        <f>EXP(-LN(2)/25)*DG144+(1-EXP(-LN(2)/25))/(LN(2)/25)*Calculateur!DB145*Calculateur!DD145*VLOOKUP('Données projet'!$B$13,Paramètres!$A$1:$I$89,3,0)*0.475*44/12</f>
        <v>#N/A</v>
      </c>
      <c r="DH145" s="21" t="e">
        <f>EXP(-LN(2)/2)*DH144+(1-EXP(-LN(2)/2))/(LN(2)/2)*DB145*DE145*VLOOKUP('Données projet'!$B$13,Paramètres!$A$1:$I$89,3,0)*0.475*44/12</f>
        <v>#N/A</v>
      </c>
      <c r="DI145" s="22" t="e">
        <f t="shared" si="123"/>
        <v>#N/A</v>
      </c>
      <c r="DJ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0</v>
      </c>
      <c r="DP145" s="17" t="e">
        <f>DO145*VLOOKUP('Données projet'!$B$14,Paramètres!$A$1:$I$89,3,0)*VLOOKUP('Données projet'!$B$14,Paramètres!$A$1:$I$89,5,0)</f>
        <v>#N/A</v>
      </c>
      <c r="DQ145" s="13" t="e">
        <f t="shared" si="151"/>
        <v>#N/A</v>
      </c>
      <c r="DR145" s="20" t="e">
        <f t="shared" si="124"/>
        <v>#N/A</v>
      </c>
      <c r="DS145" s="59" t="e">
        <f t="shared" si="125"/>
        <v>#N/A</v>
      </c>
      <c r="DT145" s="59" t="e">
        <f ca="1">AVERAGE(OFFSET($DS$3,0,0,'Données projet'!$E$14+1,1))-AVERAGE(OFFSET($H$3,0,0,'Données projet'!$E$14+1,1))</f>
        <v>#N/A</v>
      </c>
      <c r="DU145" s="59" t="e">
        <f t="shared" si="152"/>
        <v>#N/A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 t="e">
        <f>EXP(-LN(2)/35)*EA144+(1-EXP(-LN(2)/35))/(LN(2)/35)*DW145*DX145*VLOOKUP('Données projet'!$B$14,Paramètres!$A$1:$I$89,3,0)*0.475*44/12</f>
        <v>#N/A</v>
      </c>
      <c r="EB145" s="21" t="e">
        <f>EXP(-LN(2)/25)*EB144+(1-EXP(-LN(2)/25))/(LN(2)/25)*Calculateur!DW145*Calculateur!DY145*VLOOKUP('Données projet'!$B$14,Paramètres!$A$1:$I$89,3,0)*0.475*44/12</f>
        <v>#N/A</v>
      </c>
      <c r="EC145" s="21" t="e">
        <f>EXP(-LN(2)/2)*EC144+(1-EXP(-LN(2)/2))/(LN(2)/2)*DW145*DZ145*VLOOKUP('Données projet'!$B$14,Paramètres!$A$1:$I$89,3,0)*0.475*44/12</f>
        <v>#N/A</v>
      </c>
      <c r="ED145" s="22" t="e">
        <f t="shared" si="126"/>
        <v>#N/A</v>
      </c>
      <c r="EE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0</v>
      </c>
      <c r="EK145" s="17" t="e">
        <f>EJ145*VLOOKUP('Données projet'!$B$15,Paramètres!$A$1:$I$89,3,0)*VLOOKUP('Données projet'!$B$15,Paramètres!$A$1:$I$89,5,0)</f>
        <v>#N/A</v>
      </c>
      <c r="EL145" s="13" t="e">
        <f t="shared" si="153"/>
        <v>#N/A</v>
      </c>
      <c r="EM145" s="20" t="e">
        <f t="shared" si="127"/>
        <v>#N/A</v>
      </c>
      <c r="EN145" s="59" t="e">
        <f t="shared" si="128"/>
        <v>#N/A</v>
      </c>
      <c r="EO145" s="59" t="e">
        <f ca="1">AVERAGE(OFFSET($EN$3,0,0,'Données projet'!$E$15+1,1))-AVERAGE(OFFSET($H$3,0,0,'Données projet'!$E$15+1,1))</f>
        <v>#N/A</v>
      </c>
      <c r="EP145" s="59" t="e">
        <f t="shared" si="154"/>
        <v>#N/A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 t="e">
        <f>EXP(-LN(2)/35)*EV144+(1-EXP(-LN(2)/35))/(LN(2)/35)*ER145*ES145*VLOOKUP('Données projet'!$B$15,Paramètres!$A$1:$I$89,3,0)*0.475*44/12</f>
        <v>#N/A</v>
      </c>
      <c r="EW145" s="21" t="e">
        <f>EXP(-LN(2)/25)*EW144+(1-EXP(-LN(2)/25))/(LN(2)/25)*Calculateur!ER145*Calculateur!ET145*VLOOKUP('Données projet'!$B$15,Paramètres!$A$1:$I$89,3,0)*0.475*44/12</f>
        <v>#N/A</v>
      </c>
      <c r="EX145" s="21" t="e">
        <f>EXP(-LN(2)/2)*EX144+(1-EXP(-LN(2)/2))/(LN(2)/2)*ER145*EU145*VLOOKUP('Données projet'!$B$15,Paramètres!$A$1:$I$89,3,0)*0.475*44/12</f>
        <v>#N/A</v>
      </c>
      <c r="EY145" s="22" t="e">
        <f t="shared" si="129"/>
        <v>#N/A</v>
      </c>
      <c r="EZ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9" t="e">
        <f t="shared" si="131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45">
      <c r="A146" s="10">
        <f t="shared" si="139"/>
        <v>143</v>
      </c>
      <c r="B146" s="73">
        <f>'Scénario référence'!$B$16*5+'Scénario référence'!$B$17*0+'Scénario référence'!$B$18*5</f>
        <v>0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127.15560000000025</v>
      </c>
      <c r="D146" s="11">
        <f t="shared" si="140"/>
        <v>33.33825814923194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">
        <f>IF(OR('Scénario référence'!$F$8&gt;0,'Scénario référence'!$F$9&gt;0),('Scénario référence'!$F$8+'Scénario référence'!$F$9)*10,0)</f>
        <v>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1238.8999576431959</v>
      </c>
      <c r="H146" s="67">
        <f t="shared" si="110"/>
        <v>536.19346960991265</v>
      </c>
      <c r="I146" s="7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1.7053025658242404E-13</v>
      </c>
      <c r="O146" s="13">
        <f>N146*VLOOKUP('Données projet'!$B$9,Paramètres!$A$1:$I$89,3,0)*VLOOKUP('Données projet'!$B$9,Paramètres!$A$1:$I$89,5,0)</f>
        <v>9.5326413429575044E-14</v>
      </c>
      <c r="P146" s="13">
        <f t="shared" si="141"/>
        <v>1.4400742856080346E-12</v>
      </c>
      <c r="Q146" s="20">
        <f t="shared" si="108"/>
        <v>2.6741562174905032E-12</v>
      </c>
      <c r="R146" s="59">
        <f t="shared" si="109"/>
        <v>293.33333333333599</v>
      </c>
      <c r="S146" s="59">
        <f ca="1">AVERAGE(OFFSET($R$3,0,0,'Données projet'!$E$9+1,1))-AVERAGE(OFFSET($H$3,0,0,'Données projet'!$E$9+1,1))</f>
        <v>280.69347314340195</v>
      </c>
      <c r="T146" s="59">
        <f t="shared" si="142"/>
        <v>152.40533828556482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108.21271890589621</v>
      </c>
      <c r="AA146" s="21">
        <f>EXP(-LN(2)/25)*AA145+(1-EXP(-LN(2)/25))/(LN(2)/25)*Calculateur!V146*Calculateur!X146*VLOOKUP('Données projet'!$B$9,Paramètres!$A$1:$I$89,3,0)*0.475*44/12</f>
        <v>28.862667288946312</v>
      </c>
      <c r="AB146" s="21">
        <f>EXP(-LN(2)/2)*AB145+(1-EXP(-LN(2)/2))/(LN(2)/2)*V146*Y146*VLOOKUP('Données projet'!$B$9,Paramètres!$A$1:$I$89,3,0)*0.475*44/12</f>
        <v>2.1452572720403306E-2</v>
      </c>
      <c r="AC146" s="22">
        <f t="shared" si="111"/>
        <v>137.0968387675629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0</v>
      </c>
      <c r="AJ146" s="13">
        <f>AI146*VLOOKUP('Données projet'!$B$10,Paramètres!$A$1:$I$89,3,0)*VLOOKUP('Données projet'!$B$10,Paramètres!$A$1:$I$89,5,0)</f>
        <v>0</v>
      </c>
      <c r="AK146" s="13" t="e">
        <f t="shared" si="143"/>
        <v>#NUM!</v>
      </c>
      <c r="AL146" s="20" t="e">
        <f t="shared" si="112"/>
        <v>#NUM!</v>
      </c>
      <c r="AM146" s="59" t="e">
        <f t="shared" si="113"/>
        <v>#NUM!</v>
      </c>
      <c r="AN146" s="59">
        <f ca="1">AVERAGE(OFFSET($AM$3,0,0,'Données projet'!$E$10+1,1))-AVERAGE(OFFSET($H$3,0,0,'Données projet'!$E$10+1,1))</f>
        <v>179.4725256147085</v>
      </c>
      <c r="AO146" s="59">
        <f t="shared" si="144"/>
        <v>282.16750121151176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27.903254039117922</v>
      </c>
      <c r="AV146" s="21">
        <f>EXP(-LN(2)/25)*AV145+(1-EXP(-LN(2)/25))/(LN(2)/25)*Calculateur!AQ146*Calculateur!AS146*VLOOKUP('Données projet'!$B$10,Paramètres!$A$1:$I$89,3,0)*0.475*44/12</f>
        <v>4.8928271199534707</v>
      </c>
      <c r="AW146" s="21">
        <f>EXP(-LN(2)/2)*AW145+(1-EXP(-LN(2)/2))/(LN(2)/2)*AQ146*AT146*VLOOKUP('Données projet'!$B$10,Paramètres!$A$1:$I$89,3,0)*0.475*44/12</f>
        <v>1.3865576758998696E-11</v>
      </c>
      <c r="AX146" s="21">
        <f t="shared" si="114"/>
        <v>32.796081159085254</v>
      </c>
      <c r="AY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>
        <f>VLOOKUP(A146,'Données projet'!$A$87:$I$107,2,0)</f>
        <v>142.16999999999999</v>
      </c>
      <c r="BB146" s="12">
        <f>VLOOKUP(A146,'Données projet'!$A$87:$I$107,9,0)</f>
        <v>4.0349999999999966</v>
      </c>
      <c r="BC146" s="12">
        <f t="array" ref="BC146">INDEX(BB:BB,MIN(IF(ISNUMBER(BB146:BB342),ROW(BB146:BB342),"")))</f>
        <v>4.0349999999999966</v>
      </c>
      <c r="BD146" s="12">
        <f>IF('Données projet'!$A$88&gt;35,BD145+BC146-BL145,IF(A146&lt;'Données projet'!$A$88,$BA$205^A146,IF(A146='Données projet'!$A$88,'Données projet'!$B$88,BD145+BC146-BL145)))</f>
        <v>142.17000000000061</v>
      </c>
      <c r="BE146" s="13">
        <f>BD146*VLOOKUP('Données projet'!$B$11,Paramètres!$A$1:$I$89,3,0)*VLOOKUP('Données projet'!$B$11,Paramètres!$A$1:$I$89,5,0)</f>
        <v>121.98186000000054</v>
      </c>
      <c r="BF146" s="13">
        <f t="shared" si="145"/>
        <v>32.136793997836108</v>
      </c>
      <c r="BG146" s="20">
        <f t="shared" si="115"/>
        <v>268.42332237956549</v>
      </c>
      <c r="BH146" s="59">
        <f t="shared" si="116"/>
        <v>561.75665571289881</v>
      </c>
      <c r="BI146" s="59">
        <f ca="1">AVERAGE(OFFSET($BH$3,0,0,'Données projet'!$E$11+1,1))-AVERAGE(OFFSET($H$3,0,0,'Données projet'!$E$11+1,1))</f>
        <v>312.89478437044261</v>
      </c>
      <c r="BJ146" s="59">
        <f t="shared" si="146"/>
        <v>276.16555507854571</v>
      </c>
      <c r="BK146" s="15">
        <f>IF(ISNA(VLOOKUP(A146,'Données projet'!$A$87:$I$107,3,0)),0,VLOOKUP(A146,'Données projet'!$A$87:$I$107,3,0))</f>
        <v>11</v>
      </c>
      <c r="BL146" s="15">
        <f>IF(ISNA(VLOOKUP(A146,'Données projet'!$A$87:$I$107,4,0)),0,VLOOKUP(A146,'Données projet'!$A$87:$I$107,4,0))</f>
        <v>142.16999999999999</v>
      </c>
      <c r="BM146" s="16">
        <f>IF(ISNA(VLOOKUP(A146,'Données projet'!$A$87:$I$107,5,0)),0%,VLOOKUP(A146,'Données projet'!$A$87:$I$107,5,0)*VLOOKUP('Données projet'!$B$11,Paramètres!$A$1:$I$89,7,0))</f>
        <v>0.23850000000000002</v>
      </c>
      <c r="BN146" s="16">
        <f>IF(ISNA(VLOOKUP(A146,'Données projet'!$A$87:$I$107,6,0)),0%,VLOOKUP(A146,'Données projet'!$A$87:$I$107,6,0)*VLOOKUP('Données projet'!$B$11,Paramètres!$A$1:$I$89,7,0))</f>
        <v>2.6500000000000003E-2</v>
      </c>
      <c r="BO146" s="16">
        <f>IF(ISNA(VLOOKUP(A146,'Données projet'!$A$87:$I$107,7,0)),0%,VLOOKUP(A146,'Données projet'!$A$87:$I$107,7,0))</f>
        <v>0.05</v>
      </c>
      <c r="BP146" s="21">
        <f>EXP(-LN(2)/35)*BP145+(1-EXP(-LN(2)/35))/(LN(2)/35)*BL146*BM146*VLOOKUP('Données projet'!$B$11,Paramètres!$A$1:$I$89,3,0)*0.475*44/12</f>
        <v>114.00840010926771</v>
      </c>
      <c r="BQ146" s="21">
        <f>EXP(-LN(2)/25)*BQ145+(1-EXP(-LN(2)/25))/(LN(2)/25)*Calculateur!BL146*Calculateur!BN146*VLOOKUP('Données projet'!$B$11,Paramètres!$A$1:$I$89,3,0)*0.475*44/12</f>
        <v>27.895762297911013</v>
      </c>
      <c r="BR146" s="21">
        <f>EXP(-LN(2)/2)*BR145+(1-EXP(-LN(2)/2))/(LN(2)/2)*BL146*BO146*VLOOKUP('Données projet'!$B$11,Paramètres!$A$1:$I$89,3,0)*0.475*44/12</f>
        <v>6.8770914011433195</v>
      </c>
      <c r="BS146" s="22">
        <f t="shared" si="117"/>
        <v>148.78125380832205</v>
      </c>
      <c r="BT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0</v>
      </c>
      <c r="BZ146" s="13" t="e">
        <f>BY146*VLOOKUP('Données projet'!$B$12,Paramètres!$A$1:$I$89,3,0)*VLOOKUP('Données projet'!$B$12,Paramètres!$A$1:$I$89,5,0)</f>
        <v>#N/A</v>
      </c>
      <c r="CA146" s="13" t="e">
        <f t="shared" si="147"/>
        <v>#N/A</v>
      </c>
      <c r="CB146" s="20" t="e">
        <f t="shared" si="118"/>
        <v>#N/A</v>
      </c>
      <c r="CC146" s="59" t="e">
        <f t="shared" si="119"/>
        <v>#N/A</v>
      </c>
      <c r="CD146" s="59" t="e">
        <f ca="1">AVERAGE(OFFSET($CC$3,0,0,'Données projet'!$E$12+1,1))-AVERAGE(OFFSET($H$3,0,0,'Données projet'!$E$12+1,1))</f>
        <v>#N/A</v>
      </c>
      <c r="CE146" s="59" t="e">
        <f t="shared" si="148"/>
        <v>#N/A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 t="e">
        <f>EXP(-LN(2)/35)*CK145+(1-EXP(-LN(2)/35))/(LN(2)/35)*CG146*CH146*VLOOKUP('Données projet'!$B$12,Paramètres!$A$1:$I$89,3,0)*0.475*44/12</f>
        <v>#N/A</v>
      </c>
      <c r="CL146" s="21" t="e">
        <f>EXP(-LN(2)/25)*CL145+(1-EXP(-LN(2)/25))/(LN(2)/25)*Calculateur!CG146*Calculateur!CI146*VLOOKUP('Données projet'!$B$12,Paramètres!$A$1:$I$89,3,0)*0.475*44/12</f>
        <v>#N/A</v>
      </c>
      <c r="CM146" s="21" t="e">
        <f>EXP(-LN(2)/2)*CM145+(1-EXP(-LN(2)/2))/(LN(2)/2)*CG146*CJ146*VLOOKUP('Données projet'!$B$12,Paramètres!$A$1:$I$89,3,0)*0.475*44/12</f>
        <v>#N/A</v>
      </c>
      <c r="CN146" s="22" t="e">
        <f t="shared" si="120"/>
        <v>#N/A</v>
      </c>
      <c r="CO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0</v>
      </c>
      <c r="CU146" s="17" t="e">
        <f>CT146*VLOOKUP('Données projet'!$B$13,Paramètres!$A$1:$I$89,3,0)*VLOOKUP('Données projet'!$B$13,Paramètres!$A$1:$I$89,5,0)</f>
        <v>#N/A</v>
      </c>
      <c r="CV146" s="13" t="e">
        <f t="shared" si="149"/>
        <v>#N/A</v>
      </c>
      <c r="CW146" s="20" t="e">
        <f t="shared" si="121"/>
        <v>#N/A</v>
      </c>
      <c r="CX146" s="59" t="e">
        <f t="shared" si="122"/>
        <v>#N/A</v>
      </c>
      <c r="CY146" s="59" t="e">
        <f ca="1">AVERAGE(OFFSET($CX$3,0,0,'Données projet'!$E$13+1,1))-AVERAGE(OFFSET($H$3,0,0,'Données projet'!$E$13+1,1))</f>
        <v>#N/A</v>
      </c>
      <c r="CZ146" s="59" t="e">
        <f t="shared" si="150"/>
        <v>#N/A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 t="e">
        <f>EXP(-LN(2)/35)*DF145+(1-EXP(-LN(2)/35))/(LN(2)/35)*DB146*DC146*VLOOKUP('Données projet'!$B$13,Paramètres!$A$1:$I$89,3,0)*0.475*44/12</f>
        <v>#N/A</v>
      </c>
      <c r="DG146" s="21" t="e">
        <f>EXP(-LN(2)/25)*DG145+(1-EXP(-LN(2)/25))/(LN(2)/25)*Calculateur!DB146*Calculateur!DD146*VLOOKUP('Données projet'!$B$13,Paramètres!$A$1:$I$89,3,0)*0.475*44/12</f>
        <v>#N/A</v>
      </c>
      <c r="DH146" s="21" t="e">
        <f>EXP(-LN(2)/2)*DH145+(1-EXP(-LN(2)/2))/(LN(2)/2)*DB146*DE146*VLOOKUP('Données projet'!$B$13,Paramètres!$A$1:$I$89,3,0)*0.475*44/12</f>
        <v>#N/A</v>
      </c>
      <c r="DI146" s="22" t="e">
        <f t="shared" si="123"/>
        <v>#N/A</v>
      </c>
      <c r="DJ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0</v>
      </c>
      <c r="DP146" s="17" t="e">
        <f>DO146*VLOOKUP('Données projet'!$B$14,Paramètres!$A$1:$I$89,3,0)*VLOOKUP('Données projet'!$B$14,Paramètres!$A$1:$I$89,5,0)</f>
        <v>#N/A</v>
      </c>
      <c r="DQ146" s="13" t="e">
        <f t="shared" si="151"/>
        <v>#N/A</v>
      </c>
      <c r="DR146" s="20" t="e">
        <f t="shared" si="124"/>
        <v>#N/A</v>
      </c>
      <c r="DS146" s="59" t="e">
        <f t="shared" si="125"/>
        <v>#N/A</v>
      </c>
      <c r="DT146" s="59" t="e">
        <f ca="1">AVERAGE(OFFSET($DS$3,0,0,'Données projet'!$E$14+1,1))-AVERAGE(OFFSET($H$3,0,0,'Données projet'!$E$14+1,1))</f>
        <v>#N/A</v>
      </c>
      <c r="DU146" s="59" t="e">
        <f t="shared" si="152"/>
        <v>#N/A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 t="e">
        <f>EXP(-LN(2)/35)*EA145+(1-EXP(-LN(2)/35))/(LN(2)/35)*DW146*DX146*VLOOKUP('Données projet'!$B$14,Paramètres!$A$1:$I$89,3,0)*0.475*44/12</f>
        <v>#N/A</v>
      </c>
      <c r="EB146" s="21" t="e">
        <f>EXP(-LN(2)/25)*EB145+(1-EXP(-LN(2)/25))/(LN(2)/25)*Calculateur!DW146*Calculateur!DY146*VLOOKUP('Données projet'!$B$14,Paramètres!$A$1:$I$89,3,0)*0.475*44/12</f>
        <v>#N/A</v>
      </c>
      <c r="EC146" s="21" t="e">
        <f>EXP(-LN(2)/2)*EC145+(1-EXP(-LN(2)/2))/(LN(2)/2)*DW146*DZ146*VLOOKUP('Données projet'!$B$14,Paramètres!$A$1:$I$89,3,0)*0.475*44/12</f>
        <v>#N/A</v>
      </c>
      <c r="ED146" s="22" t="e">
        <f t="shared" si="126"/>
        <v>#N/A</v>
      </c>
      <c r="EE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0</v>
      </c>
      <c r="EK146" s="17" t="e">
        <f>EJ146*VLOOKUP('Données projet'!$B$15,Paramètres!$A$1:$I$89,3,0)*VLOOKUP('Données projet'!$B$15,Paramètres!$A$1:$I$89,5,0)</f>
        <v>#N/A</v>
      </c>
      <c r="EL146" s="13" t="e">
        <f t="shared" si="153"/>
        <v>#N/A</v>
      </c>
      <c r="EM146" s="20" t="e">
        <f t="shared" si="127"/>
        <v>#N/A</v>
      </c>
      <c r="EN146" s="59" t="e">
        <f t="shared" si="128"/>
        <v>#N/A</v>
      </c>
      <c r="EO146" s="59" t="e">
        <f ca="1">AVERAGE(OFFSET($EN$3,0,0,'Données projet'!$E$15+1,1))-AVERAGE(OFFSET($H$3,0,0,'Données projet'!$E$15+1,1))</f>
        <v>#N/A</v>
      </c>
      <c r="EP146" s="59" t="e">
        <f t="shared" si="154"/>
        <v>#N/A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 t="e">
        <f>EXP(-LN(2)/35)*EV145+(1-EXP(-LN(2)/35))/(LN(2)/35)*ER146*ES146*VLOOKUP('Données projet'!$B$15,Paramètres!$A$1:$I$89,3,0)*0.475*44/12</f>
        <v>#N/A</v>
      </c>
      <c r="EW146" s="21" t="e">
        <f>EXP(-LN(2)/25)*EW145+(1-EXP(-LN(2)/25))/(LN(2)/25)*Calculateur!ER146*Calculateur!ET146*VLOOKUP('Données projet'!$B$15,Paramètres!$A$1:$I$89,3,0)*0.475*44/12</f>
        <v>#N/A</v>
      </c>
      <c r="EX146" s="21" t="e">
        <f>EXP(-LN(2)/2)*EX145+(1-EXP(-LN(2)/2))/(LN(2)/2)*ER146*EU146*VLOOKUP('Données projet'!$B$15,Paramètres!$A$1:$I$89,3,0)*0.475*44/12</f>
        <v>#N/A</v>
      </c>
      <c r="EY146" s="22" t="e">
        <f t="shared" si="129"/>
        <v>#N/A</v>
      </c>
      <c r="EZ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9" t="e">
        <f t="shared" si="131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45">
      <c r="A147" s="10">
        <f t="shared" si="139"/>
        <v>144</v>
      </c>
      <c r="B147" s="73">
        <f>'Scénario référence'!$B$16*5+'Scénario référence'!$B$17*0+'Scénario référence'!$B$18*5</f>
        <v>0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128.04480000000024</v>
      </c>
      <c r="D147" s="11">
        <f t="shared" si="140"/>
        <v>33.544172323452237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">
        <f>IF(OR('Scénario référence'!$F$8&gt;0,'Scénario référence'!$F$9&gt;0),('Scénario référence'!$F$8+'Scénario référence'!$F$9)*10,0)</f>
        <v>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1247.3534705670015</v>
      </c>
      <c r="H147" s="67">
        <f t="shared" si="110"/>
        <v>538.10079346334646</v>
      </c>
      <c r="I147" s="7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1.7053025658242404E-13</v>
      </c>
      <c r="O147" s="13">
        <f>N147*VLOOKUP('Données projet'!$B$9,Paramètres!$A$1:$I$89,3,0)*VLOOKUP('Données projet'!$B$9,Paramètres!$A$1:$I$89,5,0)</f>
        <v>9.5326413429575044E-14</v>
      </c>
      <c r="P147" s="13">
        <f t="shared" si="141"/>
        <v>1.4400742856080346E-12</v>
      </c>
      <c r="Q147" s="20">
        <f t="shared" si="108"/>
        <v>2.6741562174905032E-12</v>
      </c>
      <c r="R147" s="59">
        <f t="shared" si="109"/>
        <v>293.33333333333599</v>
      </c>
      <c r="S147" s="59">
        <f ca="1">AVERAGE(OFFSET($R$3,0,0,'Données projet'!$E$9+1,1))-AVERAGE(OFFSET($H$3,0,0,'Données projet'!$E$9+1,1))</f>
        <v>280.69347314340195</v>
      </c>
      <c r="T147" s="59">
        <f t="shared" si="142"/>
        <v>152.40533828556482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106.09073349139284</v>
      </c>
      <c r="AA147" s="21">
        <f>EXP(-LN(2)/25)*AA146+(1-EXP(-LN(2)/25))/(LN(2)/25)*Calculateur!V147*Calculateur!X147*VLOOKUP('Données projet'!$B$9,Paramètres!$A$1:$I$89,3,0)*0.475*44/12</f>
        <v>28.073416134108371</v>
      </c>
      <c r="AB147" s="21">
        <f>EXP(-LN(2)/2)*AB146+(1-EXP(-LN(2)/2))/(LN(2)/2)*V147*Y147*VLOOKUP('Données projet'!$B$9,Paramètres!$A$1:$I$89,3,0)*0.475*44/12</f>
        <v>1.5169259644494721E-2</v>
      </c>
      <c r="AC147" s="22">
        <f t="shared" si="111"/>
        <v>134.1793188851457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0</v>
      </c>
      <c r="AJ147" s="13">
        <f>AI147*VLOOKUP('Données projet'!$B$10,Paramètres!$A$1:$I$89,3,0)*VLOOKUP('Données projet'!$B$10,Paramètres!$A$1:$I$89,5,0)</f>
        <v>0</v>
      </c>
      <c r="AK147" s="13" t="e">
        <f t="shared" si="143"/>
        <v>#NUM!</v>
      </c>
      <c r="AL147" s="20" t="e">
        <f t="shared" si="112"/>
        <v>#NUM!</v>
      </c>
      <c r="AM147" s="59" t="e">
        <f t="shared" si="113"/>
        <v>#NUM!</v>
      </c>
      <c r="AN147" s="59">
        <f ca="1">AVERAGE(OFFSET($AM$3,0,0,'Données projet'!$E$10+1,1))-AVERAGE(OFFSET($H$3,0,0,'Données projet'!$E$10+1,1))</f>
        <v>179.4725256147085</v>
      </c>
      <c r="AO147" s="59">
        <f t="shared" si="144"/>
        <v>282.16750121151176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27.356088246715267</v>
      </c>
      <c r="AV147" s="21">
        <f>EXP(-LN(2)/25)*AV146+(1-EXP(-LN(2)/25))/(LN(2)/25)*Calculateur!AQ147*Calculateur!AS147*VLOOKUP('Données projet'!$B$10,Paramètres!$A$1:$I$89,3,0)*0.475*44/12</f>
        <v>4.7590325050557478</v>
      </c>
      <c r="AW147" s="21">
        <f>EXP(-LN(2)/2)*AW146+(1-EXP(-LN(2)/2))/(LN(2)/2)*AQ147*AT147*VLOOKUP('Données projet'!$B$10,Paramètres!$A$1:$I$89,3,0)*0.475*44/12</f>
        <v>9.8044433513505699E-12</v>
      </c>
      <c r="AX147" s="21">
        <f t="shared" si="114"/>
        <v>32.115120751780822</v>
      </c>
      <c r="AY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6.2527760746888816E-13</v>
      </c>
      <c r="BE147" s="13">
        <f>BD147*VLOOKUP('Données projet'!$B$11,Paramètres!$A$1:$I$89,3,0)*VLOOKUP('Données projet'!$B$11,Paramètres!$A$1:$I$89,5,0)</f>
        <v>5.3648818720830608E-13</v>
      </c>
      <c r="BF147" s="13">
        <f t="shared" si="145"/>
        <v>6.6281362235424649E-12</v>
      </c>
      <c r="BG147" s="20">
        <f t="shared" si="115"/>
        <v>1.2478387515390925E-11</v>
      </c>
      <c r="BH147" s="59">
        <f t="shared" si="116"/>
        <v>293.33333333334582</v>
      </c>
      <c r="BI147" s="59">
        <f ca="1">AVERAGE(OFFSET($BH$3,0,0,'Données projet'!$E$11+1,1))-AVERAGE(OFFSET($H$3,0,0,'Données projet'!$E$11+1,1))</f>
        <v>312.89478437044261</v>
      </c>
      <c r="BJ147" s="59">
        <f t="shared" si="146"/>
        <v>276.16555507854571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>
        <f>EXP(-LN(2)/35)*BP146+(1-EXP(-LN(2)/35))/(LN(2)/35)*BL147*BM147*VLOOKUP('Données projet'!$B$11,Paramètres!$A$1:$I$89,3,0)*0.475*44/12</f>
        <v>111.7727649213827</v>
      </c>
      <c r="BQ147" s="21">
        <f>EXP(-LN(2)/25)*BQ146+(1-EXP(-LN(2)/25))/(LN(2)/25)*Calculateur!BL147*Calculateur!BN147*VLOOKUP('Données projet'!$B$11,Paramètres!$A$1:$I$89,3,0)*0.475*44/12</f>
        <v>27.132951210900252</v>
      </c>
      <c r="BR147" s="21">
        <f>EXP(-LN(2)/2)*BR146+(1-EXP(-LN(2)/2))/(LN(2)/2)*BL147*BO147*VLOOKUP('Données projet'!$B$11,Paramètres!$A$1:$I$89,3,0)*0.475*44/12</f>
        <v>4.8628379645881372</v>
      </c>
      <c r="BS147" s="22">
        <f t="shared" si="117"/>
        <v>143.76855409687107</v>
      </c>
      <c r="BT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0</v>
      </c>
      <c r="BZ147" s="13" t="e">
        <f>BY147*VLOOKUP('Données projet'!$B$12,Paramètres!$A$1:$I$89,3,0)*VLOOKUP('Données projet'!$B$12,Paramètres!$A$1:$I$89,5,0)</f>
        <v>#N/A</v>
      </c>
      <c r="CA147" s="13" t="e">
        <f t="shared" si="147"/>
        <v>#N/A</v>
      </c>
      <c r="CB147" s="20" t="e">
        <f t="shared" si="118"/>
        <v>#N/A</v>
      </c>
      <c r="CC147" s="59" t="e">
        <f t="shared" si="119"/>
        <v>#N/A</v>
      </c>
      <c r="CD147" s="59" t="e">
        <f ca="1">AVERAGE(OFFSET($CC$3,0,0,'Données projet'!$E$12+1,1))-AVERAGE(OFFSET($H$3,0,0,'Données projet'!$E$12+1,1))</f>
        <v>#N/A</v>
      </c>
      <c r="CE147" s="59" t="e">
        <f t="shared" si="148"/>
        <v>#N/A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 t="e">
        <f>EXP(-LN(2)/35)*CK146+(1-EXP(-LN(2)/35))/(LN(2)/35)*CG147*CH147*VLOOKUP('Données projet'!$B$12,Paramètres!$A$1:$I$89,3,0)*0.475*44/12</f>
        <v>#N/A</v>
      </c>
      <c r="CL147" s="21" t="e">
        <f>EXP(-LN(2)/25)*CL146+(1-EXP(-LN(2)/25))/(LN(2)/25)*Calculateur!CG147*Calculateur!CI147*VLOOKUP('Données projet'!$B$12,Paramètres!$A$1:$I$89,3,0)*0.475*44/12</f>
        <v>#N/A</v>
      </c>
      <c r="CM147" s="21" t="e">
        <f>EXP(-LN(2)/2)*CM146+(1-EXP(-LN(2)/2))/(LN(2)/2)*CG147*CJ147*VLOOKUP('Données projet'!$B$12,Paramètres!$A$1:$I$89,3,0)*0.475*44/12</f>
        <v>#N/A</v>
      </c>
      <c r="CN147" s="22" t="e">
        <f t="shared" si="120"/>
        <v>#N/A</v>
      </c>
      <c r="CO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0</v>
      </c>
      <c r="CU147" s="17" t="e">
        <f>CT147*VLOOKUP('Données projet'!$B$13,Paramètres!$A$1:$I$89,3,0)*VLOOKUP('Données projet'!$B$13,Paramètres!$A$1:$I$89,5,0)</f>
        <v>#N/A</v>
      </c>
      <c r="CV147" s="13" t="e">
        <f t="shared" si="149"/>
        <v>#N/A</v>
      </c>
      <c r="CW147" s="20" t="e">
        <f t="shared" si="121"/>
        <v>#N/A</v>
      </c>
      <c r="CX147" s="59" t="e">
        <f t="shared" si="122"/>
        <v>#N/A</v>
      </c>
      <c r="CY147" s="59" t="e">
        <f ca="1">AVERAGE(OFFSET($CX$3,0,0,'Données projet'!$E$13+1,1))-AVERAGE(OFFSET($H$3,0,0,'Données projet'!$E$13+1,1))</f>
        <v>#N/A</v>
      </c>
      <c r="CZ147" s="59" t="e">
        <f t="shared" si="150"/>
        <v>#N/A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 t="e">
        <f>EXP(-LN(2)/35)*DF146+(1-EXP(-LN(2)/35))/(LN(2)/35)*DB147*DC147*VLOOKUP('Données projet'!$B$13,Paramètres!$A$1:$I$89,3,0)*0.475*44/12</f>
        <v>#N/A</v>
      </c>
      <c r="DG147" s="21" t="e">
        <f>EXP(-LN(2)/25)*DG146+(1-EXP(-LN(2)/25))/(LN(2)/25)*Calculateur!DB147*Calculateur!DD147*VLOOKUP('Données projet'!$B$13,Paramètres!$A$1:$I$89,3,0)*0.475*44/12</f>
        <v>#N/A</v>
      </c>
      <c r="DH147" s="21" t="e">
        <f>EXP(-LN(2)/2)*DH146+(1-EXP(-LN(2)/2))/(LN(2)/2)*DB147*DE147*VLOOKUP('Données projet'!$B$13,Paramètres!$A$1:$I$89,3,0)*0.475*44/12</f>
        <v>#N/A</v>
      </c>
      <c r="DI147" s="22" t="e">
        <f t="shared" si="123"/>
        <v>#N/A</v>
      </c>
      <c r="DJ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0</v>
      </c>
      <c r="DP147" s="17" t="e">
        <f>DO147*VLOOKUP('Données projet'!$B$14,Paramètres!$A$1:$I$89,3,0)*VLOOKUP('Données projet'!$B$14,Paramètres!$A$1:$I$89,5,0)</f>
        <v>#N/A</v>
      </c>
      <c r="DQ147" s="13" t="e">
        <f t="shared" si="151"/>
        <v>#N/A</v>
      </c>
      <c r="DR147" s="20" t="e">
        <f t="shared" si="124"/>
        <v>#N/A</v>
      </c>
      <c r="DS147" s="59" t="e">
        <f t="shared" si="125"/>
        <v>#N/A</v>
      </c>
      <c r="DT147" s="59" t="e">
        <f ca="1">AVERAGE(OFFSET($DS$3,0,0,'Données projet'!$E$14+1,1))-AVERAGE(OFFSET($H$3,0,0,'Données projet'!$E$14+1,1))</f>
        <v>#N/A</v>
      </c>
      <c r="DU147" s="59" t="e">
        <f t="shared" si="152"/>
        <v>#N/A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 t="e">
        <f>EXP(-LN(2)/35)*EA146+(1-EXP(-LN(2)/35))/(LN(2)/35)*DW147*DX147*VLOOKUP('Données projet'!$B$14,Paramètres!$A$1:$I$89,3,0)*0.475*44/12</f>
        <v>#N/A</v>
      </c>
      <c r="EB147" s="21" t="e">
        <f>EXP(-LN(2)/25)*EB146+(1-EXP(-LN(2)/25))/(LN(2)/25)*Calculateur!DW147*Calculateur!DY147*VLOOKUP('Données projet'!$B$14,Paramètres!$A$1:$I$89,3,0)*0.475*44/12</f>
        <v>#N/A</v>
      </c>
      <c r="EC147" s="21" t="e">
        <f>EXP(-LN(2)/2)*EC146+(1-EXP(-LN(2)/2))/(LN(2)/2)*DW147*DZ147*VLOOKUP('Données projet'!$B$14,Paramètres!$A$1:$I$89,3,0)*0.475*44/12</f>
        <v>#N/A</v>
      </c>
      <c r="ED147" s="22" t="e">
        <f t="shared" si="126"/>
        <v>#N/A</v>
      </c>
      <c r="EE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0</v>
      </c>
      <c r="EK147" s="17" t="e">
        <f>EJ147*VLOOKUP('Données projet'!$B$15,Paramètres!$A$1:$I$89,3,0)*VLOOKUP('Données projet'!$B$15,Paramètres!$A$1:$I$89,5,0)</f>
        <v>#N/A</v>
      </c>
      <c r="EL147" s="13" t="e">
        <f t="shared" si="153"/>
        <v>#N/A</v>
      </c>
      <c r="EM147" s="20" t="e">
        <f t="shared" si="127"/>
        <v>#N/A</v>
      </c>
      <c r="EN147" s="59" t="e">
        <f t="shared" si="128"/>
        <v>#N/A</v>
      </c>
      <c r="EO147" s="59" t="e">
        <f ca="1">AVERAGE(OFFSET($EN$3,0,0,'Données projet'!$E$15+1,1))-AVERAGE(OFFSET($H$3,0,0,'Données projet'!$E$15+1,1))</f>
        <v>#N/A</v>
      </c>
      <c r="EP147" s="59" t="e">
        <f t="shared" si="154"/>
        <v>#N/A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 t="e">
        <f>EXP(-LN(2)/35)*EV146+(1-EXP(-LN(2)/35))/(LN(2)/35)*ER147*ES147*VLOOKUP('Données projet'!$B$15,Paramètres!$A$1:$I$89,3,0)*0.475*44/12</f>
        <v>#N/A</v>
      </c>
      <c r="EW147" s="21" t="e">
        <f>EXP(-LN(2)/25)*EW146+(1-EXP(-LN(2)/25))/(LN(2)/25)*Calculateur!ER147*Calculateur!ET147*VLOOKUP('Données projet'!$B$15,Paramètres!$A$1:$I$89,3,0)*0.475*44/12</f>
        <v>#N/A</v>
      </c>
      <c r="EX147" s="21" t="e">
        <f>EXP(-LN(2)/2)*EX146+(1-EXP(-LN(2)/2))/(LN(2)/2)*ER147*EU147*VLOOKUP('Données projet'!$B$15,Paramètres!$A$1:$I$89,3,0)*0.475*44/12</f>
        <v>#N/A</v>
      </c>
      <c r="EY147" s="22" t="e">
        <f t="shared" si="129"/>
        <v>#N/A</v>
      </c>
      <c r="EZ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9" t="e">
        <f t="shared" si="131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45">
      <c r="A148" s="10">
        <f t="shared" si="139"/>
        <v>145</v>
      </c>
      <c r="B148" s="73">
        <f>'Scénario référence'!$B$16*5+'Scénario référence'!$B$17*0+'Scénario référence'!$B$18*5</f>
        <v>0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128.93400000000022</v>
      </c>
      <c r="D148" s="11">
        <f t="shared" si="140"/>
        <v>33.749920116221446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">
        <f>IF(OR('Scénario référence'!$F$8&gt;0,'Scénario référence'!$F$9&gt;0),('Scénario référence'!$F$8+'Scénario référence'!$F$9)*10,0)</f>
        <v>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1255.8056991427636</v>
      </c>
      <c r="H148" s="67">
        <f t="shared" si="110"/>
        <v>540.00782753575277</v>
      </c>
      <c r="I148" s="7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1.7053025658242404E-13</v>
      </c>
      <c r="O148" s="13">
        <f>N148*VLOOKUP('Données projet'!$B$9,Paramètres!$A$1:$I$89,3,0)*VLOOKUP('Données projet'!$B$9,Paramètres!$A$1:$I$89,5,0)</f>
        <v>9.5326413429575044E-14</v>
      </c>
      <c r="P148" s="13">
        <f t="shared" si="141"/>
        <v>1.4400742856080346E-12</v>
      </c>
      <c r="Q148" s="20">
        <f t="shared" si="108"/>
        <v>2.6741562174905032E-12</v>
      </c>
      <c r="R148" s="59">
        <f t="shared" si="109"/>
        <v>293.33333333333599</v>
      </c>
      <c r="S148" s="59">
        <f ca="1">AVERAGE(OFFSET($R$3,0,0,'Données projet'!$E$9+1,1))-AVERAGE(OFFSET($H$3,0,0,'Données projet'!$E$9+1,1))</f>
        <v>280.69347314340195</v>
      </c>
      <c r="T148" s="59">
        <f t="shared" si="142"/>
        <v>152.40533828556482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104.01035891658458</v>
      </c>
      <c r="AA148" s="21">
        <f>EXP(-LN(2)/25)*AA147+(1-EXP(-LN(2)/25))/(LN(2)/25)*Calculateur!V148*Calculateur!X148*VLOOKUP('Données projet'!$B$9,Paramètres!$A$1:$I$89,3,0)*0.475*44/12</f>
        <v>27.305747093604385</v>
      </c>
      <c r="AB148" s="21">
        <f>EXP(-LN(2)/2)*AB147+(1-EXP(-LN(2)/2))/(LN(2)/2)*V148*Y148*VLOOKUP('Données projet'!$B$9,Paramètres!$A$1:$I$89,3,0)*0.475*44/12</f>
        <v>1.0726286360201655E-2</v>
      </c>
      <c r="AC148" s="22">
        <f t="shared" si="111"/>
        <v>131.32683229654918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0</v>
      </c>
      <c r="AJ148" s="13">
        <f>AI148*VLOOKUP('Données projet'!$B$10,Paramètres!$A$1:$I$89,3,0)*VLOOKUP('Données projet'!$B$10,Paramètres!$A$1:$I$89,5,0)</f>
        <v>0</v>
      </c>
      <c r="AK148" s="13" t="e">
        <f t="shared" si="143"/>
        <v>#NUM!</v>
      </c>
      <c r="AL148" s="20" t="e">
        <f t="shared" si="112"/>
        <v>#NUM!</v>
      </c>
      <c r="AM148" s="59" t="e">
        <f t="shared" si="113"/>
        <v>#NUM!</v>
      </c>
      <c r="AN148" s="59">
        <f ca="1">AVERAGE(OFFSET($AM$3,0,0,'Données projet'!$E$10+1,1))-AVERAGE(OFFSET($H$3,0,0,'Données projet'!$E$10+1,1))</f>
        <v>179.4725256147085</v>
      </c>
      <c r="AO148" s="59">
        <f t="shared" si="144"/>
        <v>282.16750121151176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26.819652041763447</v>
      </c>
      <c r="AV148" s="21">
        <f>EXP(-LN(2)/25)*AV147+(1-EXP(-LN(2)/25))/(LN(2)/25)*Calculateur!AQ148*Calculateur!AS148*VLOOKUP('Données projet'!$B$10,Paramètres!$A$1:$I$89,3,0)*0.475*44/12</f>
        <v>4.6288965109383557</v>
      </c>
      <c r="AW148" s="21">
        <f>EXP(-LN(2)/2)*AW147+(1-EXP(-LN(2)/2))/(LN(2)/2)*AQ148*AT148*VLOOKUP('Données projet'!$B$10,Paramètres!$A$1:$I$89,3,0)*0.475*44/12</f>
        <v>6.9327883794993482E-12</v>
      </c>
      <c r="AX148" s="21">
        <f t="shared" si="114"/>
        <v>31.448548552708733</v>
      </c>
      <c r="AY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6.2527760746888816E-13</v>
      </c>
      <c r="BE148" s="13">
        <f>BD148*VLOOKUP('Données projet'!$B$11,Paramètres!$A$1:$I$89,3,0)*VLOOKUP('Données projet'!$B$11,Paramètres!$A$1:$I$89,5,0)</f>
        <v>5.3648818720830608E-13</v>
      </c>
      <c r="BF148" s="13">
        <f t="shared" si="145"/>
        <v>6.6281362235424649E-12</v>
      </c>
      <c r="BG148" s="20">
        <f t="shared" si="115"/>
        <v>1.2478387515390925E-11</v>
      </c>
      <c r="BH148" s="59">
        <f t="shared" si="116"/>
        <v>293.33333333334582</v>
      </c>
      <c r="BI148" s="59">
        <f ca="1">AVERAGE(OFFSET($BH$3,0,0,'Données projet'!$E$11+1,1))-AVERAGE(OFFSET($H$3,0,0,'Données projet'!$E$11+1,1))</f>
        <v>312.89478437044261</v>
      </c>
      <c r="BJ148" s="59">
        <f t="shared" si="146"/>
        <v>276.16555507854571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>
        <f>EXP(-LN(2)/35)*BP147+(1-EXP(-LN(2)/35))/(LN(2)/35)*BL148*BM148*VLOOKUP('Données projet'!$B$11,Paramètres!$A$1:$I$89,3,0)*0.475*44/12</f>
        <v>109.5809691759293</v>
      </c>
      <c r="BQ148" s="21">
        <f>EXP(-LN(2)/25)*BQ147+(1-EXP(-LN(2)/25))/(LN(2)/25)*Calculateur!BL148*Calculateur!BN148*VLOOKUP('Données projet'!$B$11,Paramètres!$A$1:$I$89,3,0)*0.475*44/12</f>
        <v>26.390999233178295</v>
      </c>
      <c r="BR148" s="21">
        <f>EXP(-LN(2)/2)*BR147+(1-EXP(-LN(2)/2))/(LN(2)/2)*BL148*BO148*VLOOKUP('Données projet'!$B$11,Paramètres!$A$1:$I$89,3,0)*0.475*44/12</f>
        <v>3.4385457005716602</v>
      </c>
      <c r="BS148" s="22">
        <f t="shared" si="117"/>
        <v>139.41051410967927</v>
      </c>
      <c r="BT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0</v>
      </c>
      <c r="BZ148" s="13" t="e">
        <f>BY148*VLOOKUP('Données projet'!$B$12,Paramètres!$A$1:$I$89,3,0)*VLOOKUP('Données projet'!$B$12,Paramètres!$A$1:$I$89,5,0)</f>
        <v>#N/A</v>
      </c>
      <c r="CA148" s="13" t="e">
        <f t="shared" si="147"/>
        <v>#N/A</v>
      </c>
      <c r="CB148" s="20" t="e">
        <f t="shared" si="118"/>
        <v>#N/A</v>
      </c>
      <c r="CC148" s="59" t="e">
        <f t="shared" si="119"/>
        <v>#N/A</v>
      </c>
      <c r="CD148" s="59" t="e">
        <f ca="1">AVERAGE(OFFSET($CC$3,0,0,'Données projet'!$E$12+1,1))-AVERAGE(OFFSET($H$3,0,0,'Données projet'!$E$12+1,1))</f>
        <v>#N/A</v>
      </c>
      <c r="CE148" s="59" t="e">
        <f t="shared" si="148"/>
        <v>#N/A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 t="e">
        <f>EXP(-LN(2)/35)*CK147+(1-EXP(-LN(2)/35))/(LN(2)/35)*CG148*CH148*VLOOKUP('Données projet'!$B$12,Paramètres!$A$1:$I$89,3,0)*0.475*44/12</f>
        <v>#N/A</v>
      </c>
      <c r="CL148" s="21" t="e">
        <f>EXP(-LN(2)/25)*CL147+(1-EXP(-LN(2)/25))/(LN(2)/25)*Calculateur!CG148*Calculateur!CI148*VLOOKUP('Données projet'!$B$12,Paramètres!$A$1:$I$89,3,0)*0.475*44/12</f>
        <v>#N/A</v>
      </c>
      <c r="CM148" s="21" t="e">
        <f>EXP(-LN(2)/2)*CM147+(1-EXP(-LN(2)/2))/(LN(2)/2)*CG148*CJ148*VLOOKUP('Données projet'!$B$12,Paramètres!$A$1:$I$89,3,0)*0.475*44/12</f>
        <v>#N/A</v>
      </c>
      <c r="CN148" s="22" t="e">
        <f t="shared" si="120"/>
        <v>#N/A</v>
      </c>
      <c r="CO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0</v>
      </c>
      <c r="CU148" s="17" t="e">
        <f>CT148*VLOOKUP('Données projet'!$B$13,Paramètres!$A$1:$I$89,3,0)*VLOOKUP('Données projet'!$B$13,Paramètres!$A$1:$I$89,5,0)</f>
        <v>#N/A</v>
      </c>
      <c r="CV148" s="13" t="e">
        <f t="shared" si="149"/>
        <v>#N/A</v>
      </c>
      <c r="CW148" s="20" t="e">
        <f t="shared" si="121"/>
        <v>#N/A</v>
      </c>
      <c r="CX148" s="59" t="e">
        <f t="shared" si="122"/>
        <v>#N/A</v>
      </c>
      <c r="CY148" s="59" t="e">
        <f ca="1">AVERAGE(OFFSET($CX$3,0,0,'Données projet'!$E$13+1,1))-AVERAGE(OFFSET($H$3,0,0,'Données projet'!$E$13+1,1))</f>
        <v>#N/A</v>
      </c>
      <c r="CZ148" s="59" t="e">
        <f t="shared" si="150"/>
        <v>#N/A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 t="e">
        <f>EXP(-LN(2)/35)*DF147+(1-EXP(-LN(2)/35))/(LN(2)/35)*DB148*DC148*VLOOKUP('Données projet'!$B$13,Paramètres!$A$1:$I$89,3,0)*0.475*44/12</f>
        <v>#N/A</v>
      </c>
      <c r="DG148" s="21" t="e">
        <f>EXP(-LN(2)/25)*DG147+(1-EXP(-LN(2)/25))/(LN(2)/25)*Calculateur!DB148*Calculateur!DD148*VLOOKUP('Données projet'!$B$13,Paramètres!$A$1:$I$89,3,0)*0.475*44/12</f>
        <v>#N/A</v>
      </c>
      <c r="DH148" s="21" t="e">
        <f>EXP(-LN(2)/2)*DH147+(1-EXP(-LN(2)/2))/(LN(2)/2)*DB148*DE148*VLOOKUP('Données projet'!$B$13,Paramètres!$A$1:$I$89,3,0)*0.475*44/12</f>
        <v>#N/A</v>
      </c>
      <c r="DI148" s="22" t="e">
        <f t="shared" si="123"/>
        <v>#N/A</v>
      </c>
      <c r="DJ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0</v>
      </c>
      <c r="DP148" s="17" t="e">
        <f>DO148*VLOOKUP('Données projet'!$B$14,Paramètres!$A$1:$I$89,3,0)*VLOOKUP('Données projet'!$B$14,Paramètres!$A$1:$I$89,5,0)</f>
        <v>#N/A</v>
      </c>
      <c r="DQ148" s="13" t="e">
        <f t="shared" si="151"/>
        <v>#N/A</v>
      </c>
      <c r="DR148" s="20" t="e">
        <f t="shared" si="124"/>
        <v>#N/A</v>
      </c>
      <c r="DS148" s="59" t="e">
        <f t="shared" si="125"/>
        <v>#N/A</v>
      </c>
      <c r="DT148" s="59" t="e">
        <f ca="1">AVERAGE(OFFSET($DS$3,0,0,'Données projet'!$E$14+1,1))-AVERAGE(OFFSET($H$3,0,0,'Données projet'!$E$14+1,1))</f>
        <v>#N/A</v>
      </c>
      <c r="DU148" s="59" t="e">
        <f t="shared" si="152"/>
        <v>#N/A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 t="e">
        <f>EXP(-LN(2)/35)*EA147+(1-EXP(-LN(2)/35))/(LN(2)/35)*DW148*DX148*VLOOKUP('Données projet'!$B$14,Paramètres!$A$1:$I$89,3,0)*0.475*44/12</f>
        <v>#N/A</v>
      </c>
      <c r="EB148" s="21" t="e">
        <f>EXP(-LN(2)/25)*EB147+(1-EXP(-LN(2)/25))/(LN(2)/25)*Calculateur!DW148*Calculateur!DY148*VLOOKUP('Données projet'!$B$14,Paramètres!$A$1:$I$89,3,0)*0.475*44/12</f>
        <v>#N/A</v>
      </c>
      <c r="EC148" s="21" t="e">
        <f>EXP(-LN(2)/2)*EC147+(1-EXP(-LN(2)/2))/(LN(2)/2)*DW148*DZ148*VLOOKUP('Données projet'!$B$14,Paramètres!$A$1:$I$89,3,0)*0.475*44/12</f>
        <v>#N/A</v>
      </c>
      <c r="ED148" s="22" t="e">
        <f t="shared" si="126"/>
        <v>#N/A</v>
      </c>
      <c r="EE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0</v>
      </c>
      <c r="EK148" s="17" t="e">
        <f>EJ148*VLOOKUP('Données projet'!$B$15,Paramètres!$A$1:$I$89,3,0)*VLOOKUP('Données projet'!$B$15,Paramètres!$A$1:$I$89,5,0)</f>
        <v>#N/A</v>
      </c>
      <c r="EL148" s="13" t="e">
        <f t="shared" si="153"/>
        <v>#N/A</v>
      </c>
      <c r="EM148" s="20" t="e">
        <f t="shared" si="127"/>
        <v>#N/A</v>
      </c>
      <c r="EN148" s="59" t="e">
        <f t="shared" si="128"/>
        <v>#N/A</v>
      </c>
      <c r="EO148" s="59" t="e">
        <f ca="1">AVERAGE(OFFSET($EN$3,0,0,'Données projet'!$E$15+1,1))-AVERAGE(OFFSET($H$3,0,0,'Données projet'!$E$15+1,1))</f>
        <v>#N/A</v>
      </c>
      <c r="EP148" s="59" t="e">
        <f t="shared" si="154"/>
        <v>#N/A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 t="e">
        <f>EXP(-LN(2)/35)*EV147+(1-EXP(-LN(2)/35))/(LN(2)/35)*ER148*ES148*VLOOKUP('Données projet'!$B$15,Paramètres!$A$1:$I$89,3,0)*0.475*44/12</f>
        <v>#N/A</v>
      </c>
      <c r="EW148" s="21" t="e">
        <f>EXP(-LN(2)/25)*EW147+(1-EXP(-LN(2)/25))/(LN(2)/25)*Calculateur!ER148*Calculateur!ET148*VLOOKUP('Données projet'!$B$15,Paramètres!$A$1:$I$89,3,0)*0.475*44/12</f>
        <v>#N/A</v>
      </c>
      <c r="EX148" s="21" t="e">
        <f>EXP(-LN(2)/2)*EX147+(1-EXP(-LN(2)/2))/(LN(2)/2)*ER148*EU148*VLOOKUP('Données projet'!$B$15,Paramètres!$A$1:$I$89,3,0)*0.475*44/12</f>
        <v>#N/A</v>
      </c>
      <c r="EY148" s="22" t="e">
        <f t="shared" si="129"/>
        <v>#N/A</v>
      </c>
      <c r="EZ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9" t="e">
        <f t="shared" si="131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45">
      <c r="A149" s="10">
        <f t="shared" si="139"/>
        <v>146</v>
      </c>
      <c r="B149" s="73">
        <f>'Scénario référence'!$B$16*5+'Scénario référence'!$B$17*0+'Scénario référence'!$B$18*5</f>
        <v>0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129.82320000000021</v>
      </c>
      <c r="D149" s="11">
        <f t="shared" si="140"/>
        <v>33.955502808068339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">
        <f>IF(OR('Scénario référence'!$F$8&gt;0,'Scénario référence'!$F$9&gt;0),('Scénario référence'!$F$8+'Scénario référence'!$F$9)*10,0)</f>
        <v>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1264.256653255266</v>
      </c>
      <c r="H149" s="67">
        <f t="shared" si="110"/>
        <v>541.91457405738606</v>
      </c>
      <c r="I149" s="7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1.7053025658242404E-13</v>
      </c>
      <c r="O149" s="13">
        <f>N149*VLOOKUP('Données projet'!$B$9,Paramètres!$A$1:$I$89,3,0)*VLOOKUP('Données projet'!$B$9,Paramètres!$A$1:$I$89,5,0)</f>
        <v>9.5326413429575044E-14</v>
      </c>
      <c r="P149" s="13">
        <f t="shared" si="141"/>
        <v>1.4400742856080346E-12</v>
      </c>
      <c r="Q149" s="20">
        <f t="shared" si="108"/>
        <v>2.6741562174905032E-12</v>
      </c>
      <c r="R149" s="59">
        <f t="shared" si="109"/>
        <v>293.33333333333599</v>
      </c>
      <c r="S149" s="59">
        <f ca="1">AVERAGE(OFFSET($R$3,0,0,'Données projet'!$E$9+1,1))-AVERAGE(OFFSET($H$3,0,0,'Données projet'!$E$9+1,1))</f>
        <v>280.69347314340195</v>
      </c>
      <c r="T149" s="59">
        <f t="shared" si="142"/>
        <v>152.40533828556482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101.97077921828512</v>
      </c>
      <c r="AA149" s="21">
        <f>EXP(-LN(2)/25)*AA148+(1-EXP(-LN(2)/25))/(LN(2)/25)*Calculateur!V149*Calculateur!X149*VLOOKUP('Données projet'!$B$9,Paramètres!$A$1:$I$89,3,0)*0.475*44/12</f>
        <v>26.559070003382942</v>
      </c>
      <c r="AB149" s="21">
        <f>EXP(-LN(2)/2)*AB148+(1-EXP(-LN(2)/2))/(LN(2)/2)*V149*Y149*VLOOKUP('Données projet'!$B$9,Paramètres!$A$1:$I$89,3,0)*0.475*44/12</f>
        <v>7.5846298222473612E-3</v>
      </c>
      <c r="AC149" s="22">
        <f t="shared" si="111"/>
        <v>128.53743385149031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0</v>
      </c>
      <c r="AJ149" s="13">
        <f>AI149*VLOOKUP('Données projet'!$B$10,Paramètres!$A$1:$I$89,3,0)*VLOOKUP('Données projet'!$B$10,Paramètres!$A$1:$I$89,5,0)</f>
        <v>0</v>
      </c>
      <c r="AK149" s="13" t="e">
        <f t="shared" si="143"/>
        <v>#NUM!</v>
      </c>
      <c r="AL149" s="20" t="e">
        <f t="shared" si="112"/>
        <v>#NUM!</v>
      </c>
      <c r="AM149" s="59" t="e">
        <f t="shared" si="113"/>
        <v>#NUM!</v>
      </c>
      <c r="AN149" s="59">
        <f ca="1">AVERAGE(OFFSET($AM$3,0,0,'Données projet'!$E$10+1,1))-AVERAGE(OFFSET($H$3,0,0,'Données projet'!$E$10+1,1))</f>
        <v>179.4725256147085</v>
      </c>
      <c r="AO149" s="59">
        <f t="shared" si="144"/>
        <v>282.16750121151176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26.293735023596955</v>
      </c>
      <c r="AV149" s="21">
        <f>EXP(-LN(2)/25)*AV148+(1-EXP(-LN(2)/25))/(LN(2)/25)*Calculateur!AQ149*Calculateur!AS149*VLOOKUP('Données projet'!$B$10,Paramètres!$A$1:$I$89,3,0)*0.475*44/12</f>
        <v>4.502319092423658</v>
      </c>
      <c r="AW149" s="21">
        <f>EXP(-LN(2)/2)*AW148+(1-EXP(-LN(2)/2))/(LN(2)/2)*AQ149*AT149*VLOOKUP('Données projet'!$B$10,Paramètres!$A$1:$I$89,3,0)*0.475*44/12</f>
        <v>4.902221675675285E-12</v>
      </c>
      <c r="AX149" s="21">
        <f t="shared" si="114"/>
        <v>30.796054116025516</v>
      </c>
      <c r="AY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6.2527760746888816E-13</v>
      </c>
      <c r="BE149" s="13">
        <f>BD149*VLOOKUP('Données projet'!$B$11,Paramètres!$A$1:$I$89,3,0)*VLOOKUP('Données projet'!$B$11,Paramètres!$A$1:$I$89,5,0)</f>
        <v>5.3648818720830608E-13</v>
      </c>
      <c r="BF149" s="13">
        <f t="shared" si="145"/>
        <v>6.6281362235424649E-12</v>
      </c>
      <c r="BG149" s="20">
        <f t="shared" si="115"/>
        <v>1.2478387515390925E-11</v>
      </c>
      <c r="BH149" s="59">
        <f t="shared" si="116"/>
        <v>293.33333333334582</v>
      </c>
      <c r="BI149" s="59">
        <f ca="1">AVERAGE(OFFSET($BH$3,0,0,'Données projet'!$E$11+1,1))-AVERAGE(OFFSET($H$3,0,0,'Données projet'!$E$11+1,1))</f>
        <v>312.89478437044261</v>
      </c>
      <c r="BJ149" s="59">
        <f t="shared" si="146"/>
        <v>276.16555507854571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>
        <f>EXP(-LN(2)/35)*BP148+(1-EXP(-LN(2)/35))/(LN(2)/35)*BL149*BM149*VLOOKUP('Données projet'!$B$11,Paramètres!$A$1:$I$89,3,0)*0.475*44/12</f>
        <v>107.43215320818084</v>
      </c>
      <c r="BQ149" s="21">
        <f>EXP(-LN(2)/25)*BQ148+(1-EXP(-LN(2)/25))/(LN(2)/25)*Calculateur!BL149*Calculateur!BN149*VLOOKUP('Données projet'!$B$11,Paramètres!$A$1:$I$89,3,0)*0.475*44/12</f>
        <v>25.669335971304701</v>
      </c>
      <c r="BR149" s="21">
        <f>EXP(-LN(2)/2)*BR148+(1-EXP(-LN(2)/2))/(LN(2)/2)*BL149*BO149*VLOOKUP('Données projet'!$B$11,Paramètres!$A$1:$I$89,3,0)*0.475*44/12</f>
        <v>2.4314189822940691</v>
      </c>
      <c r="BS149" s="22">
        <f t="shared" si="117"/>
        <v>135.5329081617796</v>
      </c>
      <c r="BT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0</v>
      </c>
      <c r="BZ149" s="13" t="e">
        <f>BY149*VLOOKUP('Données projet'!$B$12,Paramètres!$A$1:$I$89,3,0)*VLOOKUP('Données projet'!$B$12,Paramètres!$A$1:$I$89,5,0)</f>
        <v>#N/A</v>
      </c>
      <c r="CA149" s="13" t="e">
        <f t="shared" si="147"/>
        <v>#N/A</v>
      </c>
      <c r="CB149" s="20" t="e">
        <f t="shared" si="118"/>
        <v>#N/A</v>
      </c>
      <c r="CC149" s="59" t="e">
        <f t="shared" si="119"/>
        <v>#N/A</v>
      </c>
      <c r="CD149" s="59" t="e">
        <f ca="1">AVERAGE(OFFSET($CC$3,0,0,'Données projet'!$E$12+1,1))-AVERAGE(OFFSET($H$3,0,0,'Données projet'!$E$12+1,1))</f>
        <v>#N/A</v>
      </c>
      <c r="CE149" s="59" t="e">
        <f t="shared" si="148"/>
        <v>#N/A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 t="e">
        <f>EXP(-LN(2)/35)*CK148+(1-EXP(-LN(2)/35))/(LN(2)/35)*CG149*CH149*VLOOKUP('Données projet'!$B$12,Paramètres!$A$1:$I$89,3,0)*0.475*44/12</f>
        <v>#N/A</v>
      </c>
      <c r="CL149" s="21" t="e">
        <f>EXP(-LN(2)/25)*CL148+(1-EXP(-LN(2)/25))/(LN(2)/25)*Calculateur!CG149*Calculateur!CI149*VLOOKUP('Données projet'!$B$12,Paramètres!$A$1:$I$89,3,0)*0.475*44/12</f>
        <v>#N/A</v>
      </c>
      <c r="CM149" s="21" t="e">
        <f>EXP(-LN(2)/2)*CM148+(1-EXP(-LN(2)/2))/(LN(2)/2)*CG149*CJ149*VLOOKUP('Données projet'!$B$12,Paramètres!$A$1:$I$89,3,0)*0.475*44/12</f>
        <v>#N/A</v>
      </c>
      <c r="CN149" s="22" t="e">
        <f t="shared" si="120"/>
        <v>#N/A</v>
      </c>
      <c r="CO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0</v>
      </c>
      <c r="CU149" s="17" t="e">
        <f>CT149*VLOOKUP('Données projet'!$B$13,Paramètres!$A$1:$I$89,3,0)*VLOOKUP('Données projet'!$B$13,Paramètres!$A$1:$I$89,5,0)</f>
        <v>#N/A</v>
      </c>
      <c r="CV149" s="13" t="e">
        <f t="shared" si="149"/>
        <v>#N/A</v>
      </c>
      <c r="CW149" s="20" t="e">
        <f t="shared" si="121"/>
        <v>#N/A</v>
      </c>
      <c r="CX149" s="59" t="e">
        <f t="shared" si="122"/>
        <v>#N/A</v>
      </c>
      <c r="CY149" s="59" t="e">
        <f ca="1">AVERAGE(OFFSET($CX$3,0,0,'Données projet'!$E$13+1,1))-AVERAGE(OFFSET($H$3,0,0,'Données projet'!$E$13+1,1))</f>
        <v>#N/A</v>
      </c>
      <c r="CZ149" s="59" t="e">
        <f t="shared" si="150"/>
        <v>#N/A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 t="e">
        <f>EXP(-LN(2)/35)*DF148+(1-EXP(-LN(2)/35))/(LN(2)/35)*DB149*DC149*VLOOKUP('Données projet'!$B$13,Paramètres!$A$1:$I$89,3,0)*0.475*44/12</f>
        <v>#N/A</v>
      </c>
      <c r="DG149" s="21" t="e">
        <f>EXP(-LN(2)/25)*DG148+(1-EXP(-LN(2)/25))/(LN(2)/25)*Calculateur!DB149*Calculateur!DD149*VLOOKUP('Données projet'!$B$13,Paramètres!$A$1:$I$89,3,0)*0.475*44/12</f>
        <v>#N/A</v>
      </c>
      <c r="DH149" s="21" t="e">
        <f>EXP(-LN(2)/2)*DH148+(1-EXP(-LN(2)/2))/(LN(2)/2)*DB149*DE149*VLOOKUP('Données projet'!$B$13,Paramètres!$A$1:$I$89,3,0)*0.475*44/12</f>
        <v>#N/A</v>
      </c>
      <c r="DI149" s="22" t="e">
        <f t="shared" si="123"/>
        <v>#N/A</v>
      </c>
      <c r="DJ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0</v>
      </c>
      <c r="DP149" s="17" t="e">
        <f>DO149*VLOOKUP('Données projet'!$B$14,Paramètres!$A$1:$I$89,3,0)*VLOOKUP('Données projet'!$B$14,Paramètres!$A$1:$I$89,5,0)</f>
        <v>#N/A</v>
      </c>
      <c r="DQ149" s="13" t="e">
        <f t="shared" si="151"/>
        <v>#N/A</v>
      </c>
      <c r="DR149" s="20" t="e">
        <f t="shared" si="124"/>
        <v>#N/A</v>
      </c>
      <c r="DS149" s="59" t="e">
        <f t="shared" si="125"/>
        <v>#N/A</v>
      </c>
      <c r="DT149" s="59" t="e">
        <f ca="1">AVERAGE(OFFSET($DS$3,0,0,'Données projet'!$E$14+1,1))-AVERAGE(OFFSET($H$3,0,0,'Données projet'!$E$14+1,1))</f>
        <v>#N/A</v>
      </c>
      <c r="DU149" s="59" t="e">
        <f t="shared" si="152"/>
        <v>#N/A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 t="e">
        <f>EXP(-LN(2)/35)*EA148+(1-EXP(-LN(2)/35))/(LN(2)/35)*DW149*DX149*VLOOKUP('Données projet'!$B$14,Paramètres!$A$1:$I$89,3,0)*0.475*44/12</f>
        <v>#N/A</v>
      </c>
      <c r="EB149" s="21" t="e">
        <f>EXP(-LN(2)/25)*EB148+(1-EXP(-LN(2)/25))/(LN(2)/25)*Calculateur!DW149*Calculateur!DY149*VLOOKUP('Données projet'!$B$14,Paramètres!$A$1:$I$89,3,0)*0.475*44/12</f>
        <v>#N/A</v>
      </c>
      <c r="EC149" s="21" t="e">
        <f>EXP(-LN(2)/2)*EC148+(1-EXP(-LN(2)/2))/(LN(2)/2)*DW149*DZ149*VLOOKUP('Données projet'!$B$14,Paramètres!$A$1:$I$89,3,0)*0.475*44/12</f>
        <v>#N/A</v>
      </c>
      <c r="ED149" s="22" t="e">
        <f t="shared" si="126"/>
        <v>#N/A</v>
      </c>
      <c r="EE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0</v>
      </c>
      <c r="EK149" s="17" t="e">
        <f>EJ149*VLOOKUP('Données projet'!$B$15,Paramètres!$A$1:$I$89,3,0)*VLOOKUP('Données projet'!$B$15,Paramètres!$A$1:$I$89,5,0)</f>
        <v>#N/A</v>
      </c>
      <c r="EL149" s="13" t="e">
        <f t="shared" si="153"/>
        <v>#N/A</v>
      </c>
      <c r="EM149" s="20" t="e">
        <f t="shared" si="127"/>
        <v>#N/A</v>
      </c>
      <c r="EN149" s="59" t="e">
        <f t="shared" si="128"/>
        <v>#N/A</v>
      </c>
      <c r="EO149" s="59" t="e">
        <f ca="1">AVERAGE(OFFSET($EN$3,0,0,'Données projet'!$E$15+1,1))-AVERAGE(OFFSET($H$3,0,0,'Données projet'!$E$15+1,1))</f>
        <v>#N/A</v>
      </c>
      <c r="EP149" s="59" t="e">
        <f t="shared" si="154"/>
        <v>#N/A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 t="e">
        <f>EXP(-LN(2)/35)*EV148+(1-EXP(-LN(2)/35))/(LN(2)/35)*ER149*ES149*VLOOKUP('Données projet'!$B$15,Paramètres!$A$1:$I$89,3,0)*0.475*44/12</f>
        <v>#N/A</v>
      </c>
      <c r="EW149" s="21" t="e">
        <f>EXP(-LN(2)/25)*EW148+(1-EXP(-LN(2)/25))/(LN(2)/25)*Calculateur!ER149*Calculateur!ET149*VLOOKUP('Données projet'!$B$15,Paramètres!$A$1:$I$89,3,0)*0.475*44/12</f>
        <v>#N/A</v>
      </c>
      <c r="EX149" s="21" t="e">
        <f>EXP(-LN(2)/2)*EX148+(1-EXP(-LN(2)/2))/(LN(2)/2)*ER149*EU149*VLOOKUP('Données projet'!$B$15,Paramètres!$A$1:$I$89,3,0)*0.475*44/12</f>
        <v>#N/A</v>
      </c>
      <c r="EY149" s="22" t="e">
        <f t="shared" si="129"/>
        <v>#N/A</v>
      </c>
      <c r="EZ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9" t="e">
        <f t="shared" si="131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45">
      <c r="A150" s="10">
        <f t="shared" si="139"/>
        <v>147</v>
      </c>
      <c r="B150" s="73">
        <f>'Scénario référence'!$B$16*5+'Scénario référence'!$B$17*0+'Scénario référence'!$B$18*5</f>
        <v>0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130.7124000000002</v>
      </c>
      <c r="D150" s="11">
        <f t="shared" si="140"/>
        <v>34.160921660966174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">
        <f>IF(OR('Scénario référence'!$F$8&gt;0,'Scénario référence'!$F$9&gt;0),('Scénario référence'!$F$8+'Scénario référence'!$F$9)*10,0)</f>
        <v>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1272.7063426460566</v>
      </c>
      <c r="H150" s="67">
        <f t="shared" si="110"/>
        <v>543.82103522618308</v>
      </c>
      <c r="I150" s="7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1.7053025658242404E-13</v>
      </c>
      <c r="O150" s="13">
        <f>N150*VLOOKUP('Données projet'!$B$9,Paramètres!$A$1:$I$89,3,0)*VLOOKUP('Données projet'!$B$9,Paramètres!$A$1:$I$89,5,0)</f>
        <v>9.5326413429575044E-14</v>
      </c>
      <c r="P150" s="13">
        <f t="shared" si="141"/>
        <v>1.4400742856080346E-12</v>
      </c>
      <c r="Q150" s="20">
        <f t="shared" si="108"/>
        <v>2.6741562174905032E-12</v>
      </c>
      <c r="R150" s="59">
        <f t="shared" si="109"/>
        <v>293.33333333333599</v>
      </c>
      <c r="S150" s="59">
        <f ca="1">AVERAGE(OFFSET($R$3,0,0,'Données projet'!$E$9+1,1))-AVERAGE(OFFSET($H$3,0,0,'Données projet'!$E$9+1,1))</f>
        <v>280.69347314340195</v>
      </c>
      <c r="T150" s="59">
        <f t="shared" si="142"/>
        <v>152.40533828556482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99.971194433848524</v>
      </c>
      <c r="AA150" s="21">
        <f>EXP(-LN(2)/25)*AA149+(1-EXP(-LN(2)/25))/(LN(2)/25)*Calculateur!V150*Calculateur!X150*VLOOKUP('Données projet'!$B$9,Paramètres!$A$1:$I$89,3,0)*0.475*44/12</f>
        <v>25.832810837459647</v>
      </c>
      <c r="AB150" s="21">
        <f>EXP(-LN(2)/2)*AB149+(1-EXP(-LN(2)/2))/(LN(2)/2)*V150*Y150*VLOOKUP('Données projet'!$B$9,Paramètres!$A$1:$I$89,3,0)*0.475*44/12</f>
        <v>5.3631431801008283E-3</v>
      </c>
      <c r="AC150" s="22">
        <f t="shared" si="111"/>
        <v>125.80936841448828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0</v>
      </c>
      <c r="AJ150" s="13">
        <f>AI150*VLOOKUP('Données projet'!$B$10,Paramètres!$A$1:$I$89,3,0)*VLOOKUP('Données projet'!$B$10,Paramètres!$A$1:$I$89,5,0)</f>
        <v>0</v>
      </c>
      <c r="AK150" s="13" t="e">
        <f t="shared" si="143"/>
        <v>#NUM!</v>
      </c>
      <c r="AL150" s="20" t="e">
        <f t="shared" si="112"/>
        <v>#NUM!</v>
      </c>
      <c r="AM150" s="59" t="e">
        <f t="shared" si="113"/>
        <v>#NUM!</v>
      </c>
      <c r="AN150" s="59">
        <f ca="1">AVERAGE(OFFSET($AM$3,0,0,'Données projet'!$E$10+1,1))-AVERAGE(OFFSET($H$3,0,0,'Données projet'!$E$10+1,1))</f>
        <v>179.4725256147085</v>
      </c>
      <c r="AO150" s="59">
        <f t="shared" si="144"/>
        <v>282.16750121151176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25.778130917379002</v>
      </c>
      <c r="AV150" s="21">
        <f>EXP(-LN(2)/25)*AV149+(1-EXP(-LN(2)/25))/(LN(2)/25)*Calculateur!AQ150*Calculateur!AS150*VLOOKUP('Données projet'!$B$10,Paramètres!$A$1:$I$89,3,0)*0.475*44/12</f>
        <v>4.3792029400746619</v>
      </c>
      <c r="AW150" s="21">
        <f>EXP(-LN(2)/2)*AW149+(1-EXP(-LN(2)/2))/(LN(2)/2)*AQ150*AT150*VLOOKUP('Données projet'!$B$10,Paramètres!$A$1:$I$89,3,0)*0.475*44/12</f>
        <v>3.4663941897496741E-12</v>
      </c>
      <c r="AX150" s="21">
        <f t="shared" si="114"/>
        <v>30.157333857457132</v>
      </c>
      <c r="AY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6.2527760746888816E-13</v>
      </c>
      <c r="BE150" s="13">
        <f>BD150*VLOOKUP('Données projet'!$B$11,Paramètres!$A$1:$I$89,3,0)*VLOOKUP('Données projet'!$B$11,Paramètres!$A$1:$I$89,5,0)</f>
        <v>5.3648818720830608E-13</v>
      </c>
      <c r="BF150" s="13">
        <f t="shared" si="145"/>
        <v>6.6281362235424649E-12</v>
      </c>
      <c r="BG150" s="20">
        <f t="shared" si="115"/>
        <v>1.2478387515390925E-11</v>
      </c>
      <c r="BH150" s="59">
        <f t="shared" si="116"/>
        <v>293.33333333334582</v>
      </c>
      <c r="BI150" s="59">
        <f ca="1">AVERAGE(OFFSET($BH$3,0,0,'Données projet'!$E$11+1,1))-AVERAGE(OFFSET($H$3,0,0,'Données projet'!$E$11+1,1))</f>
        <v>312.89478437044261</v>
      </c>
      <c r="BJ150" s="59">
        <f t="shared" si="146"/>
        <v>276.16555507854571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>
        <f>EXP(-LN(2)/35)*BP149+(1-EXP(-LN(2)/35))/(LN(2)/35)*BL150*BM150*VLOOKUP('Données projet'!$B$11,Paramètres!$A$1:$I$89,3,0)*0.475*44/12</f>
        <v>105.32547421091159</v>
      </c>
      <c r="BQ150" s="21">
        <f>EXP(-LN(2)/25)*BQ149+(1-EXP(-LN(2)/25))/(LN(2)/25)*Calculateur!BL150*Calculateur!BN150*VLOOKUP('Données projet'!$B$11,Paramètres!$A$1:$I$89,3,0)*0.475*44/12</f>
        <v>24.967406629277662</v>
      </c>
      <c r="BR150" s="21">
        <f>EXP(-LN(2)/2)*BR149+(1-EXP(-LN(2)/2))/(LN(2)/2)*BL150*BO150*VLOOKUP('Données projet'!$B$11,Paramètres!$A$1:$I$89,3,0)*0.475*44/12</f>
        <v>1.7192728502858305</v>
      </c>
      <c r="BS150" s="22">
        <f t="shared" si="117"/>
        <v>132.01215369047506</v>
      </c>
      <c r="BT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0</v>
      </c>
      <c r="BZ150" s="13" t="e">
        <f>BY150*VLOOKUP('Données projet'!$B$12,Paramètres!$A$1:$I$89,3,0)*VLOOKUP('Données projet'!$B$12,Paramètres!$A$1:$I$89,5,0)</f>
        <v>#N/A</v>
      </c>
      <c r="CA150" s="13" t="e">
        <f t="shared" si="147"/>
        <v>#N/A</v>
      </c>
      <c r="CB150" s="20" t="e">
        <f t="shared" si="118"/>
        <v>#N/A</v>
      </c>
      <c r="CC150" s="59" t="e">
        <f t="shared" si="119"/>
        <v>#N/A</v>
      </c>
      <c r="CD150" s="59" t="e">
        <f ca="1">AVERAGE(OFFSET($CC$3,0,0,'Données projet'!$E$12+1,1))-AVERAGE(OFFSET($H$3,0,0,'Données projet'!$E$12+1,1))</f>
        <v>#N/A</v>
      </c>
      <c r="CE150" s="59" t="e">
        <f t="shared" si="148"/>
        <v>#N/A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 t="e">
        <f>EXP(-LN(2)/35)*CK149+(1-EXP(-LN(2)/35))/(LN(2)/35)*CG150*CH150*VLOOKUP('Données projet'!$B$12,Paramètres!$A$1:$I$89,3,0)*0.475*44/12</f>
        <v>#N/A</v>
      </c>
      <c r="CL150" s="21" t="e">
        <f>EXP(-LN(2)/25)*CL149+(1-EXP(-LN(2)/25))/(LN(2)/25)*Calculateur!CG150*Calculateur!CI150*VLOOKUP('Données projet'!$B$12,Paramètres!$A$1:$I$89,3,0)*0.475*44/12</f>
        <v>#N/A</v>
      </c>
      <c r="CM150" s="21" t="e">
        <f>EXP(-LN(2)/2)*CM149+(1-EXP(-LN(2)/2))/(LN(2)/2)*CG150*CJ150*VLOOKUP('Données projet'!$B$12,Paramètres!$A$1:$I$89,3,0)*0.475*44/12</f>
        <v>#N/A</v>
      </c>
      <c r="CN150" s="22" t="e">
        <f t="shared" si="120"/>
        <v>#N/A</v>
      </c>
      <c r="CO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0</v>
      </c>
      <c r="CU150" s="17" t="e">
        <f>CT150*VLOOKUP('Données projet'!$B$13,Paramètres!$A$1:$I$89,3,0)*VLOOKUP('Données projet'!$B$13,Paramètres!$A$1:$I$89,5,0)</f>
        <v>#N/A</v>
      </c>
      <c r="CV150" s="13" t="e">
        <f t="shared" si="149"/>
        <v>#N/A</v>
      </c>
      <c r="CW150" s="20" t="e">
        <f t="shared" si="121"/>
        <v>#N/A</v>
      </c>
      <c r="CX150" s="59" t="e">
        <f t="shared" si="122"/>
        <v>#N/A</v>
      </c>
      <c r="CY150" s="59" t="e">
        <f ca="1">AVERAGE(OFFSET($CX$3,0,0,'Données projet'!$E$13+1,1))-AVERAGE(OFFSET($H$3,0,0,'Données projet'!$E$13+1,1))</f>
        <v>#N/A</v>
      </c>
      <c r="CZ150" s="59" t="e">
        <f t="shared" si="150"/>
        <v>#N/A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 t="e">
        <f>EXP(-LN(2)/35)*DF149+(1-EXP(-LN(2)/35))/(LN(2)/35)*DB150*DC150*VLOOKUP('Données projet'!$B$13,Paramètres!$A$1:$I$89,3,0)*0.475*44/12</f>
        <v>#N/A</v>
      </c>
      <c r="DG150" s="21" t="e">
        <f>EXP(-LN(2)/25)*DG149+(1-EXP(-LN(2)/25))/(LN(2)/25)*Calculateur!DB150*Calculateur!DD150*VLOOKUP('Données projet'!$B$13,Paramètres!$A$1:$I$89,3,0)*0.475*44/12</f>
        <v>#N/A</v>
      </c>
      <c r="DH150" s="21" t="e">
        <f>EXP(-LN(2)/2)*DH149+(1-EXP(-LN(2)/2))/(LN(2)/2)*DB150*DE150*VLOOKUP('Données projet'!$B$13,Paramètres!$A$1:$I$89,3,0)*0.475*44/12</f>
        <v>#N/A</v>
      </c>
      <c r="DI150" s="22" t="e">
        <f t="shared" si="123"/>
        <v>#N/A</v>
      </c>
      <c r="DJ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0</v>
      </c>
      <c r="DP150" s="17" t="e">
        <f>DO150*VLOOKUP('Données projet'!$B$14,Paramètres!$A$1:$I$89,3,0)*VLOOKUP('Données projet'!$B$14,Paramètres!$A$1:$I$89,5,0)</f>
        <v>#N/A</v>
      </c>
      <c r="DQ150" s="13" t="e">
        <f t="shared" si="151"/>
        <v>#N/A</v>
      </c>
      <c r="DR150" s="20" t="e">
        <f t="shared" si="124"/>
        <v>#N/A</v>
      </c>
      <c r="DS150" s="59" t="e">
        <f t="shared" si="125"/>
        <v>#N/A</v>
      </c>
      <c r="DT150" s="59" t="e">
        <f ca="1">AVERAGE(OFFSET($DS$3,0,0,'Données projet'!$E$14+1,1))-AVERAGE(OFFSET($H$3,0,0,'Données projet'!$E$14+1,1))</f>
        <v>#N/A</v>
      </c>
      <c r="DU150" s="59" t="e">
        <f t="shared" si="152"/>
        <v>#N/A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 t="e">
        <f>EXP(-LN(2)/35)*EA149+(1-EXP(-LN(2)/35))/(LN(2)/35)*DW150*DX150*VLOOKUP('Données projet'!$B$14,Paramètres!$A$1:$I$89,3,0)*0.475*44/12</f>
        <v>#N/A</v>
      </c>
      <c r="EB150" s="21" t="e">
        <f>EXP(-LN(2)/25)*EB149+(1-EXP(-LN(2)/25))/(LN(2)/25)*Calculateur!DW150*Calculateur!DY150*VLOOKUP('Données projet'!$B$14,Paramètres!$A$1:$I$89,3,0)*0.475*44/12</f>
        <v>#N/A</v>
      </c>
      <c r="EC150" s="21" t="e">
        <f>EXP(-LN(2)/2)*EC149+(1-EXP(-LN(2)/2))/(LN(2)/2)*DW150*DZ150*VLOOKUP('Données projet'!$B$14,Paramètres!$A$1:$I$89,3,0)*0.475*44/12</f>
        <v>#N/A</v>
      </c>
      <c r="ED150" s="22" t="e">
        <f t="shared" si="126"/>
        <v>#N/A</v>
      </c>
      <c r="EE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0</v>
      </c>
      <c r="EK150" s="17" t="e">
        <f>EJ150*VLOOKUP('Données projet'!$B$15,Paramètres!$A$1:$I$89,3,0)*VLOOKUP('Données projet'!$B$15,Paramètres!$A$1:$I$89,5,0)</f>
        <v>#N/A</v>
      </c>
      <c r="EL150" s="13" t="e">
        <f t="shared" si="153"/>
        <v>#N/A</v>
      </c>
      <c r="EM150" s="20" t="e">
        <f t="shared" si="127"/>
        <v>#N/A</v>
      </c>
      <c r="EN150" s="59" t="e">
        <f t="shared" si="128"/>
        <v>#N/A</v>
      </c>
      <c r="EO150" s="59" t="e">
        <f ca="1">AVERAGE(OFFSET($EN$3,0,0,'Données projet'!$E$15+1,1))-AVERAGE(OFFSET($H$3,0,0,'Données projet'!$E$15+1,1))</f>
        <v>#N/A</v>
      </c>
      <c r="EP150" s="59" t="e">
        <f t="shared" si="154"/>
        <v>#N/A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 t="e">
        <f>EXP(-LN(2)/35)*EV149+(1-EXP(-LN(2)/35))/(LN(2)/35)*ER150*ES150*VLOOKUP('Données projet'!$B$15,Paramètres!$A$1:$I$89,3,0)*0.475*44/12</f>
        <v>#N/A</v>
      </c>
      <c r="EW150" s="21" t="e">
        <f>EXP(-LN(2)/25)*EW149+(1-EXP(-LN(2)/25))/(LN(2)/25)*Calculateur!ER150*Calculateur!ET150*VLOOKUP('Données projet'!$B$15,Paramètres!$A$1:$I$89,3,0)*0.475*44/12</f>
        <v>#N/A</v>
      </c>
      <c r="EX150" s="21" t="e">
        <f>EXP(-LN(2)/2)*EX149+(1-EXP(-LN(2)/2))/(LN(2)/2)*ER150*EU150*VLOOKUP('Données projet'!$B$15,Paramètres!$A$1:$I$89,3,0)*0.475*44/12</f>
        <v>#N/A</v>
      </c>
      <c r="EY150" s="22" t="e">
        <f t="shared" si="129"/>
        <v>#N/A</v>
      </c>
      <c r="EZ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9" t="e">
        <f t="shared" si="131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45">
      <c r="A151" s="10">
        <f t="shared" si="139"/>
        <v>148</v>
      </c>
      <c r="B151" s="73">
        <f>'Scénario référence'!$B$16*5+'Scénario référence'!$B$17*0+'Scénario référence'!$B$18*5</f>
        <v>0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131.60160000000019</v>
      </c>
      <c r="D151" s="11">
        <f t="shared" si="140"/>
        <v>34.366177918726152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">
        <f>IF(OR('Scénario référence'!$F$8&gt;0,'Scénario référence'!$F$9&gt;0),('Scénario référence'!$F$8+'Scénario référence'!$F$9)*10,0)</f>
        <v>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1281.1547769164843</v>
      </c>
      <c r="H151" s="67">
        <f t="shared" si="110"/>
        <v>545.72721320844835</v>
      </c>
      <c r="I151" s="7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1.7053025658242404E-13</v>
      </c>
      <c r="O151" s="13">
        <f>N151*VLOOKUP('Données projet'!$B$9,Paramètres!$A$1:$I$89,3,0)*VLOOKUP('Données projet'!$B$9,Paramètres!$A$1:$I$89,5,0)</f>
        <v>9.5326413429575044E-14</v>
      </c>
      <c r="P151" s="13">
        <f t="shared" si="141"/>
        <v>1.4400742856080346E-12</v>
      </c>
      <c r="Q151" s="20">
        <f t="shared" si="108"/>
        <v>2.6741562174905032E-12</v>
      </c>
      <c r="R151" s="59">
        <f t="shared" si="109"/>
        <v>293.33333333333599</v>
      </c>
      <c r="S151" s="59">
        <f ca="1">AVERAGE(OFFSET($R$3,0,0,'Données projet'!$E$9+1,1))-AVERAGE(OFFSET($H$3,0,0,'Données projet'!$E$9+1,1))</f>
        <v>280.69347314340195</v>
      </c>
      <c r="T151" s="59">
        <f t="shared" si="142"/>
        <v>152.40533828556482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98.010820287408436</v>
      </c>
      <c r="AA151" s="21">
        <f>EXP(-LN(2)/25)*AA150+(1-EXP(-LN(2)/25))/(LN(2)/25)*Calculateur!V151*Calculateur!X151*VLOOKUP('Données projet'!$B$9,Paramètres!$A$1:$I$89,3,0)*0.475*44/12</f>
        <v>25.126411266620831</v>
      </c>
      <c r="AB151" s="21">
        <f>EXP(-LN(2)/2)*AB150+(1-EXP(-LN(2)/2))/(LN(2)/2)*V151*Y151*VLOOKUP('Données projet'!$B$9,Paramètres!$A$1:$I$89,3,0)*0.475*44/12</f>
        <v>3.7923149111236815E-3</v>
      </c>
      <c r="AC151" s="22">
        <f t="shared" si="111"/>
        <v>123.14102386894039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0</v>
      </c>
      <c r="AJ151" s="13">
        <f>AI151*VLOOKUP('Données projet'!$B$10,Paramètres!$A$1:$I$89,3,0)*VLOOKUP('Données projet'!$B$10,Paramètres!$A$1:$I$89,5,0)</f>
        <v>0</v>
      </c>
      <c r="AK151" s="13" t="e">
        <f t="shared" si="143"/>
        <v>#NUM!</v>
      </c>
      <c r="AL151" s="20" t="e">
        <f t="shared" si="112"/>
        <v>#NUM!</v>
      </c>
      <c r="AM151" s="59" t="e">
        <f t="shared" si="113"/>
        <v>#NUM!</v>
      </c>
      <c r="AN151" s="59">
        <f ca="1">AVERAGE(OFFSET($AM$3,0,0,'Données projet'!$E$10+1,1))-AVERAGE(OFFSET($H$3,0,0,'Données projet'!$E$10+1,1))</f>
        <v>179.4725256147085</v>
      </c>
      <c r="AO151" s="59">
        <f t="shared" si="144"/>
        <v>282.16750121151176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25.27263749319653</v>
      </c>
      <c r="AV151" s="21">
        <f>EXP(-LN(2)/25)*AV150+(1-EXP(-LN(2)/25))/(LN(2)/25)*Calculateur!AQ151*Calculateur!AS151*VLOOKUP('Données projet'!$B$10,Paramètres!$A$1:$I$89,3,0)*0.475*44/12</f>
        <v>4.2594534053860462</v>
      </c>
      <c r="AW151" s="21">
        <f>EXP(-LN(2)/2)*AW150+(1-EXP(-LN(2)/2))/(LN(2)/2)*AQ151*AT151*VLOOKUP('Données projet'!$B$10,Paramètres!$A$1:$I$89,3,0)*0.475*44/12</f>
        <v>2.4511108378376425E-12</v>
      </c>
      <c r="AX151" s="21">
        <f t="shared" si="114"/>
        <v>29.532090898585029</v>
      </c>
      <c r="AY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6.2527760746888816E-13</v>
      </c>
      <c r="BE151" s="13">
        <f>BD151*VLOOKUP('Données projet'!$B$11,Paramètres!$A$1:$I$89,3,0)*VLOOKUP('Données projet'!$B$11,Paramètres!$A$1:$I$89,5,0)</f>
        <v>5.3648818720830608E-13</v>
      </c>
      <c r="BF151" s="13">
        <f t="shared" si="145"/>
        <v>6.6281362235424649E-12</v>
      </c>
      <c r="BG151" s="20">
        <f t="shared" si="115"/>
        <v>1.2478387515390925E-11</v>
      </c>
      <c r="BH151" s="59">
        <f t="shared" si="116"/>
        <v>293.33333333334582</v>
      </c>
      <c r="BI151" s="59">
        <f ca="1">AVERAGE(OFFSET($BH$3,0,0,'Données projet'!$E$11+1,1))-AVERAGE(OFFSET($H$3,0,0,'Données projet'!$E$11+1,1))</f>
        <v>312.89478437044261</v>
      </c>
      <c r="BJ151" s="59">
        <f t="shared" si="146"/>
        <v>276.16555507854571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>
        <f>EXP(-LN(2)/35)*BP150+(1-EXP(-LN(2)/35))/(LN(2)/35)*BL151*BM151*VLOOKUP('Données projet'!$B$11,Paramètres!$A$1:$I$89,3,0)*0.475*44/12</f>
        <v>103.2601059038315</v>
      </c>
      <c r="BQ151" s="21">
        <f>EXP(-LN(2)/25)*BQ150+(1-EXP(-LN(2)/25))/(LN(2)/25)*Calculateur!BL151*Calculateur!BN151*VLOOKUP('Données projet'!$B$11,Paramètres!$A$1:$I$89,3,0)*0.475*44/12</f>
        <v>24.284671582021215</v>
      </c>
      <c r="BR151" s="21">
        <f>EXP(-LN(2)/2)*BR150+(1-EXP(-LN(2)/2))/(LN(2)/2)*BL151*BO151*VLOOKUP('Données projet'!$B$11,Paramètres!$A$1:$I$89,3,0)*0.475*44/12</f>
        <v>1.2157094911470347</v>
      </c>
      <c r="BS151" s="22">
        <f t="shared" si="117"/>
        <v>128.76048697699974</v>
      </c>
      <c r="BT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0</v>
      </c>
      <c r="BZ151" s="13" t="e">
        <f>BY151*VLOOKUP('Données projet'!$B$12,Paramètres!$A$1:$I$89,3,0)*VLOOKUP('Données projet'!$B$12,Paramètres!$A$1:$I$89,5,0)</f>
        <v>#N/A</v>
      </c>
      <c r="CA151" s="13" t="e">
        <f t="shared" si="147"/>
        <v>#N/A</v>
      </c>
      <c r="CB151" s="20" t="e">
        <f t="shared" si="118"/>
        <v>#N/A</v>
      </c>
      <c r="CC151" s="59" t="e">
        <f t="shared" si="119"/>
        <v>#N/A</v>
      </c>
      <c r="CD151" s="59" t="e">
        <f ca="1">AVERAGE(OFFSET($CC$3,0,0,'Données projet'!$E$12+1,1))-AVERAGE(OFFSET($H$3,0,0,'Données projet'!$E$12+1,1))</f>
        <v>#N/A</v>
      </c>
      <c r="CE151" s="59" t="e">
        <f t="shared" si="148"/>
        <v>#N/A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 t="e">
        <f>EXP(-LN(2)/35)*CK150+(1-EXP(-LN(2)/35))/(LN(2)/35)*CG151*CH151*VLOOKUP('Données projet'!$B$12,Paramètres!$A$1:$I$89,3,0)*0.475*44/12</f>
        <v>#N/A</v>
      </c>
      <c r="CL151" s="21" t="e">
        <f>EXP(-LN(2)/25)*CL150+(1-EXP(-LN(2)/25))/(LN(2)/25)*Calculateur!CG151*Calculateur!CI151*VLOOKUP('Données projet'!$B$12,Paramètres!$A$1:$I$89,3,0)*0.475*44/12</f>
        <v>#N/A</v>
      </c>
      <c r="CM151" s="21" t="e">
        <f>EXP(-LN(2)/2)*CM150+(1-EXP(-LN(2)/2))/(LN(2)/2)*CG151*CJ151*VLOOKUP('Données projet'!$B$12,Paramètres!$A$1:$I$89,3,0)*0.475*44/12</f>
        <v>#N/A</v>
      </c>
      <c r="CN151" s="22" t="e">
        <f t="shared" si="120"/>
        <v>#N/A</v>
      </c>
      <c r="CO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0</v>
      </c>
      <c r="CU151" s="17" t="e">
        <f>CT151*VLOOKUP('Données projet'!$B$13,Paramètres!$A$1:$I$89,3,0)*VLOOKUP('Données projet'!$B$13,Paramètres!$A$1:$I$89,5,0)</f>
        <v>#N/A</v>
      </c>
      <c r="CV151" s="13" t="e">
        <f t="shared" si="149"/>
        <v>#N/A</v>
      </c>
      <c r="CW151" s="20" t="e">
        <f t="shared" si="121"/>
        <v>#N/A</v>
      </c>
      <c r="CX151" s="59" t="e">
        <f t="shared" si="122"/>
        <v>#N/A</v>
      </c>
      <c r="CY151" s="59" t="e">
        <f ca="1">AVERAGE(OFFSET($CX$3,0,0,'Données projet'!$E$13+1,1))-AVERAGE(OFFSET($H$3,0,0,'Données projet'!$E$13+1,1))</f>
        <v>#N/A</v>
      </c>
      <c r="CZ151" s="59" t="e">
        <f t="shared" si="150"/>
        <v>#N/A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 t="e">
        <f>EXP(-LN(2)/35)*DF150+(1-EXP(-LN(2)/35))/(LN(2)/35)*DB151*DC151*VLOOKUP('Données projet'!$B$13,Paramètres!$A$1:$I$89,3,0)*0.475*44/12</f>
        <v>#N/A</v>
      </c>
      <c r="DG151" s="21" t="e">
        <f>EXP(-LN(2)/25)*DG150+(1-EXP(-LN(2)/25))/(LN(2)/25)*Calculateur!DB151*Calculateur!DD151*VLOOKUP('Données projet'!$B$13,Paramètres!$A$1:$I$89,3,0)*0.475*44/12</f>
        <v>#N/A</v>
      </c>
      <c r="DH151" s="21" t="e">
        <f>EXP(-LN(2)/2)*DH150+(1-EXP(-LN(2)/2))/(LN(2)/2)*DB151*DE151*VLOOKUP('Données projet'!$B$13,Paramètres!$A$1:$I$89,3,0)*0.475*44/12</f>
        <v>#N/A</v>
      </c>
      <c r="DI151" s="22" t="e">
        <f t="shared" si="123"/>
        <v>#N/A</v>
      </c>
      <c r="DJ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0</v>
      </c>
      <c r="DP151" s="17" t="e">
        <f>DO151*VLOOKUP('Données projet'!$B$14,Paramètres!$A$1:$I$89,3,0)*VLOOKUP('Données projet'!$B$14,Paramètres!$A$1:$I$89,5,0)</f>
        <v>#N/A</v>
      </c>
      <c r="DQ151" s="13" t="e">
        <f t="shared" si="151"/>
        <v>#N/A</v>
      </c>
      <c r="DR151" s="20" t="e">
        <f t="shared" si="124"/>
        <v>#N/A</v>
      </c>
      <c r="DS151" s="59" t="e">
        <f t="shared" si="125"/>
        <v>#N/A</v>
      </c>
      <c r="DT151" s="59" t="e">
        <f ca="1">AVERAGE(OFFSET($DS$3,0,0,'Données projet'!$E$14+1,1))-AVERAGE(OFFSET($H$3,0,0,'Données projet'!$E$14+1,1))</f>
        <v>#N/A</v>
      </c>
      <c r="DU151" s="59" t="e">
        <f t="shared" si="152"/>
        <v>#N/A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 t="e">
        <f>EXP(-LN(2)/35)*EA150+(1-EXP(-LN(2)/35))/(LN(2)/35)*DW151*DX151*VLOOKUP('Données projet'!$B$14,Paramètres!$A$1:$I$89,3,0)*0.475*44/12</f>
        <v>#N/A</v>
      </c>
      <c r="EB151" s="21" t="e">
        <f>EXP(-LN(2)/25)*EB150+(1-EXP(-LN(2)/25))/(LN(2)/25)*Calculateur!DW151*Calculateur!DY151*VLOOKUP('Données projet'!$B$14,Paramètres!$A$1:$I$89,3,0)*0.475*44/12</f>
        <v>#N/A</v>
      </c>
      <c r="EC151" s="21" t="e">
        <f>EXP(-LN(2)/2)*EC150+(1-EXP(-LN(2)/2))/(LN(2)/2)*DW151*DZ151*VLOOKUP('Données projet'!$B$14,Paramètres!$A$1:$I$89,3,0)*0.475*44/12</f>
        <v>#N/A</v>
      </c>
      <c r="ED151" s="22" t="e">
        <f t="shared" si="126"/>
        <v>#N/A</v>
      </c>
      <c r="EE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0</v>
      </c>
      <c r="EK151" s="17" t="e">
        <f>EJ151*VLOOKUP('Données projet'!$B$15,Paramètres!$A$1:$I$89,3,0)*VLOOKUP('Données projet'!$B$15,Paramètres!$A$1:$I$89,5,0)</f>
        <v>#N/A</v>
      </c>
      <c r="EL151" s="13" t="e">
        <f t="shared" si="153"/>
        <v>#N/A</v>
      </c>
      <c r="EM151" s="20" t="e">
        <f t="shared" si="127"/>
        <v>#N/A</v>
      </c>
      <c r="EN151" s="59" t="e">
        <f t="shared" si="128"/>
        <v>#N/A</v>
      </c>
      <c r="EO151" s="59" t="e">
        <f ca="1">AVERAGE(OFFSET($EN$3,0,0,'Données projet'!$E$15+1,1))-AVERAGE(OFFSET($H$3,0,0,'Données projet'!$E$15+1,1))</f>
        <v>#N/A</v>
      </c>
      <c r="EP151" s="59" t="e">
        <f t="shared" si="154"/>
        <v>#N/A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 t="e">
        <f>EXP(-LN(2)/35)*EV150+(1-EXP(-LN(2)/35))/(LN(2)/35)*ER151*ES151*VLOOKUP('Données projet'!$B$15,Paramètres!$A$1:$I$89,3,0)*0.475*44/12</f>
        <v>#N/A</v>
      </c>
      <c r="EW151" s="21" t="e">
        <f>EXP(-LN(2)/25)*EW150+(1-EXP(-LN(2)/25))/(LN(2)/25)*Calculateur!ER151*Calculateur!ET151*VLOOKUP('Données projet'!$B$15,Paramètres!$A$1:$I$89,3,0)*0.475*44/12</f>
        <v>#N/A</v>
      </c>
      <c r="EX151" s="21" t="e">
        <f>EXP(-LN(2)/2)*EX150+(1-EXP(-LN(2)/2))/(LN(2)/2)*ER151*EU151*VLOOKUP('Données projet'!$B$15,Paramètres!$A$1:$I$89,3,0)*0.475*44/12</f>
        <v>#N/A</v>
      </c>
      <c r="EY151" s="22" t="e">
        <f t="shared" si="129"/>
        <v>#N/A</v>
      </c>
      <c r="EZ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9" t="e">
        <f t="shared" si="131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45">
      <c r="A152" s="10">
        <f t="shared" si="139"/>
        <v>149</v>
      </c>
      <c r="B152" s="73">
        <f>'Scénario référence'!$B$16*5+'Scénario référence'!$B$17*0+'Scénario référence'!$B$18*5</f>
        <v>0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132.49080000000018</v>
      </c>
      <c r="D152" s="11">
        <f t="shared" si="140"/>
        <v>34.571272807379401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">
        <f>IF(OR('Scénario référence'!$F$8&gt;0,'Scénario référence'!$F$9&gt;0),('Scénario référence'!$F$8+'Scénario référence'!$F$9)*10,0)</f>
        <v>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1289.6019655306493</v>
      </c>
      <c r="H152" s="67">
        <f t="shared" si="110"/>
        <v>547.63311013951943</v>
      </c>
      <c r="I152" s="7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1.7053025658242404E-13</v>
      </c>
      <c r="O152" s="13">
        <f>N152*VLOOKUP('Données projet'!$B$9,Paramètres!$A$1:$I$89,3,0)*VLOOKUP('Données projet'!$B$9,Paramètres!$A$1:$I$89,5,0)</f>
        <v>9.5326413429575044E-14</v>
      </c>
      <c r="P152" s="13">
        <f t="shared" si="141"/>
        <v>1.4400742856080346E-12</v>
      </c>
      <c r="Q152" s="20">
        <f t="shared" si="108"/>
        <v>2.6741562174905032E-12</v>
      </c>
      <c r="R152" s="59">
        <f t="shared" si="109"/>
        <v>293.33333333333599</v>
      </c>
      <c r="S152" s="59">
        <f ca="1">AVERAGE(OFFSET($R$3,0,0,'Données projet'!$E$9+1,1))-AVERAGE(OFFSET($H$3,0,0,'Données projet'!$E$9+1,1))</f>
        <v>280.69347314340195</v>
      </c>
      <c r="T152" s="59">
        <f t="shared" si="142"/>
        <v>152.40533828556482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96.088887882269873</v>
      </c>
      <c r="AA152" s="21">
        <f>EXP(-LN(2)/25)*AA151+(1-EXP(-LN(2)/25))/(LN(2)/25)*Calculateur!V152*Calculateur!X152*VLOOKUP('Données projet'!$B$9,Paramètres!$A$1:$I$89,3,0)*0.475*44/12</f>
        <v>24.439328229194544</v>
      </c>
      <c r="AB152" s="21">
        <f>EXP(-LN(2)/2)*AB151+(1-EXP(-LN(2)/2))/(LN(2)/2)*V152*Y152*VLOOKUP('Données projet'!$B$9,Paramètres!$A$1:$I$89,3,0)*0.475*44/12</f>
        <v>2.6815715900504146E-3</v>
      </c>
      <c r="AC152" s="22">
        <f t="shared" si="111"/>
        <v>120.53089768305446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0</v>
      </c>
      <c r="AJ152" s="13">
        <f>AI152*VLOOKUP('Données projet'!$B$10,Paramètres!$A$1:$I$89,3,0)*VLOOKUP('Données projet'!$B$10,Paramètres!$A$1:$I$89,5,0)</f>
        <v>0</v>
      </c>
      <c r="AK152" s="13" t="e">
        <f t="shared" si="143"/>
        <v>#NUM!</v>
      </c>
      <c r="AL152" s="20" t="e">
        <f t="shared" si="112"/>
        <v>#NUM!</v>
      </c>
      <c r="AM152" s="59" t="e">
        <f t="shared" si="113"/>
        <v>#NUM!</v>
      </c>
      <c r="AN152" s="59">
        <f ca="1">AVERAGE(OFFSET($AM$3,0,0,'Données projet'!$E$10+1,1))-AVERAGE(OFFSET($H$3,0,0,'Données projet'!$E$10+1,1))</f>
        <v>179.4725256147085</v>
      </c>
      <c r="AO152" s="59">
        <f t="shared" si="144"/>
        <v>282.16750121151176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24.777056486741735</v>
      </c>
      <c r="AV152" s="21">
        <f>EXP(-LN(2)/25)*AV151+(1-EXP(-LN(2)/25))/(LN(2)/25)*Calculateur!AQ152*Calculateur!AS152*VLOOKUP('Données projet'!$B$10,Paramètres!$A$1:$I$89,3,0)*0.475*44/12</f>
        <v>4.1429784280208457</v>
      </c>
      <c r="AW152" s="21">
        <f>EXP(-LN(2)/2)*AW151+(1-EXP(-LN(2)/2))/(LN(2)/2)*AQ152*AT152*VLOOKUP('Données projet'!$B$10,Paramètres!$A$1:$I$89,3,0)*0.475*44/12</f>
        <v>1.7331970948748371E-12</v>
      </c>
      <c r="AX152" s="21">
        <f t="shared" si="114"/>
        <v>28.920034914764315</v>
      </c>
      <c r="AY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6.2527760746888816E-13</v>
      </c>
      <c r="BE152" s="13">
        <f>BD152*VLOOKUP('Données projet'!$B$11,Paramètres!$A$1:$I$89,3,0)*VLOOKUP('Données projet'!$B$11,Paramètres!$A$1:$I$89,5,0)</f>
        <v>5.3648818720830608E-13</v>
      </c>
      <c r="BF152" s="13">
        <f t="shared" si="145"/>
        <v>6.6281362235424649E-12</v>
      </c>
      <c r="BG152" s="20">
        <f t="shared" si="115"/>
        <v>1.2478387515390925E-11</v>
      </c>
      <c r="BH152" s="59">
        <f t="shared" si="116"/>
        <v>293.33333333334582</v>
      </c>
      <c r="BI152" s="59">
        <f ca="1">AVERAGE(OFFSET($BH$3,0,0,'Données projet'!$E$11+1,1))-AVERAGE(OFFSET($H$3,0,0,'Données projet'!$E$11+1,1))</f>
        <v>312.89478437044261</v>
      </c>
      <c r="BJ152" s="59">
        <f t="shared" si="146"/>
        <v>276.16555507854571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>
        <f>EXP(-LN(2)/35)*BP151+(1-EXP(-LN(2)/35))/(LN(2)/35)*BL152*BM152*VLOOKUP('Données projet'!$B$11,Paramètres!$A$1:$I$89,3,0)*0.475*44/12</f>
        <v>101.23523820950297</v>
      </c>
      <c r="BQ152" s="21">
        <f>EXP(-LN(2)/25)*BQ151+(1-EXP(-LN(2)/25))/(LN(2)/25)*Calculateur!BL152*Calculateur!BN152*VLOOKUP('Données projet'!$B$11,Paramètres!$A$1:$I$89,3,0)*0.475*44/12</f>
        <v>23.620605960535471</v>
      </c>
      <c r="BR152" s="21">
        <f>EXP(-LN(2)/2)*BR151+(1-EXP(-LN(2)/2))/(LN(2)/2)*BL152*BO152*VLOOKUP('Données projet'!$B$11,Paramètres!$A$1:$I$89,3,0)*0.475*44/12</f>
        <v>0.85963642514291538</v>
      </c>
      <c r="BS152" s="22">
        <f t="shared" si="117"/>
        <v>125.71548059518135</v>
      </c>
      <c r="BT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0</v>
      </c>
      <c r="BZ152" s="13" t="e">
        <f>BY152*VLOOKUP('Données projet'!$B$12,Paramètres!$A$1:$I$89,3,0)*VLOOKUP('Données projet'!$B$12,Paramètres!$A$1:$I$89,5,0)</f>
        <v>#N/A</v>
      </c>
      <c r="CA152" s="13" t="e">
        <f t="shared" si="147"/>
        <v>#N/A</v>
      </c>
      <c r="CB152" s="20" t="e">
        <f t="shared" si="118"/>
        <v>#N/A</v>
      </c>
      <c r="CC152" s="59" t="e">
        <f t="shared" si="119"/>
        <v>#N/A</v>
      </c>
      <c r="CD152" s="59" t="e">
        <f ca="1">AVERAGE(OFFSET($CC$3,0,0,'Données projet'!$E$12+1,1))-AVERAGE(OFFSET($H$3,0,0,'Données projet'!$E$12+1,1))</f>
        <v>#N/A</v>
      </c>
      <c r="CE152" s="59" t="e">
        <f t="shared" si="148"/>
        <v>#N/A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 t="e">
        <f>EXP(-LN(2)/35)*CK151+(1-EXP(-LN(2)/35))/(LN(2)/35)*CG152*CH152*VLOOKUP('Données projet'!$B$12,Paramètres!$A$1:$I$89,3,0)*0.475*44/12</f>
        <v>#N/A</v>
      </c>
      <c r="CL152" s="21" t="e">
        <f>EXP(-LN(2)/25)*CL151+(1-EXP(-LN(2)/25))/(LN(2)/25)*Calculateur!CG152*Calculateur!CI152*VLOOKUP('Données projet'!$B$12,Paramètres!$A$1:$I$89,3,0)*0.475*44/12</f>
        <v>#N/A</v>
      </c>
      <c r="CM152" s="21" t="e">
        <f>EXP(-LN(2)/2)*CM151+(1-EXP(-LN(2)/2))/(LN(2)/2)*CG152*CJ152*VLOOKUP('Données projet'!$B$12,Paramètres!$A$1:$I$89,3,0)*0.475*44/12</f>
        <v>#N/A</v>
      </c>
      <c r="CN152" s="22" t="e">
        <f t="shared" si="120"/>
        <v>#N/A</v>
      </c>
      <c r="CO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0</v>
      </c>
      <c r="CU152" s="17" t="e">
        <f>CT152*VLOOKUP('Données projet'!$B$13,Paramètres!$A$1:$I$89,3,0)*VLOOKUP('Données projet'!$B$13,Paramètres!$A$1:$I$89,5,0)</f>
        <v>#N/A</v>
      </c>
      <c r="CV152" s="13" t="e">
        <f t="shared" si="149"/>
        <v>#N/A</v>
      </c>
      <c r="CW152" s="20" t="e">
        <f t="shared" si="121"/>
        <v>#N/A</v>
      </c>
      <c r="CX152" s="59" t="e">
        <f t="shared" si="122"/>
        <v>#N/A</v>
      </c>
      <c r="CY152" s="59" t="e">
        <f ca="1">AVERAGE(OFFSET($CX$3,0,0,'Données projet'!$E$13+1,1))-AVERAGE(OFFSET($H$3,0,0,'Données projet'!$E$13+1,1))</f>
        <v>#N/A</v>
      </c>
      <c r="CZ152" s="59" t="e">
        <f t="shared" si="150"/>
        <v>#N/A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 t="e">
        <f>EXP(-LN(2)/35)*DF151+(1-EXP(-LN(2)/35))/(LN(2)/35)*DB152*DC152*VLOOKUP('Données projet'!$B$13,Paramètres!$A$1:$I$89,3,0)*0.475*44/12</f>
        <v>#N/A</v>
      </c>
      <c r="DG152" s="21" t="e">
        <f>EXP(-LN(2)/25)*DG151+(1-EXP(-LN(2)/25))/(LN(2)/25)*Calculateur!DB152*Calculateur!DD152*VLOOKUP('Données projet'!$B$13,Paramètres!$A$1:$I$89,3,0)*0.475*44/12</f>
        <v>#N/A</v>
      </c>
      <c r="DH152" s="21" t="e">
        <f>EXP(-LN(2)/2)*DH151+(1-EXP(-LN(2)/2))/(LN(2)/2)*DB152*DE152*VLOOKUP('Données projet'!$B$13,Paramètres!$A$1:$I$89,3,0)*0.475*44/12</f>
        <v>#N/A</v>
      </c>
      <c r="DI152" s="22" t="e">
        <f t="shared" si="123"/>
        <v>#N/A</v>
      </c>
      <c r="DJ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0</v>
      </c>
      <c r="DP152" s="17" t="e">
        <f>DO152*VLOOKUP('Données projet'!$B$14,Paramètres!$A$1:$I$89,3,0)*VLOOKUP('Données projet'!$B$14,Paramètres!$A$1:$I$89,5,0)</f>
        <v>#N/A</v>
      </c>
      <c r="DQ152" s="13" t="e">
        <f t="shared" si="151"/>
        <v>#N/A</v>
      </c>
      <c r="DR152" s="20" t="e">
        <f t="shared" si="124"/>
        <v>#N/A</v>
      </c>
      <c r="DS152" s="59" t="e">
        <f t="shared" si="125"/>
        <v>#N/A</v>
      </c>
      <c r="DT152" s="59" t="e">
        <f ca="1">AVERAGE(OFFSET($DS$3,0,0,'Données projet'!$E$14+1,1))-AVERAGE(OFFSET($H$3,0,0,'Données projet'!$E$14+1,1))</f>
        <v>#N/A</v>
      </c>
      <c r="DU152" s="59" t="e">
        <f t="shared" si="152"/>
        <v>#N/A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 t="e">
        <f>EXP(-LN(2)/35)*EA151+(1-EXP(-LN(2)/35))/(LN(2)/35)*DW152*DX152*VLOOKUP('Données projet'!$B$14,Paramètres!$A$1:$I$89,3,0)*0.475*44/12</f>
        <v>#N/A</v>
      </c>
      <c r="EB152" s="21" t="e">
        <f>EXP(-LN(2)/25)*EB151+(1-EXP(-LN(2)/25))/(LN(2)/25)*Calculateur!DW152*Calculateur!DY152*VLOOKUP('Données projet'!$B$14,Paramètres!$A$1:$I$89,3,0)*0.475*44/12</f>
        <v>#N/A</v>
      </c>
      <c r="EC152" s="21" t="e">
        <f>EXP(-LN(2)/2)*EC151+(1-EXP(-LN(2)/2))/(LN(2)/2)*DW152*DZ152*VLOOKUP('Données projet'!$B$14,Paramètres!$A$1:$I$89,3,0)*0.475*44/12</f>
        <v>#N/A</v>
      </c>
      <c r="ED152" s="22" t="e">
        <f t="shared" si="126"/>
        <v>#N/A</v>
      </c>
      <c r="EE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0</v>
      </c>
      <c r="EK152" s="17" t="e">
        <f>EJ152*VLOOKUP('Données projet'!$B$15,Paramètres!$A$1:$I$89,3,0)*VLOOKUP('Données projet'!$B$15,Paramètres!$A$1:$I$89,5,0)</f>
        <v>#N/A</v>
      </c>
      <c r="EL152" s="13" t="e">
        <f t="shared" si="153"/>
        <v>#N/A</v>
      </c>
      <c r="EM152" s="20" t="e">
        <f t="shared" si="127"/>
        <v>#N/A</v>
      </c>
      <c r="EN152" s="59" t="e">
        <f t="shared" si="128"/>
        <v>#N/A</v>
      </c>
      <c r="EO152" s="59" t="e">
        <f ca="1">AVERAGE(OFFSET($EN$3,0,0,'Données projet'!$E$15+1,1))-AVERAGE(OFFSET($H$3,0,0,'Données projet'!$E$15+1,1))</f>
        <v>#N/A</v>
      </c>
      <c r="EP152" s="59" t="e">
        <f t="shared" si="154"/>
        <v>#N/A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 t="e">
        <f>EXP(-LN(2)/35)*EV151+(1-EXP(-LN(2)/35))/(LN(2)/35)*ER152*ES152*VLOOKUP('Données projet'!$B$15,Paramètres!$A$1:$I$89,3,0)*0.475*44/12</f>
        <v>#N/A</v>
      </c>
      <c r="EW152" s="21" t="e">
        <f>EXP(-LN(2)/25)*EW151+(1-EXP(-LN(2)/25))/(LN(2)/25)*Calculateur!ER152*Calculateur!ET152*VLOOKUP('Données projet'!$B$15,Paramètres!$A$1:$I$89,3,0)*0.475*44/12</f>
        <v>#N/A</v>
      </c>
      <c r="EX152" s="21" t="e">
        <f>EXP(-LN(2)/2)*EX151+(1-EXP(-LN(2)/2))/(LN(2)/2)*ER152*EU152*VLOOKUP('Données projet'!$B$15,Paramètres!$A$1:$I$89,3,0)*0.475*44/12</f>
        <v>#N/A</v>
      </c>
      <c r="EY152" s="22" t="e">
        <f t="shared" si="129"/>
        <v>#N/A</v>
      </c>
      <c r="EZ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9" t="e">
        <f t="shared" si="131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45">
      <c r="A153" s="10">
        <f>A152+1</f>
        <v>150</v>
      </c>
      <c r="B153" s="73">
        <f>'Scénario référence'!$B$16*5+'Scénario référence'!$B$17*0+'Scénario référence'!$B$18*5</f>
        <v>0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133.38000000000017</v>
      </c>
      <c r="D153" s="11">
        <f t="shared" si="140"/>
        <v>34.776207535549027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">
        <f>IF(OR('Scénario référence'!$F$8&gt;0,'Scénario référence'!$F$9&gt;0),('Scénario référence'!$F$8+'Scénario référence'!$F$9)*10,0)</f>
        <v>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1298.0479178182745</v>
      </c>
      <c r="H153" s="67">
        <f t="shared" si="110"/>
        <v>549.53872812441477</v>
      </c>
      <c r="I153" s="7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1.7053025658242404E-13</v>
      </c>
      <c r="O153" s="13">
        <f>N153*VLOOKUP('Données projet'!$B$9,Paramètres!$A$1:$I$89,3,0)*VLOOKUP('Données projet'!$B$9,Paramètres!$A$1:$I$89,5,0)</f>
        <v>9.5326413429575044E-14</v>
      </c>
      <c r="P153" s="13">
        <f t="shared" si="141"/>
        <v>1.4400742856080346E-12</v>
      </c>
      <c r="Q153" s="20">
        <f t="shared" si="108"/>
        <v>2.6741562174905032E-12</v>
      </c>
      <c r="R153" s="59">
        <f t="shared" si="109"/>
        <v>293.33333333333599</v>
      </c>
      <c r="S153" s="59">
        <f ca="1">AVERAGE(OFFSET($R$3,0,0,'Données projet'!$E$9+1,1))-AVERAGE(OFFSET($H$3,0,0,'Données projet'!$E$9+1,1))</f>
        <v>280.69347314340195</v>
      </c>
      <c r="T153" s="59">
        <f t="shared" si="142"/>
        <v>152.40533828556482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94.204643399333065</v>
      </c>
      <c r="AA153" s="21">
        <f>EXP(-LN(2)/25)*AA152+(1-EXP(-LN(2)/25))/(LN(2)/25)*Calculateur!V153*Calculateur!X153*VLOOKUP('Données projet'!$B$9,Paramètres!$A$1:$I$89,3,0)*0.475*44/12</f>
        <v>23.771033513558805</v>
      </c>
      <c r="AB153" s="21">
        <f>EXP(-LN(2)/2)*AB152+(1-EXP(-LN(2)/2))/(LN(2)/2)*V153*Y153*VLOOKUP('Données projet'!$B$9,Paramètres!$A$1:$I$89,3,0)*0.475*44/12</f>
        <v>1.8961574555618409E-3</v>
      </c>
      <c r="AC153" s="22">
        <f t="shared" si="111"/>
        <v>117.97757307034743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0</v>
      </c>
      <c r="AJ153" s="13">
        <f>AI153*VLOOKUP('Données projet'!$B$10,Paramètres!$A$1:$I$89,3,0)*VLOOKUP('Données projet'!$B$10,Paramètres!$A$1:$I$89,5,0)</f>
        <v>0</v>
      </c>
      <c r="AK153" s="13" t="e">
        <f t="shared" si="143"/>
        <v>#NUM!</v>
      </c>
      <c r="AL153" s="20" t="e">
        <f t="shared" si="112"/>
        <v>#NUM!</v>
      </c>
      <c r="AM153" s="59" t="e">
        <f t="shared" si="113"/>
        <v>#NUM!</v>
      </c>
      <c r="AN153" s="59">
        <f ca="1">AVERAGE(OFFSET($AM$3,0,0,'Données projet'!$E$10+1,1))-AVERAGE(OFFSET($H$3,0,0,'Données projet'!$E$10+1,1))</f>
        <v>179.4725256147085</v>
      </c>
      <c r="AO153" s="59">
        <f t="shared" si="144"/>
        <v>282.16750121151176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24.291193521548951</v>
      </c>
      <c r="AV153" s="21">
        <f>EXP(-LN(2)/25)*AV152+(1-EXP(-LN(2)/25))/(LN(2)/25)*Calculateur!AQ153*Calculateur!AS153*VLOOKUP('Données projet'!$B$10,Paramètres!$A$1:$I$89,3,0)*0.475*44/12</f>
        <v>4.0296884650368492</v>
      </c>
      <c r="AW153" s="21">
        <f>EXP(-LN(2)/2)*AW152+(1-EXP(-LN(2)/2))/(LN(2)/2)*AQ153*AT153*VLOOKUP('Données projet'!$B$10,Paramètres!$A$1:$I$89,3,0)*0.475*44/12</f>
        <v>1.2255554189188212E-12</v>
      </c>
      <c r="AX153" s="21">
        <f t="shared" si="114"/>
        <v>28.320881986587025</v>
      </c>
      <c r="AY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6.2527760746888816E-13</v>
      </c>
      <c r="BE153" s="13">
        <f>BD153*VLOOKUP('Données projet'!$B$11,Paramètres!$A$1:$I$89,3,0)*VLOOKUP('Données projet'!$B$11,Paramètres!$A$1:$I$89,5,0)</f>
        <v>5.3648818720830608E-13</v>
      </c>
      <c r="BF153" s="13">
        <f t="shared" si="145"/>
        <v>6.6281362235424649E-12</v>
      </c>
      <c r="BG153" s="20">
        <f t="shared" si="115"/>
        <v>1.2478387515390925E-11</v>
      </c>
      <c r="BH153" s="59">
        <f t="shared" si="116"/>
        <v>293.33333333334582</v>
      </c>
      <c r="BI153" s="59">
        <f ca="1">AVERAGE(OFFSET($BH$3,0,0,'Données projet'!$E$11+1,1))-AVERAGE(OFFSET($H$3,0,0,'Données projet'!$E$11+1,1))</f>
        <v>312.89478437044261</v>
      </c>
      <c r="BJ153" s="59">
        <f t="shared" si="146"/>
        <v>276.16555507854571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>
        <f>EXP(-LN(2)/35)*BP152+(1-EXP(-LN(2)/35))/(LN(2)/35)*BL153*BM153*VLOOKUP('Données projet'!$B$11,Paramètres!$A$1:$I$89,3,0)*0.475*44/12</f>
        <v>99.250076935612867</v>
      </c>
      <c r="BQ153" s="21">
        <f>EXP(-LN(2)/25)*BQ152+(1-EXP(-LN(2)/25))/(LN(2)/25)*Calculateur!BL153*Calculateur!BN153*VLOOKUP('Données projet'!$B$11,Paramètres!$A$1:$I$89,3,0)*0.475*44/12</f>
        <v>22.974699248390948</v>
      </c>
      <c r="BR153" s="21">
        <f>EXP(-LN(2)/2)*BR152+(1-EXP(-LN(2)/2))/(LN(2)/2)*BL153*BO153*VLOOKUP('Données projet'!$B$11,Paramètres!$A$1:$I$89,3,0)*0.475*44/12</f>
        <v>0.60785474557351749</v>
      </c>
      <c r="BS153" s="22">
        <f t="shared" si="117"/>
        <v>122.83263092957733</v>
      </c>
      <c r="BT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0</v>
      </c>
      <c r="BZ153" s="13" t="e">
        <f>BY153*VLOOKUP('Données projet'!$B$12,Paramètres!$A$1:$I$89,3,0)*VLOOKUP('Données projet'!$B$12,Paramètres!$A$1:$I$89,5,0)</f>
        <v>#N/A</v>
      </c>
      <c r="CA153" s="13" t="e">
        <f t="shared" si="147"/>
        <v>#N/A</v>
      </c>
      <c r="CB153" s="20" t="e">
        <f t="shared" si="118"/>
        <v>#N/A</v>
      </c>
      <c r="CC153" s="59" t="e">
        <f t="shared" si="119"/>
        <v>#N/A</v>
      </c>
      <c r="CD153" s="59" t="e">
        <f ca="1">AVERAGE(OFFSET($CC$3,0,0,'Données projet'!$E$12+1,1))-AVERAGE(OFFSET($H$3,0,0,'Données projet'!$E$12+1,1))</f>
        <v>#N/A</v>
      </c>
      <c r="CE153" s="59" t="e">
        <f t="shared" si="148"/>
        <v>#N/A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 t="e">
        <f>EXP(-LN(2)/35)*CK152+(1-EXP(-LN(2)/35))/(LN(2)/35)*CG153*CH153*VLOOKUP('Données projet'!$B$12,Paramètres!$A$1:$I$89,3,0)*0.475*44/12</f>
        <v>#N/A</v>
      </c>
      <c r="CL153" s="21" t="e">
        <f>EXP(-LN(2)/25)*CL152+(1-EXP(-LN(2)/25))/(LN(2)/25)*Calculateur!CG153*Calculateur!CI153*VLOOKUP('Données projet'!$B$12,Paramètres!$A$1:$I$89,3,0)*0.475*44/12</f>
        <v>#N/A</v>
      </c>
      <c r="CM153" s="21" t="e">
        <f>EXP(-LN(2)/2)*CM152+(1-EXP(-LN(2)/2))/(LN(2)/2)*CG153*CJ153*VLOOKUP('Données projet'!$B$12,Paramètres!$A$1:$I$89,3,0)*0.475*44/12</f>
        <v>#N/A</v>
      </c>
      <c r="CN153" s="22" t="e">
        <f t="shared" si="120"/>
        <v>#N/A</v>
      </c>
      <c r="CO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0</v>
      </c>
      <c r="CU153" s="17" t="e">
        <f>CT153*VLOOKUP('Données projet'!$B$13,Paramètres!$A$1:$I$89,3,0)*VLOOKUP('Données projet'!$B$13,Paramètres!$A$1:$I$89,5,0)</f>
        <v>#N/A</v>
      </c>
      <c r="CV153" s="13" t="e">
        <f t="shared" si="149"/>
        <v>#N/A</v>
      </c>
      <c r="CW153" s="20" t="e">
        <f t="shared" si="121"/>
        <v>#N/A</v>
      </c>
      <c r="CX153" s="59" t="e">
        <f t="shared" si="122"/>
        <v>#N/A</v>
      </c>
      <c r="CY153" s="59" t="e">
        <f ca="1">AVERAGE(OFFSET($CX$3,0,0,'Données projet'!$E$13+1,1))-AVERAGE(OFFSET($H$3,0,0,'Données projet'!$E$13+1,1))</f>
        <v>#N/A</v>
      </c>
      <c r="CZ153" s="59" t="e">
        <f t="shared" si="150"/>
        <v>#N/A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 t="e">
        <f>EXP(-LN(2)/35)*DF152+(1-EXP(-LN(2)/35))/(LN(2)/35)*DB153*DC153*VLOOKUP('Données projet'!$B$13,Paramètres!$A$1:$I$89,3,0)*0.475*44/12</f>
        <v>#N/A</v>
      </c>
      <c r="DG153" s="21" t="e">
        <f>EXP(-LN(2)/25)*DG152+(1-EXP(-LN(2)/25))/(LN(2)/25)*Calculateur!DB153*Calculateur!DD153*VLOOKUP('Données projet'!$B$13,Paramètres!$A$1:$I$89,3,0)*0.475*44/12</f>
        <v>#N/A</v>
      </c>
      <c r="DH153" s="21" t="e">
        <f>EXP(-LN(2)/2)*DH152+(1-EXP(-LN(2)/2))/(LN(2)/2)*DB153*DE153*VLOOKUP('Données projet'!$B$13,Paramètres!$A$1:$I$89,3,0)*0.475*44/12</f>
        <v>#N/A</v>
      </c>
      <c r="DI153" s="22" t="e">
        <f t="shared" si="123"/>
        <v>#N/A</v>
      </c>
      <c r="DJ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0</v>
      </c>
      <c r="DP153" s="17" t="e">
        <f>DO153*VLOOKUP('Données projet'!$B$14,Paramètres!$A$1:$I$89,3,0)*VLOOKUP('Données projet'!$B$14,Paramètres!$A$1:$I$89,5,0)</f>
        <v>#N/A</v>
      </c>
      <c r="DQ153" s="13" t="e">
        <f t="shared" si="151"/>
        <v>#N/A</v>
      </c>
      <c r="DR153" s="20" t="e">
        <f t="shared" si="124"/>
        <v>#N/A</v>
      </c>
      <c r="DS153" s="59" t="e">
        <f t="shared" si="125"/>
        <v>#N/A</v>
      </c>
      <c r="DT153" s="59" t="e">
        <f ca="1">AVERAGE(OFFSET($DS$3,0,0,'Données projet'!$E$14+1,1))-AVERAGE(OFFSET($H$3,0,0,'Données projet'!$E$14+1,1))</f>
        <v>#N/A</v>
      </c>
      <c r="DU153" s="59" t="e">
        <f t="shared" si="152"/>
        <v>#N/A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 t="e">
        <f>EXP(-LN(2)/35)*EA152+(1-EXP(-LN(2)/35))/(LN(2)/35)*DW153*DX153*VLOOKUP('Données projet'!$B$14,Paramètres!$A$1:$I$89,3,0)*0.475*44/12</f>
        <v>#N/A</v>
      </c>
      <c r="EB153" s="21" t="e">
        <f>EXP(-LN(2)/25)*EB152+(1-EXP(-LN(2)/25))/(LN(2)/25)*Calculateur!DW153*Calculateur!DY153*VLOOKUP('Données projet'!$B$14,Paramètres!$A$1:$I$89,3,0)*0.475*44/12</f>
        <v>#N/A</v>
      </c>
      <c r="EC153" s="21" t="e">
        <f>EXP(-LN(2)/2)*EC152+(1-EXP(-LN(2)/2))/(LN(2)/2)*DW153*DZ153*VLOOKUP('Données projet'!$B$14,Paramètres!$A$1:$I$89,3,0)*0.475*44/12</f>
        <v>#N/A</v>
      </c>
      <c r="ED153" s="22" t="e">
        <f t="shared" si="126"/>
        <v>#N/A</v>
      </c>
      <c r="EE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0</v>
      </c>
      <c r="EK153" s="17" t="e">
        <f>EJ153*VLOOKUP('Données projet'!$B$15,Paramètres!$A$1:$I$89,3,0)*VLOOKUP('Données projet'!$B$15,Paramètres!$A$1:$I$89,5,0)</f>
        <v>#N/A</v>
      </c>
      <c r="EL153" s="13" t="e">
        <f t="shared" si="153"/>
        <v>#N/A</v>
      </c>
      <c r="EM153" s="20" t="e">
        <f t="shared" si="127"/>
        <v>#N/A</v>
      </c>
      <c r="EN153" s="59" t="e">
        <f t="shared" si="128"/>
        <v>#N/A</v>
      </c>
      <c r="EO153" s="59" t="e">
        <f ca="1">AVERAGE(OFFSET($EN$3,0,0,'Données projet'!$E$15+1,1))-AVERAGE(OFFSET($H$3,0,0,'Données projet'!$E$15+1,1))</f>
        <v>#N/A</v>
      </c>
      <c r="EP153" s="59" t="e">
        <f t="shared" si="154"/>
        <v>#N/A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 t="e">
        <f>EXP(-LN(2)/35)*EV152+(1-EXP(-LN(2)/35))/(LN(2)/35)*ER153*ES153*VLOOKUP('Données projet'!$B$15,Paramètres!$A$1:$I$89,3,0)*0.475*44/12</f>
        <v>#N/A</v>
      </c>
      <c r="EW153" s="21" t="e">
        <f>EXP(-LN(2)/25)*EW152+(1-EXP(-LN(2)/25))/(LN(2)/25)*Calculateur!ER153*Calculateur!ET153*VLOOKUP('Données projet'!$B$15,Paramètres!$A$1:$I$89,3,0)*0.475*44/12</f>
        <v>#N/A</v>
      </c>
      <c r="EX153" s="21" t="e">
        <f>EXP(-LN(2)/2)*EX152+(1-EXP(-LN(2)/2))/(LN(2)/2)*ER153*EU153*VLOOKUP('Données projet'!$B$15,Paramètres!$A$1:$I$89,3,0)*0.475*44/12</f>
        <v>#N/A</v>
      </c>
      <c r="EY153" s="22" t="e">
        <f t="shared" si="129"/>
        <v>#N/A</v>
      </c>
      <c r="EZ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9" t="e">
        <f t="shared" si="131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45">
      <c r="A154" s="10">
        <f t="shared" ref="A154:A202" si="161">A153+1</f>
        <v>151</v>
      </c>
      <c r="B154" s="73">
        <f>'Scénario référence'!$B$16*5+'Scénario référence'!$B$17*0+'Scénario référence'!$B$18*5</f>
        <v>0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134.26920000000015</v>
      </c>
      <c r="D154" s="11">
        <f t="shared" si="140"/>
        <v>34.980983294811438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">
        <f>IF(OR('Scénario référence'!$F$8&gt;0,'Scénario référence'!$F$9&gt;0),('Scénario référence'!$F$8+'Scénario référence'!$F$9)*10,0)</f>
        <v>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1306.492642977493</v>
      </c>
      <c r="H154" s="67">
        <f t="shared" si="110"/>
        <v>551.4440692384635</v>
      </c>
      <c r="I154" s="7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1.7053025658242404E-13</v>
      </c>
      <c r="O154" s="13">
        <f>N154*VLOOKUP('Données projet'!$B$9,Paramètres!$A$1:$I$89,3,0)*VLOOKUP('Données projet'!$B$9,Paramètres!$A$1:$I$89,5,0)</f>
        <v>9.5326413429575044E-14</v>
      </c>
      <c r="P154" s="13">
        <f t="shared" si="141"/>
        <v>1.4400742856080346E-12</v>
      </c>
      <c r="Q154" s="20">
        <f t="shared" ref="Q154:Q203" si="162">(O154+P154)*0.475*44/12</f>
        <v>2.6741562174905032E-12</v>
      </c>
      <c r="R154" s="59">
        <f t="shared" si="109"/>
        <v>293.33333333333599</v>
      </c>
      <c r="S154" s="59">
        <f ca="1">AVERAGE(OFFSET($R$3,0,0,'Données projet'!$E$9+1,1))-AVERAGE(OFFSET($H$3,0,0,'Données projet'!$E$9+1,1))</f>
        <v>280.69347314340195</v>
      </c>
      <c r="T154" s="59">
        <f t="shared" si="142"/>
        <v>152.40533828556482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92.35734780143099</v>
      </c>
      <c r="AA154" s="21">
        <f>EXP(-LN(2)/25)*AA153+(1-EXP(-LN(2)/25))/(LN(2)/25)*Calculateur!V154*Calculateur!X154*VLOOKUP('Données projet'!$B$9,Paramètres!$A$1:$I$89,3,0)*0.475*44/12</f>
        <v>23.121013352066218</v>
      </c>
      <c r="AB154" s="21">
        <f>EXP(-LN(2)/2)*AB153+(1-EXP(-LN(2)/2))/(LN(2)/2)*V154*Y154*VLOOKUP('Données projet'!$B$9,Paramètres!$A$1:$I$89,3,0)*0.475*44/12</f>
        <v>1.3407857950252075E-3</v>
      </c>
      <c r="AC154" s="22">
        <f t="shared" ref="AC154:AC203" si="163">SUM(Z154:AB154)</f>
        <v>115.47970193929223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0</v>
      </c>
      <c r="AJ154" s="13">
        <f>AI154*VLOOKUP('Données projet'!$B$10,Paramètres!$A$1:$I$89,3,0)*VLOOKUP('Données projet'!$B$10,Paramètres!$A$1:$I$89,5,0)</f>
        <v>0</v>
      </c>
      <c r="AK154" s="13" t="e">
        <f t="shared" ref="AK154:AK203" si="164">EXP(-1.0587+0.8836*LN(AJ154)+0.284)</f>
        <v>#NUM!</v>
      </c>
      <c r="AL154" s="20" t="e">
        <f t="shared" ref="AL154:AL203" si="165">(AJ154+AK154)*0.475*44/12</f>
        <v>#NUM!</v>
      </c>
      <c r="AM154" s="59" t="e">
        <f t="shared" si="113"/>
        <v>#NUM!</v>
      </c>
      <c r="AN154" s="59">
        <f ca="1">AVERAGE(OFFSET($AM$3,0,0,'Données projet'!$E$10+1,1))-AVERAGE(OFFSET($H$3,0,0,'Données projet'!$E$10+1,1))</f>
        <v>179.4725256147085</v>
      </c>
      <c r="AO154" s="59">
        <f t="shared" si="144"/>
        <v>282.16750121151176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23.814858032756451</v>
      </c>
      <c r="AV154" s="21">
        <f>EXP(-LN(2)/25)*AV153+(1-EXP(-LN(2)/25))/(LN(2)/25)*Calculateur!AQ154*Calculateur!AS154*VLOOKUP('Données projet'!$B$10,Paramètres!$A$1:$I$89,3,0)*0.475*44/12</f>
        <v>3.9194964220483102</v>
      </c>
      <c r="AW154" s="21">
        <f>EXP(-LN(2)/2)*AW153+(1-EXP(-LN(2)/2))/(LN(2)/2)*AQ154*AT154*VLOOKUP('Données projet'!$B$10,Paramètres!$A$1:$I$89,3,0)*0.475*44/12</f>
        <v>8.6659854743741853E-13</v>
      </c>
      <c r="AX154" s="21">
        <f t="shared" ref="AX154:AX203" si="166">SUM(AU154:AW154)</f>
        <v>27.734354454805629</v>
      </c>
      <c r="AY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6.2527760746888816E-13</v>
      </c>
      <c r="BE154" s="13">
        <f>BD154*VLOOKUP('Données projet'!$B$11,Paramètres!$A$1:$I$89,3,0)*VLOOKUP('Données projet'!$B$11,Paramètres!$A$1:$I$89,5,0)</f>
        <v>5.3648818720830608E-13</v>
      </c>
      <c r="BF154" s="13">
        <f t="shared" ref="BF154:BF203" si="167">EXP(-1.0587+0.8836*LN(BE154)+0.284)</f>
        <v>6.6281362235424649E-12</v>
      </c>
      <c r="BG154" s="20">
        <f t="shared" ref="BG154:BG203" si="168">(BE154+BF154)*0.475*44/12</f>
        <v>1.2478387515390925E-11</v>
      </c>
      <c r="BH154" s="59">
        <f t="shared" si="116"/>
        <v>293.33333333334582</v>
      </c>
      <c r="BI154" s="59">
        <f ca="1">AVERAGE(OFFSET($BH$3,0,0,'Données projet'!$E$11+1,1))-AVERAGE(OFFSET($H$3,0,0,'Données projet'!$E$11+1,1))</f>
        <v>312.89478437044261</v>
      </c>
      <c r="BJ154" s="59">
        <f t="shared" si="146"/>
        <v>276.16555507854571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>
        <f>EXP(-LN(2)/35)*BP153+(1-EXP(-LN(2)/35))/(LN(2)/35)*BL154*BM154*VLOOKUP('Données projet'!$B$11,Paramètres!$A$1:$I$89,3,0)*0.475*44/12</f>
        <v>97.303843463474934</v>
      </c>
      <c r="BQ154" s="21">
        <f>EXP(-LN(2)/25)*BQ153+(1-EXP(-LN(2)/25))/(LN(2)/25)*Calculateur!BL154*Calculateur!BN154*VLOOKUP('Données projet'!$B$11,Paramètres!$A$1:$I$89,3,0)*0.475*44/12</f>
        <v>22.346454889256773</v>
      </c>
      <c r="BR154" s="21">
        <f>EXP(-LN(2)/2)*BR153+(1-EXP(-LN(2)/2))/(LN(2)/2)*BL154*BO154*VLOOKUP('Données projet'!$B$11,Paramètres!$A$1:$I$89,3,0)*0.475*44/12</f>
        <v>0.4298182125714578</v>
      </c>
      <c r="BS154" s="22">
        <f t="shared" ref="BS154:BS203" si="169">SUM(BP154:BR154)</f>
        <v>120.08011656530317</v>
      </c>
      <c r="BT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0</v>
      </c>
      <c r="BZ154" s="13" t="e">
        <f>BY154*VLOOKUP('Données projet'!$B$12,Paramètres!$A$1:$I$89,3,0)*VLOOKUP('Données projet'!$B$12,Paramètres!$A$1:$I$89,5,0)</f>
        <v>#N/A</v>
      </c>
      <c r="CA154" s="13" t="e">
        <f t="shared" ref="CA154:CA203" si="170">EXP(-1.0587+0.8836*LN(BZ154)+0.284)</f>
        <v>#N/A</v>
      </c>
      <c r="CB154" s="20" t="e">
        <f t="shared" ref="CB154:CB203" si="171">(BZ154+CA154)*0.475*44/12</f>
        <v>#N/A</v>
      </c>
      <c r="CC154" s="59" t="e">
        <f t="shared" si="119"/>
        <v>#N/A</v>
      </c>
      <c r="CD154" s="59" t="e">
        <f ca="1">AVERAGE(OFFSET($CC$3,0,0,'Données projet'!$E$12+1,1))-AVERAGE(OFFSET($H$3,0,0,'Données projet'!$E$12+1,1))</f>
        <v>#N/A</v>
      </c>
      <c r="CE154" s="59" t="e">
        <f t="shared" si="148"/>
        <v>#N/A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 t="e">
        <f>EXP(-LN(2)/35)*CK153+(1-EXP(-LN(2)/35))/(LN(2)/35)*CG154*CH154*VLOOKUP('Données projet'!$B$12,Paramètres!$A$1:$I$89,3,0)*0.475*44/12</f>
        <v>#N/A</v>
      </c>
      <c r="CL154" s="21" t="e">
        <f>EXP(-LN(2)/25)*CL153+(1-EXP(-LN(2)/25))/(LN(2)/25)*Calculateur!CG154*Calculateur!CI154*VLOOKUP('Données projet'!$B$12,Paramètres!$A$1:$I$89,3,0)*0.475*44/12</f>
        <v>#N/A</v>
      </c>
      <c r="CM154" s="21" t="e">
        <f>EXP(-LN(2)/2)*CM153+(1-EXP(-LN(2)/2))/(LN(2)/2)*CG154*CJ154*VLOOKUP('Données projet'!$B$12,Paramètres!$A$1:$I$89,3,0)*0.475*44/12</f>
        <v>#N/A</v>
      </c>
      <c r="CN154" s="22" t="e">
        <f t="shared" ref="CN154:CN203" si="172">SUM(CK154:CM154)</f>
        <v>#N/A</v>
      </c>
      <c r="CO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0</v>
      </c>
      <c r="CU154" s="17" t="e">
        <f>CT154*VLOOKUP('Données projet'!$B$13,Paramètres!$A$1:$I$89,3,0)*VLOOKUP('Données projet'!$B$13,Paramètres!$A$1:$I$89,5,0)</f>
        <v>#N/A</v>
      </c>
      <c r="CV154" s="13" t="e">
        <f t="shared" ref="CV154:CV203" si="173">EXP(-1.0587+0.8836*LN(CU154)+0.284)</f>
        <v>#N/A</v>
      </c>
      <c r="CW154" s="20" t="e">
        <f t="shared" ref="CW154:CW203" si="174">(CU154+CV154)*0.475*44/12</f>
        <v>#N/A</v>
      </c>
      <c r="CX154" s="59" t="e">
        <f t="shared" si="122"/>
        <v>#N/A</v>
      </c>
      <c r="CY154" s="59" t="e">
        <f ca="1">AVERAGE(OFFSET($CX$3,0,0,'Données projet'!$E$13+1,1))-AVERAGE(OFFSET($H$3,0,0,'Données projet'!$E$13+1,1))</f>
        <v>#N/A</v>
      </c>
      <c r="CZ154" s="59" t="e">
        <f t="shared" si="150"/>
        <v>#N/A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 t="e">
        <f>EXP(-LN(2)/35)*DF153+(1-EXP(-LN(2)/35))/(LN(2)/35)*DB154*DC154*VLOOKUP('Données projet'!$B$13,Paramètres!$A$1:$I$89,3,0)*0.475*44/12</f>
        <v>#N/A</v>
      </c>
      <c r="DG154" s="21" t="e">
        <f>EXP(-LN(2)/25)*DG153+(1-EXP(-LN(2)/25))/(LN(2)/25)*Calculateur!DB154*Calculateur!DD154*VLOOKUP('Données projet'!$B$13,Paramètres!$A$1:$I$89,3,0)*0.475*44/12</f>
        <v>#N/A</v>
      </c>
      <c r="DH154" s="21" t="e">
        <f>EXP(-LN(2)/2)*DH153+(1-EXP(-LN(2)/2))/(LN(2)/2)*DB154*DE154*VLOOKUP('Données projet'!$B$13,Paramètres!$A$1:$I$89,3,0)*0.475*44/12</f>
        <v>#N/A</v>
      </c>
      <c r="DI154" s="22" t="e">
        <f t="shared" ref="DI154:DI203" si="175">SUM(DF154:DH154)</f>
        <v>#N/A</v>
      </c>
      <c r="DJ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0</v>
      </c>
      <c r="DP154" s="17" t="e">
        <f>DO154*VLOOKUP('Données projet'!$B$14,Paramètres!$A$1:$I$89,3,0)*VLOOKUP('Données projet'!$B$14,Paramètres!$A$1:$I$89,5,0)</f>
        <v>#N/A</v>
      </c>
      <c r="DQ154" s="13" t="e">
        <f t="shared" ref="DQ154:DQ203" si="176">EXP(-1.0587+0.8836*LN(DP154)+0.284)</f>
        <v>#N/A</v>
      </c>
      <c r="DR154" s="20" t="e">
        <f t="shared" ref="DR154:DR203" si="177">(DP154+DQ154)*0.475*44/12</f>
        <v>#N/A</v>
      </c>
      <c r="DS154" s="59" t="e">
        <f t="shared" si="125"/>
        <v>#N/A</v>
      </c>
      <c r="DT154" s="59" t="e">
        <f ca="1">AVERAGE(OFFSET($DS$3,0,0,'Données projet'!$E$14+1,1))-AVERAGE(OFFSET($H$3,0,0,'Données projet'!$E$14+1,1))</f>
        <v>#N/A</v>
      </c>
      <c r="DU154" s="59" t="e">
        <f t="shared" si="152"/>
        <v>#N/A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 t="e">
        <f>EXP(-LN(2)/35)*EA153+(1-EXP(-LN(2)/35))/(LN(2)/35)*DW154*DX154*VLOOKUP('Données projet'!$B$14,Paramètres!$A$1:$I$89,3,0)*0.475*44/12</f>
        <v>#N/A</v>
      </c>
      <c r="EB154" s="21" t="e">
        <f>EXP(-LN(2)/25)*EB153+(1-EXP(-LN(2)/25))/(LN(2)/25)*Calculateur!DW154*Calculateur!DY154*VLOOKUP('Données projet'!$B$14,Paramètres!$A$1:$I$89,3,0)*0.475*44/12</f>
        <v>#N/A</v>
      </c>
      <c r="EC154" s="21" t="e">
        <f>EXP(-LN(2)/2)*EC153+(1-EXP(-LN(2)/2))/(LN(2)/2)*DW154*DZ154*VLOOKUP('Données projet'!$B$14,Paramètres!$A$1:$I$89,3,0)*0.475*44/12</f>
        <v>#N/A</v>
      </c>
      <c r="ED154" s="22" t="e">
        <f t="shared" ref="ED154:ED203" si="178">SUM(EA154:EC154)</f>
        <v>#N/A</v>
      </c>
      <c r="EE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0</v>
      </c>
      <c r="EK154" s="17" t="e">
        <f>EJ154*VLOOKUP('Données projet'!$B$15,Paramètres!$A$1:$I$89,3,0)*VLOOKUP('Données projet'!$B$15,Paramètres!$A$1:$I$89,5,0)</f>
        <v>#N/A</v>
      </c>
      <c r="EL154" s="13" t="e">
        <f t="shared" ref="EL154:EL203" si="179">EXP(-1.0587+0.8836*LN(EK154)+0.284)</f>
        <v>#N/A</v>
      </c>
      <c r="EM154" s="20" t="e">
        <f t="shared" ref="EM154:EM203" si="180">(EK154+EL154)*0.475*44/12</f>
        <v>#N/A</v>
      </c>
      <c r="EN154" s="59" t="e">
        <f t="shared" si="128"/>
        <v>#N/A</v>
      </c>
      <c r="EO154" s="59" t="e">
        <f ca="1">AVERAGE(OFFSET($EN$3,0,0,'Données projet'!$E$15+1,1))-AVERAGE(OFFSET($H$3,0,0,'Données projet'!$E$15+1,1))</f>
        <v>#N/A</v>
      </c>
      <c r="EP154" s="59" t="e">
        <f t="shared" si="154"/>
        <v>#N/A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 t="e">
        <f>EXP(-LN(2)/35)*EV153+(1-EXP(-LN(2)/35))/(LN(2)/35)*ER154*ES154*VLOOKUP('Données projet'!$B$15,Paramètres!$A$1:$I$89,3,0)*0.475*44/12</f>
        <v>#N/A</v>
      </c>
      <c r="EW154" s="21" t="e">
        <f>EXP(-LN(2)/25)*EW153+(1-EXP(-LN(2)/25))/(LN(2)/25)*Calculateur!ER154*Calculateur!ET154*VLOOKUP('Données projet'!$B$15,Paramètres!$A$1:$I$89,3,0)*0.475*44/12</f>
        <v>#N/A</v>
      </c>
      <c r="EX154" s="21" t="e">
        <f>EXP(-LN(2)/2)*EX153+(1-EXP(-LN(2)/2))/(LN(2)/2)*ER154*EU154*VLOOKUP('Données projet'!$B$15,Paramètres!$A$1:$I$89,3,0)*0.475*44/12</f>
        <v>#N/A</v>
      </c>
      <c r="EY154" s="22" t="e">
        <f t="shared" ref="EY154:EY203" si="181">SUM(EV154:EX154)</f>
        <v>#N/A</v>
      </c>
      <c r="EZ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9" t="e">
        <f t="shared" si="131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45">
      <c r="A155" s="10">
        <f t="shared" si="161"/>
        <v>152</v>
      </c>
      <c r="B155" s="73">
        <f>'Scénario référence'!$B$16*5+'Scénario référence'!$B$17*0+'Scénario référence'!$B$18*5</f>
        <v>0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135.15840000000014</v>
      </c>
      <c r="D155" s="11">
        <f t="shared" si="140"/>
        <v>35.185601260048031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">
        <f>IF(OR('Scénario référence'!$F$8&gt;0,'Scénario référence'!$F$9&gt;0),('Scénario référence'!$F$8+'Scénario référence'!$F$9)*10,0)</f>
        <v>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1314.9361500775651</v>
      </c>
      <c r="H155" s="67">
        <f t="shared" si="110"/>
        <v>553.34913552791727</v>
      </c>
      <c r="I155" s="7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1.7053025658242404E-13</v>
      </c>
      <c r="O155" s="13">
        <f>N155*VLOOKUP('Données projet'!$B$9,Paramètres!$A$1:$I$89,3,0)*VLOOKUP('Données projet'!$B$9,Paramètres!$A$1:$I$89,5,0)</f>
        <v>9.5326413429575044E-14</v>
      </c>
      <c r="P155" s="13">
        <f t="shared" si="141"/>
        <v>1.4400742856080346E-12</v>
      </c>
      <c r="Q155" s="20">
        <f t="shared" si="162"/>
        <v>2.6741562174905032E-12</v>
      </c>
      <c r="R155" s="59">
        <f t="shared" si="109"/>
        <v>293.33333333333599</v>
      </c>
      <c r="S155" s="59">
        <f ca="1">AVERAGE(OFFSET($R$3,0,0,'Données projet'!$E$9+1,1))-AVERAGE(OFFSET($H$3,0,0,'Données projet'!$E$9+1,1))</f>
        <v>280.69347314340195</v>
      </c>
      <c r="T155" s="59">
        <f t="shared" si="142"/>
        <v>152.40533828556482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90.546276543464728</v>
      </c>
      <c r="AA155" s="21">
        <f>EXP(-LN(2)/25)*AA154+(1-EXP(-LN(2)/25))/(LN(2)/25)*Calculateur!V155*Calculateur!X155*VLOOKUP('Données projet'!$B$9,Paramètres!$A$1:$I$89,3,0)*0.475*44/12</f>
        <v>22.488768026072719</v>
      </c>
      <c r="AB155" s="21">
        <f>EXP(-LN(2)/2)*AB154+(1-EXP(-LN(2)/2))/(LN(2)/2)*V155*Y155*VLOOKUP('Données projet'!$B$9,Paramètres!$A$1:$I$89,3,0)*0.475*44/12</f>
        <v>9.4807872778092058E-4</v>
      </c>
      <c r="AC155" s="22">
        <f t="shared" si="163"/>
        <v>113.03599264826524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0</v>
      </c>
      <c r="AJ155" s="13">
        <f>AI155*VLOOKUP('Données projet'!$B$10,Paramètres!$A$1:$I$89,3,0)*VLOOKUP('Données projet'!$B$10,Paramètres!$A$1:$I$89,5,0)</f>
        <v>0</v>
      </c>
      <c r="AK155" s="13" t="e">
        <f t="shared" si="164"/>
        <v>#NUM!</v>
      </c>
      <c r="AL155" s="20" t="e">
        <f t="shared" si="165"/>
        <v>#NUM!</v>
      </c>
      <c r="AM155" s="59" t="e">
        <f t="shared" si="113"/>
        <v>#NUM!</v>
      </c>
      <c r="AN155" s="59">
        <f ca="1">AVERAGE(OFFSET($AM$3,0,0,'Données projet'!$E$10+1,1))-AVERAGE(OFFSET($H$3,0,0,'Données projet'!$E$10+1,1))</f>
        <v>179.4725256147085</v>
      </c>
      <c r="AO155" s="59">
        <f t="shared" si="144"/>
        <v>282.16750121151176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23.34786319236321</v>
      </c>
      <c r="AV155" s="21">
        <f>EXP(-LN(2)/25)*AV154+(1-EXP(-LN(2)/25))/(LN(2)/25)*Calculateur!AQ155*Calculateur!AS155*VLOOKUP('Données projet'!$B$10,Paramètres!$A$1:$I$89,3,0)*0.475*44/12</f>
        <v>3.8123175862700402</v>
      </c>
      <c r="AW155" s="21">
        <f>EXP(-LN(2)/2)*AW154+(1-EXP(-LN(2)/2))/(LN(2)/2)*AQ155*AT155*VLOOKUP('Données projet'!$B$10,Paramètres!$A$1:$I$89,3,0)*0.475*44/12</f>
        <v>6.1277770945941062E-13</v>
      </c>
      <c r="AX155" s="21">
        <f t="shared" si="166"/>
        <v>27.160180778633862</v>
      </c>
      <c r="AY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6.2527760746888816E-13</v>
      </c>
      <c r="BE155" s="13">
        <f>BD155*VLOOKUP('Données projet'!$B$11,Paramètres!$A$1:$I$89,3,0)*VLOOKUP('Données projet'!$B$11,Paramètres!$A$1:$I$89,5,0)</f>
        <v>5.3648818720830608E-13</v>
      </c>
      <c r="BF155" s="13">
        <f t="shared" si="167"/>
        <v>6.6281362235424649E-12</v>
      </c>
      <c r="BG155" s="20">
        <f t="shared" si="168"/>
        <v>1.2478387515390925E-11</v>
      </c>
      <c r="BH155" s="59">
        <f t="shared" si="116"/>
        <v>293.33333333334582</v>
      </c>
      <c r="BI155" s="59">
        <f ca="1">AVERAGE(OFFSET($BH$3,0,0,'Données projet'!$E$11+1,1))-AVERAGE(OFFSET($H$3,0,0,'Données projet'!$E$11+1,1))</f>
        <v>312.89478437044261</v>
      </c>
      <c r="BJ155" s="59">
        <f t="shared" si="146"/>
        <v>276.16555507854571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>
        <f>EXP(-LN(2)/35)*BP154+(1-EXP(-LN(2)/35))/(LN(2)/35)*BL155*BM155*VLOOKUP('Données projet'!$B$11,Paramètres!$A$1:$I$89,3,0)*0.475*44/12</f>
        <v>95.39577444264043</v>
      </c>
      <c r="BQ155" s="21">
        <f>EXP(-LN(2)/25)*BQ154+(1-EXP(-LN(2)/25))/(LN(2)/25)*Calculateur!BL155*Calculateur!BN155*VLOOKUP('Données projet'!$B$11,Paramètres!$A$1:$I$89,3,0)*0.475*44/12</f>
        <v>21.735389905161057</v>
      </c>
      <c r="BR155" s="21">
        <f>EXP(-LN(2)/2)*BR154+(1-EXP(-LN(2)/2))/(LN(2)/2)*BL155*BO155*VLOOKUP('Données projet'!$B$11,Paramètres!$A$1:$I$89,3,0)*0.475*44/12</f>
        <v>0.3039273727867588</v>
      </c>
      <c r="BS155" s="22">
        <f t="shared" si="169"/>
        <v>117.43509172058825</v>
      </c>
      <c r="BT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0</v>
      </c>
      <c r="BZ155" s="13" t="e">
        <f>BY155*VLOOKUP('Données projet'!$B$12,Paramètres!$A$1:$I$89,3,0)*VLOOKUP('Données projet'!$B$12,Paramètres!$A$1:$I$89,5,0)</f>
        <v>#N/A</v>
      </c>
      <c r="CA155" s="13" t="e">
        <f t="shared" si="170"/>
        <v>#N/A</v>
      </c>
      <c r="CB155" s="20" t="e">
        <f t="shared" si="171"/>
        <v>#N/A</v>
      </c>
      <c r="CC155" s="59" t="e">
        <f t="shared" si="119"/>
        <v>#N/A</v>
      </c>
      <c r="CD155" s="59" t="e">
        <f ca="1">AVERAGE(OFFSET($CC$3,0,0,'Données projet'!$E$12+1,1))-AVERAGE(OFFSET($H$3,0,0,'Données projet'!$E$12+1,1))</f>
        <v>#N/A</v>
      </c>
      <c r="CE155" s="59" t="e">
        <f t="shared" si="148"/>
        <v>#N/A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 t="e">
        <f>EXP(-LN(2)/35)*CK154+(1-EXP(-LN(2)/35))/(LN(2)/35)*CG155*CH155*VLOOKUP('Données projet'!$B$12,Paramètres!$A$1:$I$89,3,0)*0.475*44/12</f>
        <v>#N/A</v>
      </c>
      <c r="CL155" s="21" t="e">
        <f>EXP(-LN(2)/25)*CL154+(1-EXP(-LN(2)/25))/(LN(2)/25)*Calculateur!CG155*Calculateur!CI155*VLOOKUP('Données projet'!$B$12,Paramètres!$A$1:$I$89,3,0)*0.475*44/12</f>
        <v>#N/A</v>
      </c>
      <c r="CM155" s="21" t="e">
        <f>EXP(-LN(2)/2)*CM154+(1-EXP(-LN(2)/2))/(LN(2)/2)*CG155*CJ155*VLOOKUP('Données projet'!$B$12,Paramètres!$A$1:$I$89,3,0)*0.475*44/12</f>
        <v>#N/A</v>
      </c>
      <c r="CN155" s="22" t="e">
        <f t="shared" si="172"/>
        <v>#N/A</v>
      </c>
      <c r="CO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0</v>
      </c>
      <c r="CU155" s="17" t="e">
        <f>CT155*VLOOKUP('Données projet'!$B$13,Paramètres!$A$1:$I$89,3,0)*VLOOKUP('Données projet'!$B$13,Paramètres!$A$1:$I$89,5,0)</f>
        <v>#N/A</v>
      </c>
      <c r="CV155" s="13" t="e">
        <f t="shared" si="173"/>
        <v>#N/A</v>
      </c>
      <c r="CW155" s="20" t="e">
        <f t="shared" si="174"/>
        <v>#N/A</v>
      </c>
      <c r="CX155" s="59" t="e">
        <f t="shared" si="122"/>
        <v>#N/A</v>
      </c>
      <c r="CY155" s="59" t="e">
        <f ca="1">AVERAGE(OFFSET($CX$3,0,0,'Données projet'!$E$13+1,1))-AVERAGE(OFFSET($H$3,0,0,'Données projet'!$E$13+1,1))</f>
        <v>#N/A</v>
      </c>
      <c r="CZ155" s="59" t="e">
        <f t="shared" si="150"/>
        <v>#N/A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 t="e">
        <f>EXP(-LN(2)/35)*DF154+(1-EXP(-LN(2)/35))/(LN(2)/35)*DB155*DC155*VLOOKUP('Données projet'!$B$13,Paramètres!$A$1:$I$89,3,0)*0.475*44/12</f>
        <v>#N/A</v>
      </c>
      <c r="DG155" s="21" t="e">
        <f>EXP(-LN(2)/25)*DG154+(1-EXP(-LN(2)/25))/(LN(2)/25)*Calculateur!DB155*Calculateur!DD155*VLOOKUP('Données projet'!$B$13,Paramètres!$A$1:$I$89,3,0)*0.475*44/12</f>
        <v>#N/A</v>
      </c>
      <c r="DH155" s="21" t="e">
        <f>EXP(-LN(2)/2)*DH154+(1-EXP(-LN(2)/2))/(LN(2)/2)*DB155*DE155*VLOOKUP('Données projet'!$B$13,Paramètres!$A$1:$I$89,3,0)*0.475*44/12</f>
        <v>#N/A</v>
      </c>
      <c r="DI155" s="22" t="e">
        <f t="shared" si="175"/>
        <v>#N/A</v>
      </c>
      <c r="DJ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0</v>
      </c>
      <c r="DP155" s="17" t="e">
        <f>DO155*VLOOKUP('Données projet'!$B$14,Paramètres!$A$1:$I$89,3,0)*VLOOKUP('Données projet'!$B$14,Paramètres!$A$1:$I$89,5,0)</f>
        <v>#N/A</v>
      </c>
      <c r="DQ155" s="13" t="e">
        <f t="shared" si="176"/>
        <v>#N/A</v>
      </c>
      <c r="DR155" s="20" t="e">
        <f t="shared" si="177"/>
        <v>#N/A</v>
      </c>
      <c r="DS155" s="59" t="e">
        <f t="shared" si="125"/>
        <v>#N/A</v>
      </c>
      <c r="DT155" s="59" t="e">
        <f ca="1">AVERAGE(OFFSET($DS$3,0,0,'Données projet'!$E$14+1,1))-AVERAGE(OFFSET($H$3,0,0,'Données projet'!$E$14+1,1))</f>
        <v>#N/A</v>
      </c>
      <c r="DU155" s="59" t="e">
        <f t="shared" si="152"/>
        <v>#N/A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 t="e">
        <f>EXP(-LN(2)/35)*EA154+(1-EXP(-LN(2)/35))/(LN(2)/35)*DW155*DX155*VLOOKUP('Données projet'!$B$14,Paramètres!$A$1:$I$89,3,0)*0.475*44/12</f>
        <v>#N/A</v>
      </c>
      <c r="EB155" s="21" t="e">
        <f>EXP(-LN(2)/25)*EB154+(1-EXP(-LN(2)/25))/(LN(2)/25)*Calculateur!DW155*Calculateur!DY155*VLOOKUP('Données projet'!$B$14,Paramètres!$A$1:$I$89,3,0)*0.475*44/12</f>
        <v>#N/A</v>
      </c>
      <c r="EC155" s="21" t="e">
        <f>EXP(-LN(2)/2)*EC154+(1-EXP(-LN(2)/2))/(LN(2)/2)*DW155*DZ155*VLOOKUP('Données projet'!$B$14,Paramètres!$A$1:$I$89,3,0)*0.475*44/12</f>
        <v>#N/A</v>
      </c>
      <c r="ED155" s="22" t="e">
        <f t="shared" si="178"/>
        <v>#N/A</v>
      </c>
      <c r="EE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0</v>
      </c>
      <c r="EK155" s="17" t="e">
        <f>EJ155*VLOOKUP('Données projet'!$B$15,Paramètres!$A$1:$I$89,3,0)*VLOOKUP('Données projet'!$B$15,Paramètres!$A$1:$I$89,5,0)</f>
        <v>#N/A</v>
      </c>
      <c r="EL155" s="13" t="e">
        <f t="shared" si="179"/>
        <v>#N/A</v>
      </c>
      <c r="EM155" s="20" t="e">
        <f t="shared" si="180"/>
        <v>#N/A</v>
      </c>
      <c r="EN155" s="59" t="e">
        <f t="shared" si="128"/>
        <v>#N/A</v>
      </c>
      <c r="EO155" s="59" t="e">
        <f ca="1">AVERAGE(OFFSET($EN$3,0,0,'Données projet'!$E$15+1,1))-AVERAGE(OFFSET($H$3,0,0,'Données projet'!$E$15+1,1))</f>
        <v>#N/A</v>
      </c>
      <c r="EP155" s="59" t="e">
        <f t="shared" si="154"/>
        <v>#N/A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 t="e">
        <f>EXP(-LN(2)/35)*EV154+(1-EXP(-LN(2)/35))/(LN(2)/35)*ER155*ES155*VLOOKUP('Données projet'!$B$15,Paramètres!$A$1:$I$89,3,0)*0.475*44/12</f>
        <v>#N/A</v>
      </c>
      <c r="EW155" s="21" t="e">
        <f>EXP(-LN(2)/25)*EW154+(1-EXP(-LN(2)/25))/(LN(2)/25)*Calculateur!ER155*Calculateur!ET155*VLOOKUP('Données projet'!$B$15,Paramètres!$A$1:$I$89,3,0)*0.475*44/12</f>
        <v>#N/A</v>
      </c>
      <c r="EX155" s="21" t="e">
        <f>EXP(-LN(2)/2)*EX154+(1-EXP(-LN(2)/2))/(LN(2)/2)*ER155*EU155*VLOOKUP('Données projet'!$B$15,Paramètres!$A$1:$I$89,3,0)*0.475*44/12</f>
        <v>#N/A</v>
      </c>
      <c r="EY155" s="22" t="e">
        <f t="shared" si="181"/>
        <v>#N/A</v>
      </c>
      <c r="EZ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9" t="e">
        <f t="shared" si="131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45">
      <c r="A156" s="10">
        <f t="shared" si="161"/>
        <v>153</v>
      </c>
      <c r="B156" s="73">
        <f>'Scénario référence'!$B$16*5+'Scénario référence'!$B$17*0+'Scénario référence'!$B$18*5</f>
        <v>0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136.04760000000013</v>
      </c>
      <c r="D156" s="11">
        <f t="shared" si="140"/>
        <v>35.390062589787611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">
        <f>IF(OR('Scénario référence'!$F$8&gt;0,'Scénario référence'!$F$9&gt;0),('Scénario référence'!$F$8+'Scénario référence'!$F$9)*10,0)</f>
        <v>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1323.3784480615195</v>
      </c>
      <c r="H156" s="67">
        <f t="shared" si="110"/>
        <v>555.25392901054693</v>
      </c>
      <c r="I156" s="7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1.7053025658242404E-13</v>
      </c>
      <c r="O156" s="13">
        <f>N156*VLOOKUP('Données projet'!$B$9,Paramètres!$A$1:$I$89,3,0)*VLOOKUP('Données projet'!$B$9,Paramètres!$A$1:$I$89,5,0)</f>
        <v>9.5326413429575044E-14</v>
      </c>
      <c r="P156" s="13">
        <f t="shared" si="141"/>
        <v>1.4400742856080346E-12</v>
      </c>
      <c r="Q156" s="20">
        <f t="shared" si="162"/>
        <v>2.6741562174905032E-12</v>
      </c>
      <c r="R156" s="59">
        <f t="shared" si="109"/>
        <v>293.33333333333599</v>
      </c>
      <c r="S156" s="59">
        <f ca="1">AVERAGE(OFFSET($R$3,0,0,'Données projet'!$E$9+1,1))-AVERAGE(OFFSET($H$3,0,0,'Données projet'!$E$9+1,1))</f>
        <v>280.69347314340195</v>
      </c>
      <c r="T156" s="59">
        <f t="shared" si="142"/>
        <v>152.40533828556482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88.770719288222793</v>
      </c>
      <c r="AA156" s="21">
        <f>EXP(-LN(2)/25)*AA155+(1-EXP(-LN(2)/25))/(LN(2)/25)*Calculateur!V156*Calculateur!X156*VLOOKUP('Données projet'!$B$9,Paramètres!$A$1:$I$89,3,0)*0.475*44/12</f>
        <v>21.87381148176685</v>
      </c>
      <c r="AB156" s="21">
        <f>EXP(-LN(2)/2)*AB155+(1-EXP(-LN(2)/2))/(LN(2)/2)*V156*Y156*VLOOKUP('Données projet'!$B$9,Paramètres!$A$1:$I$89,3,0)*0.475*44/12</f>
        <v>6.7039289751260386E-4</v>
      </c>
      <c r="AC156" s="22">
        <f t="shared" si="163"/>
        <v>110.64520116288716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0</v>
      </c>
      <c r="AJ156" s="13">
        <f>AI156*VLOOKUP('Données projet'!$B$10,Paramètres!$A$1:$I$89,3,0)*VLOOKUP('Données projet'!$B$10,Paramètres!$A$1:$I$89,5,0)</f>
        <v>0</v>
      </c>
      <c r="AK156" s="13" t="e">
        <f t="shared" si="164"/>
        <v>#NUM!</v>
      </c>
      <c r="AL156" s="20" t="e">
        <f t="shared" si="165"/>
        <v>#NUM!</v>
      </c>
      <c r="AM156" s="59" t="e">
        <f t="shared" si="113"/>
        <v>#NUM!</v>
      </c>
      <c r="AN156" s="59">
        <f ca="1">AVERAGE(OFFSET($AM$3,0,0,'Données projet'!$E$10+1,1))-AVERAGE(OFFSET($H$3,0,0,'Données projet'!$E$10+1,1))</f>
        <v>179.4725256147085</v>
      </c>
      <c r="AO156" s="59">
        <f t="shared" si="144"/>
        <v>282.16750121151176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22.890025835951352</v>
      </c>
      <c r="AV156" s="21">
        <f>EXP(-LN(2)/25)*AV155+(1-EXP(-LN(2)/25))/(LN(2)/25)*Calculateur!AQ156*Calculateur!AS156*VLOOKUP('Données projet'!$B$10,Paramètres!$A$1:$I$89,3,0)*0.475*44/12</f>
        <v>3.7080695613924175</v>
      </c>
      <c r="AW156" s="21">
        <f>EXP(-LN(2)/2)*AW155+(1-EXP(-LN(2)/2))/(LN(2)/2)*AQ156*AT156*VLOOKUP('Données projet'!$B$10,Paramètres!$A$1:$I$89,3,0)*0.475*44/12</f>
        <v>4.3329927371870926E-13</v>
      </c>
      <c r="AX156" s="21">
        <f t="shared" si="166"/>
        <v>26.598095397344203</v>
      </c>
      <c r="AY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6.2527760746888816E-13</v>
      </c>
      <c r="BE156" s="13">
        <f>BD156*VLOOKUP('Données projet'!$B$11,Paramètres!$A$1:$I$89,3,0)*VLOOKUP('Données projet'!$B$11,Paramètres!$A$1:$I$89,5,0)</f>
        <v>5.3648818720830608E-13</v>
      </c>
      <c r="BF156" s="13">
        <f t="shared" si="167"/>
        <v>6.6281362235424649E-12</v>
      </c>
      <c r="BG156" s="20">
        <f t="shared" si="168"/>
        <v>1.2478387515390925E-11</v>
      </c>
      <c r="BH156" s="59">
        <f t="shared" si="116"/>
        <v>293.33333333334582</v>
      </c>
      <c r="BI156" s="59">
        <f ca="1">AVERAGE(OFFSET($BH$3,0,0,'Données projet'!$E$11+1,1))-AVERAGE(OFFSET($H$3,0,0,'Données projet'!$E$11+1,1))</f>
        <v>312.89478437044261</v>
      </c>
      <c r="BJ156" s="59">
        <f t="shared" si="146"/>
        <v>276.16555507854571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>
        <f>EXP(-LN(2)/35)*BP155+(1-EXP(-LN(2)/35))/(LN(2)/35)*BL156*BM156*VLOOKUP('Données projet'!$B$11,Paramètres!$A$1:$I$89,3,0)*0.475*44/12</f>
        <v>93.525121491497302</v>
      </c>
      <c r="BQ156" s="21">
        <f>EXP(-LN(2)/25)*BQ155+(1-EXP(-LN(2)/25))/(LN(2)/25)*Calculateur!BL156*Calculateur!BN156*VLOOKUP('Données projet'!$B$11,Paramètres!$A$1:$I$89,3,0)*0.475*44/12</f>
        <v>21.141034525189948</v>
      </c>
      <c r="BR156" s="21">
        <f>EXP(-LN(2)/2)*BR155+(1-EXP(-LN(2)/2))/(LN(2)/2)*BL156*BO156*VLOOKUP('Données projet'!$B$11,Paramètres!$A$1:$I$89,3,0)*0.475*44/12</f>
        <v>0.21490910628572893</v>
      </c>
      <c r="BS156" s="22">
        <f t="shared" si="169"/>
        <v>114.88106512297298</v>
      </c>
      <c r="BT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0</v>
      </c>
      <c r="BZ156" s="13" t="e">
        <f>BY156*VLOOKUP('Données projet'!$B$12,Paramètres!$A$1:$I$89,3,0)*VLOOKUP('Données projet'!$B$12,Paramètres!$A$1:$I$89,5,0)</f>
        <v>#N/A</v>
      </c>
      <c r="CA156" s="13" t="e">
        <f t="shared" si="170"/>
        <v>#N/A</v>
      </c>
      <c r="CB156" s="20" t="e">
        <f t="shared" si="171"/>
        <v>#N/A</v>
      </c>
      <c r="CC156" s="59" t="e">
        <f t="shared" si="119"/>
        <v>#N/A</v>
      </c>
      <c r="CD156" s="59" t="e">
        <f ca="1">AVERAGE(OFFSET($CC$3,0,0,'Données projet'!$E$12+1,1))-AVERAGE(OFFSET($H$3,0,0,'Données projet'!$E$12+1,1))</f>
        <v>#N/A</v>
      </c>
      <c r="CE156" s="59" t="e">
        <f t="shared" si="148"/>
        <v>#N/A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 t="e">
        <f>EXP(-LN(2)/35)*CK155+(1-EXP(-LN(2)/35))/(LN(2)/35)*CG156*CH156*VLOOKUP('Données projet'!$B$12,Paramètres!$A$1:$I$89,3,0)*0.475*44/12</f>
        <v>#N/A</v>
      </c>
      <c r="CL156" s="21" t="e">
        <f>EXP(-LN(2)/25)*CL155+(1-EXP(-LN(2)/25))/(LN(2)/25)*Calculateur!CG156*Calculateur!CI156*VLOOKUP('Données projet'!$B$12,Paramètres!$A$1:$I$89,3,0)*0.475*44/12</f>
        <v>#N/A</v>
      </c>
      <c r="CM156" s="21" t="e">
        <f>EXP(-LN(2)/2)*CM155+(1-EXP(-LN(2)/2))/(LN(2)/2)*CG156*CJ156*VLOOKUP('Données projet'!$B$12,Paramètres!$A$1:$I$89,3,0)*0.475*44/12</f>
        <v>#N/A</v>
      </c>
      <c r="CN156" s="22" t="e">
        <f t="shared" si="172"/>
        <v>#N/A</v>
      </c>
      <c r="CO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0</v>
      </c>
      <c r="CU156" s="17" t="e">
        <f>CT156*VLOOKUP('Données projet'!$B$13,Paramètres!$A$1:$I$89,3,0)*VLOOKUP('Données projet'!$B$13,Paramètres!$A$1:$I$89,5,0)</f>
        <v>#N/A</v>
      </c>
      <c r="CV156" s="13" t="e">
        <f t="shared" si="173"/>
        <v>#N/A</v>
      </c>
      <c r="CW156" s="20" t="e">
        <f t="shared" si="174"/>
        <v>#N/A</v>
      </c>
      <c r="CX156" s="59" t="e">
        <f t="shared" si="122"/>
        <v>#N/A</v>
      </c>
      <c r="CY156" s="59" t="e">
        <f ca="1">AVERAGE(OFFSET($CX$3,0,0,'Données projet'!$E$13+1,1))-AVERAGE(OFFSET($H$3,0,0,'Données projet'!$E$13+1,1))</f>
        <v>#N/A</v>
      </c>
      <c r="CZ156" s="59" t="e">
        <f t="shared" si="150"/>
        <v>#N/A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 t="e">
        <f>EXP(-LN(2)/35)*DF155+(1-EXP(-LN(2)/35))/(LN(2)/35)*DB156*DC156*VLOOKUP('Données projet'!$B$13,Paramètres!$A$1:$I$89,3,0)*0.475*44/12</f>
        <v>#N/A</v>
      </c>
      <c r="DG156" s="21" t="e">
        <f>EXP(-LN(2)/25)*DG155+(1-EXP(-LN(2)/25))/(LN(2)/25)*Calculateur!DB156*Calculateur!DD156*VLOOKUP('Données projet'!$B$13,Paramètres!$A$1:$I$89,3,0)*0.475*44/12</f>
        <v>#N/A</v>
      </c>
      <c r="DH156" s="21" t="e">
        <f>EXP(-LN(2)/2)*DH155+(1-EXP(-LN(2)/2))/(LN(2)/2)*DB156*DE156*VLOOKUP('Données projet'!$B$13,Paramètres!$A$1:$I$89,3,0)*0.475*44/12</f>
        <v>#N/A</v>
      </c>
      <c r="DI156" s="22" t="e">
        <f t="shared" si="175"/>
        <v>#N/A</v>
      </c>
      <c r="DJ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0</v>
      </c>
      <c r="DP156" s="17" t="e">
        <f>DO156*VLOOKUP('Données projet'!$B$14,Paramètres!$A$1:$I$89,3,0)*VLOOKUP('Données projet'!$B$14,Paramètres!$A$1:$I$89,5,0)</f>
        <v>#N/A</v>
      </c>
      <c r="DQ156" s="13" t="e">
        <f t="shared" si="176"/>
        <v>#N/A</v>
      </c>
      <c r="DR156" s="20" t="e">
        <f t="shared" si="177"/>
        <v>#N/A</v>
      </c>
      <c r="DS156" s="59" t="e">
        <f t="shared" si="125"/>
        <v>#N/A</v>
      </c>
      <c r="DT156" s="59" t="e">
        <f ca="1">AVERAGE(OFFSET($DS$3,0,0,'Données projet'!$E$14+1,1))-AVERAGE(OFFSET($H$3,0,0,'Données projet'!$E$14+1,1))</f>
        <v>#N/A</v>
      </c>
      <c r="DU156" s="59" t="e">
        <f t="shared" si="152"/>
        <v>#N/A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 t="e">
        <f>EXP(-LN(2)/35)*EA155+(1-EXP(-LN(2)/35))/(LN(2)/35)*DW156*DX156*VLOOKUP('Données projet'!$B$14,Paramètres!$A$1:$I$89,3,0)*0.475*44/12</f>
        <v>#N/A</v>
      </c>
      <c r="EB156" s="21" t="e">
        <f>EXP(-LN(2)/25)*EB155+(1-EXP(-LN(2)/25))/(LN(2)/25)*Calculateur!DW156*Calculateur!DY156*VLOOKUP('Données projet'!$B$14,Paramètres!$A$1:$I$89,3,0)*0.475*44/12</f>
        <v>#N/A</v>
      </c>
      <c r="EC156" s="21" t="e">
        <f>EXP(-LN(2)/2)*EC155+(1-EXP(-LN(2)/2))/(LN(2)/2)*DW156*DZ156*VLOOKUP('Données projet'!$B$14,Paramètres!$A$1:$I$89,3,0)*0.475*44/12</f>
        <v>#N/A</v>
      </c>
      <c r="ED156" s="22" t="e">
        <f t="shared" si="178"/>
        <v>#N/A</v>
      </c>
      <c r="EE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0</v>
      </c>
      <c r="EK156" s="17" t="e">
        <f>EJ156*VLOOKUP('Données projet'!$B$15,Paramètres!$A$1:$I$89,3,0)*VLOOKUP('Données projet'!$B$15,Paramètres!$A$1:$I$89,5,0)</f>
        <v>#N/A</v>
      </c>
      <c r="EL156" s="13" t="e">
        <f t="shared" si="179"/>
        <v>#N/A</v>
      </c>
      <c r="EM156" s="20" t="e">
        <f t="shared" si="180"/>
        <v>#N/A</v>
      </c>
      <c r="EN156" s="59" t="e">
        <f t="shared" si="128"/>
        <v>#N/A</v>
      </c>
      <c r="EO156" s="59" t="e">
        <f ca="1">AVERAGE(OFFSET($EN$3,0,0,'Données projet'!$E$15+1,1))-AVERAGE(OFFSET($H$3,0,0,'Données projet'!$E$15+1,1))</f>
        <v>#N/A</v>
      </c>
      <c r="EP156" s="59" t="e">
        <f t="shared" si="154"/>
        <v>#N/A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 t="e">
        <f>EXP(-LN(2)/35)*EV155+(1-EXP(-LN(2)/35))/(LN(2)/35)*ER156*ES156*VLOOKUP('Données projet'!$B$15,Paramètres!$A$1:$I$89,3,0)*0.475*44/12</f>
        <v>#N/A</v>
      </c>
      <c r="EW156" s="21" t="e">
        <f>EXP(-LN(2)/25)*EW155+(1-EXP(-LN(2)/25))/(LN(2)/25)*Calculateur!ER156*Calculateur!ET156*VLOOKUP('Données projet'!$B$15,Paramètres!$A$1:$I$89,3,0)*0.475*44/12</f>
        <v>#N/A</v>
      </c>
      <c r="EX156" s="21" t="e">
        <f>EXP(-LN(2)/2)*EX155+(1-EXP(-LN(2)/2))/(LN(2)/2)*ER156*EU156*VLOOKUP('Données projet'!$B$15,Paramètres!$A$1:$I$89,3,0)*0.475*44/12</f>
        <v>#N/A</v>
      </c>
      <c r="EY156" s="22" t="e">
        <f t="shared" si="181"/>
        <v>#N/A</v>
      </c>
      <c r="EZ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9" t="e">
        <f t="shared" si="131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45">
      <c r="A157" s="10">
        <f t="shared" si="161"/>
        <v>154</v>
      </c>
      <c r="B157" s="73">
        <f>'Scénario référence'!$B$16*5+'Scénario référence'!$B$17*0+'Scénario référence'!$B$18*5</f>
        <v>0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136.93680000000012</v>
      </c>
      <c r="D157" s="11">
        <f t="shared" si="140"/>
        <v>35.594368426539035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">
        <f>IF(OR('Scénario référence'!$F$8&gt;0,'Scénario référence'!$F$9&gt;0),('Scénario référence'!$F$8+'Scénario référence'!$F$9)*10,0)</f>
        <v>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1331.8195457487234</v>
      </c>
      <c r="H157" s="67">
        <f t="shared" si="110"/>
        <v>557.1584516762224</v>
      </c>
      <c r="I157" s="7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1.7053025658242404E-13</v>
      </c>
      <c r="O157" s="13">
        <f>N157*VLOOKUP('Données projet'!$B$9,Paramètres!$A$1:$I$89,3,0)*VLOOKUP('Données projet'!$B$9,Paramètres!$A$1:$I$89,5,0)</f>
        <v>9.5326413429575044E-14</v>
      </c>
      <c r="P157" s="13">
        <f t="shared" si="141"/>
        <v>1.4400742856080346E-12</v>
      </c>
      <c r="Q157" s="20">
        <f t="shared" si="162"/>
        <v>2.6741562174905032E-12</v>
      </c>
      <c r="R157" s="59">
        <f t="shared" si="109"/>
        <v>293.33333333333599</v>
      </c>
      <c r="S157" s="59">
        <f ca="1">AVERAGE(OFFSET($R$3,0,0,'Données projet'!$E$9+1,1))-AVERAGE(OFFSET($H$3,0,0,'Données projet'!$E$9+1,1))</f>
        <v>280.69347314340195</v>
      </c>
      <c r="T157" s="59">
        <f t="shared" si="142"/>
        <v>152.40533828556482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87.029979627773159</v>
      </c>
      <c r="AA157" s="21">
        <f>EXP(-LN(2)/25)*AA156+(1-EXP(-LN(2)/25))/(LN(2)/25)*Calculateur!V157*Calculateur!X157*VLOOKUP('Données projet'!$B$9,Paramètres!$A$1:$I$89,3,0)*0.475*44/12</f>
        <v>21.275670956504182</v>
      </c>
      <c r="AB157" s="21">
        <f>EXP(-LN(2)/2)*AB156+(1-EXP(-LN(2)/2))/(LN(2)/2)*V157*Y157*VLOOKUP('Données projet'!$B$9,Paramètres!$A$1:$I$89,3,0)*0.475*44/12</f>
        <v>4.740393638904604E-4</v>
      </c>
      <c r="AC157" s="22">
        <f t="shared" si="163"/>
        <v>108.30612462364124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0</v>
      </c>
      <c r="AJ157" s="13">
        <f>AI157*VLOOKUP('Données projet'!$B$10,Paramètres!$A$1:$I$89,3,0)*VLOOKUP('Données projet'!$B$10,Paramètres!$A$1:$I$89,5,0)</f>
        <v>0</v>
      </c>
      <c r="AK157" s="13" t="e">
        <f t="shared" si="164"/>
        <v>#NUM!</v>
      </c>
      <c r="AL157" s="20" t="e">
        <f t="shared" si="165"/>
        <v>#NUM!</v>
      </c>
      <c r="AM157" s="59" t="e">
        <f t="shared" si="113"/>
        <v>#NUM!</v>
      </c>
      <c r="AN157" s="59">
        <f ca="1">AVERAGE(OFFSET($AM$3,0,0,'Données projet'!$E$10+1,1))-AVERAGE(OFFSET($H$3,0,0,'Données projet'!$E$10+1,1))</f>
        <v>179.4725256147085</v>
      </c>
      <c r="AO157" s="59">
        <f t="shared" si="144"/>
        <v>282.16750121151176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22.44116639084552</v>
      </c>
      <c r="AV157" s="21">
        <f>EXP(-LN(2)/25)*AV156+(1-EXP(-LN(2)/25))/(LN(2)/25)*Calculateur!AQ157*Calculateur!AS157*VLOOKUP('Données projet'!$B$10,Paramètres!$A$1:$I$89,3,0)*0.475*44/12</f>
        <v>3.6066722042372383</v>
      </c>
      <c r="AW157" s="21">
        <f>EXP(-LN(2)/2)*AW156+(1-EXP(-LN(2)/2))/(LN(2)/2)*AQ157*AT157*VLOOKUP('Données projet'!$B$10,Paramètres!$A$1:$I$89,3,0)*0.475*44/12</f>
        <v>3.0638885472970531E-13</v>
      </c>
      <c r="AX157" s="21">
        <f t="shared" si="166"/>
        <v>26.047838595083064</v>
      </c>
      <c r="AY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6.2527760746888816E-13</v>
      </c>
      <c r="BE157" s="13">
        <f>BD157*VLOOKUP('Données projet'!$B$11,Paramètres!$A$1:$I$89,3,0)*VLOOKUP('Données projet'!$B$11,Paramètres!$A$1:$I$89,5,0)</f>
        <v>5.3648818720830608E-13</v>
      </c>
      <c r="BF157" s="13">
        <f t="shared" si="167"/>
        <v>6.6281362235424649E-12</v>
      </c>
      <c r="BG157" s="20">
        <f t="shared" si="168"/>
        <v>1.2478387515390925E-11</v>
      </c>
      <c r="BH157" s="59">
        <f t="shared" si="116"/>
        <v>293.33333333334582</v>
      </c>
      <c r="BI157" s="59">
        <f ca="1">AVERAGE(OFFSET($BH$3,0,0,'Données projet'!$E$11+1,1))-AVERAGE(OFFSET($H$3,0,0,'Données projet'!$E$11+1,1))</f>
        <v>312.89478437044261</v>
      </c>
      <c r="BJ157" s="59">
        <f t="shared" si="146"/>
        <v>276.16555507854571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>
        <f>EXP(-LN(2)/35)*BP156+(1-EXP(-LN(2)/35))/(LN(2)/35)*BL157*BM157*VLOOKUP('Données projet'!$B$11,Paramètres!$A$1:$I$89,3,0)*0.475*44/12</f>
        <v>91.69115090374045</v>
      </c>
      <c r="BQ157" s="21">
        <f>EXP(-LN(2)/25)*BQ156+(1-EXP(-LN(2)/25))/(LN(2)/25)*Calculateur!BL157*Calculateur!BN157*VLOOKUP('Données projet'!$B$11,Paramètres!$A$1:$I$89,3,0)*0.475*44/12</f>
        <v>20.562931824339941</v>
      </c>
      <c r="BR157" s="21">
        <f>EXP(-LN(2)/2)*BR156+(1-EXP(-LN(2)/2))/(LN(2)/2)*BL157*BO157*VLOOKUP('Données projet'!$B$11,Paramètres!$A$1:$I$89,3,0)*0.475*44/12</f>
        <v>0.15196368639337943</v>
      </c>
      <c r="BS157" s="22">
        <f t="shared" si="169"/>
        <v>112.40604641447376</v>
      </c>
      <c r="BT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0</v>
      </c>
      <c r="BZ157" s="13" t="e">
        <f>BY157*VLOOKUP('Données projet'!$B$12,Paramètres!$A$1:$I$89,3,0)*VLOOKUP('Données projet'!$B$12,Paramètres!$A$1:$I$89,5,0)</f>
        <v>#N/A</v>
      </c>
      <c r="CA157" s="13" t="e">
        <f t="shared" si="170"/>
        <v>#N/A</v>
      </c>
      <c r="CB157" s="20" t="e">
        <f t="shared" si="171"/>
        <v>#N/A</v>
      </c>
      <c r="CC157" s="59" t="e">
        <f t="shared" si="119"/>
        <v>#N/A</v>
      </c>
      <c r="CD157" s="59" t="e">
        <f ca="1">AVERAGE(OFFSET($CC$3,0,0,'Données projet'!$E$12+1,1))-AVERAGE(OFFSET($H$3,0,0,'Données projet'!$E$12+1,1))</f>
        <v>#N/A</v>
      </c>
      <c r="CE157" s="59" t="e">
        <f t="shared" si="148"/>
        <v>#N/A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 t="e">
        <f>EXP(-LN(2)/35)*CK156+(1-EXP(-LN(2)/35))/(LN(2)/35)*CG157*CH157*VLOOKUP('Données projet'!$B$12,Paramètres!$A$1:$I$89,3,0)*0.475*44/12</f>
        <v>#N/A</v>
      </c>
      <c r="CL157" s="21" t="e">
        <f>EXP(-LN(2)/25)*CL156+(1-EXP(-LN(2)/25))/(LN(2)/25)*Calculateur!CG157*Calculateur!CI157*VLOOKUP('Données projet'!$B$12,Paramètres!$A$1:$I$89,3,0)*0.475*44/12</f>
        <v>#N/A</v>
      </c>
      <c r="CM157" s="21" t="e">
        <f>EXP(-LN(2)/2)*CM156+(1-EXP(-LN(2)/2))/(LN(2)/2)*CG157*CJ157*VLOOKUP('Données projet'!$B$12,Paramètres!$A$1:$I$89,3,0)*0.475*44/12</f>
        <v>#N/A</v>
      </c>
      <c r="CN157" s="22" t="e">
        <f t="shared" si="172"/>
        <v>#N/A</v>
      </c>
      <c r="CO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0</v>
      </c>
      <c r="CU157" s="17" t="e">
        <f>CT157*VLOOKUP('Données projet'!$B$13,Paramètres!$A$1:$I$89,3,0)*VLOOKUP('Données projet'!$B$13,Paramètres!$A$1:$I$89,5,0)</f>
        <v>#N/A</v>
      </c>
      <c r="CV157" s="13" t="e">
        <f t="shared" si="173"/>
        <v>#N/A</v>
      </c>
      <c r="CW157" s="20" t="e">
        <f t="shared" si="174"/>
        <v>#N/A</v>
      </c>
      <c r="CX157" s="59" t="e">
        <f t="shared" si="122"/>
        <v>#N/A</v>
      </c>
      <c r="CY157" s="59" t="e">
        <f ca="1">AVERAGE(OFFSET($CX$3,0,0,'Données projet'!$E$13+1,1))-AVERAGE(OFFSET($H$3,0,0,'Données projet'!$E$13+1,1))</f>
        <v>#N/A</v>
      </c>
      <c r="CZ157" s="59" t="e">
        <f t="shared" si="150"/>
        <v>#N/A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 t="e">
        <f>EXP(-LN(2)/35)*DF156+(1-EXP(-LN(2)/35))/(LN(2)/35)*DB157*DC157*VLOOKUP('Données projet'!$B$13,Paramètres!$A$1:$I$89,3,0)*0.475*44/12</f>
        <v>#N/A</v>
      </c>
      <c r="DG157" s="21" t="e">
        <f>EXP(-LN(2)/25)*DG156+(1-EXP(-LN(2)/25))/(LN(2)/25)*Calculateur!DB157*Calculateur!DD157*VLOOKUP('Données projet'!$B$13,Paramètres!$A$1:$I$89,3,0)*0.475*44/12</f>
        <v>#N/A</v>
      </c>
      <c r="DH157" s="21" t="e">
        <f>EXP(-LN(2)/2)*DH156+(1-EXP(-LN(2)/2))/(LN(2)/2)*DB157*DE157*VLOOKUP('Données projet'!$B$13,Paramètres!$A$1:$I$89,3,0)*0.475*44/12</f>
        <v>#N/A</v>
      </c>
      <c r="DI157" s="22" t="e">
        <f t="shared" si="175"/>
        <v>#N/A</v>
      </c>
      <c r="DJ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0</v>
      </c>
      <c r="DP157" s="17" t="e">
        <f>DO157*VLOOKUP('Données projet'!$B$14,Paramètres!$A$1:$I$89,3,0)*VLOOKUP('Données projet'!$B$14,Paramètres!$A$1:$I$89,5,0)</f>
        <v>#N/A</v>
      </c>
      <c r="DQ157" s="13" t="e">
        <f t="shared" si="176"/>
        <v>#N/A</v>
      </c>
      <c r="DR157" s="20" t="e">
        <f t="shared" si="177"/>
        <v>#N/A</v>
      </c>
      <c r="DS157" s="59" t="e">
        <f t="shared" si="125"/>
        <v>#N/A</v>
      </c>
      <c r="DT157" s="59" t="e">
        <f ca="1">AVERAGE(OFFSET($DS$3,0,0,'Données projet'!$E$14+1,1))-AVERAGE(OFFSET($H$3,0,0,'Données projet'!$E$14+1,1))</f>
        <v>#N/A</v>
      </c>
      <c r="DU157" s="59" t="e">
        <f t="shared" si="152"/>
        <v>#N/A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 t="e">
        <f>EXP(-LN(2)/35)*EA156+(1-EXP(-LN(2)/35))/(LN(2)/35)*DW157*DX157*VLOOKUP('Données projet'!$B$14,Paramètres!$A$1:$I$89,3,0)*0.475*44/12</f>
        <v>#N/A</v>
      </c>
      <c r="EB157" s="21" t="e">
        <f>EXP(-LN(2)/25)*EB156+(1-EXP(-LN(2)/25))/(LN(2)/25)*Calculateur!DW157*Calculateur!DY157*VLOOKUP('Données projet'!$B$14,Paramètres!$A$1:$I$89,3,0)*0.475*44/12</f>
        <v>#N/A</v>
      </c>
      <c r="EC157" s="21" t="e">
        <f>EXP(-LN(2)/2)*EC156+(1-EXP(-LN(2)/2))/(LN(2)/2)*DW157*DZ157*VLOOKUP('Données projet'!$B$14,Paramètres!$A$1:$I$89,3,0)*0.475*44/12</f>
        <v>#N/A</v>
      </c>
      <c r="ED157" s="22" t="e">
        <f t="shared" si="178"/>
        <v>#N/A</v>
      </c>
      <c r="EE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0</v>
      </c>
      <c r="EK157" s="17" t="e">
        <f>EJ157*VLOOKUP('Données projet'!$B$15,Paramètres!$A$1:$I$89,3,0)*VLOOKUP('Données projet'!$B$15,Paramètres!$A$1:$I$89,5,0)</f>
        <v>#N/A</v>
      </c>
      <c r="EL157" s="13" t="e">
        <f t="shared" si="179"/>
        <v>#N/A</v>
      </c>
      <c r="EM157" s="20" t="e">
        <f t="shared" si="180"/>
        <v>#N/A</v>
      </c>
      <c r="EN157" s="59" t="e">
        <f t="shared" si="128"/>
        <v>#N/A</v>
      </c>
      <c r="EO157" s="59" t="e">
        <f ca="1">AVERAGE(OFFSET($EN$3,0,0,'Données projet'!$E$15+1,1))-AVERAGE(OFFSET($H$3,0,0,'Données projet'!$E$15+1,1))</f>
        <v>#N/A</v>
      </c>
      <c r="EP157" s="59" t="e">
        <f t="shared" si="154"/>
        <v>#N/A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 t="e">
        <f>EXP(-LN(2)/35)*EV156+(1-EXP(-LN(2)/35))/(LN(2)/35)*ER157*ES157*VLOOKUP('Données projet'!$B$15,Paramètres!$A$1:$I$89,3,0)*0.475*44/12</f>
        <v>#N/A</v>
      </c>
      <c r="EW157" s="21" t="e">
        <f>EXP(-LN(2)/25)*EW156+(1-EXP(-LN(2)/25))/(LN(2)/25)*Calculateur!ER157*Calculateur!ET157*VLOOKUP('Données projet'!$B$15,Paramètres!$A$1:$I$89,3,0)*0.475*44/12</f>
        <v>#N/A</v>
      </c>
      <c r="EX157" s="21" t="e">
        <f>EXP(-LN(2)/2)*EX156+(1-EXP(-LN(2)/2))/(LN(2)/2)*ER157*EU157*VLOOKUP('Données projet'!$B$15,Paramètres!$A$1:$I$89,3,0)*0.475*44/12</f>
        <v>#N/A</v>
      </c>
      <c r="EY157" s="22" t="e">
        <f t="shared" si="181"/>
        <v>#N/A</v>
      </c>
      <c r="EZ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9" t="e">
        <f t="shared" si="131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45">
      <c r="A158" s="10">
        <f t="shared" si="161"/>
        <v>155</v>
      </c>
      <c r="B158" s="73">
        <f>'Scénario référence'!$B$16*5+'Scénario référence'!$B$17*0+'Scénario référence'!$B$18*5</f>
        <v>0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137.82600000000011</v>
      </c>
      <c r="D158" s="11">
        <f t="shared" si="140"/>
        <v>35.798519897115533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">
        <f>IF(OR('Scénario référence'!$F$8&gt;0,'Scénario référence'!$F$9&gt;0),('Scénario référence'!$F$8+'Scénario référence'!$F$9)*10,0)</f>
        <v>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1340.2594518373839</v>
      </c>
      <c r="H158" s="67">
        <f t="shared" si="110"/>
        <v>559.06270548747648</v>
      </c>
      <c r="I158" s="7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1.7053025658242404E-13</v>
      </c>
      <c r="O158" s="13">
        <f>N158*VLOOKUP('Données projet'!$B$9,Paramètres!$A$1:$I$89,3,0)*VLOOKUP('Données projet'!$B$9,Paramètres!$A$1:$I$89,5,0)</f>
        <v>9.5326413429575044E-14</v>
      </c>
      <c r="P158" s="13">
        <f t="shared" si="141"/>
        <v>1.4400742856080346E-12</v>
      </c>
      <c r="Q158" s="20">
        <f t="shared" si="162"/>
        <v>2.6741562174905032E-12</v>
      </c>
      <c r="R158" s="59">
        <f t="shared" si="109"/>
        <v>293.33333333333599</v>
      </c>
      <c r="S158" s="59">
        <f ca="1">AVERAGE(OFFSET($R$3,0,0,'Données projet'!$E$9+1,1))-AVERAGE(OFFSET($H$3,0,0,'Données projet'!$E$9+1,1))</f>
        <v>280.69347314340195</v>
      </c>
      <c r="T158" s="59">
        <f t="shared" si="142"/>
        <v>152.40533828556482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85.323374810318583</v>
      </c>
      <c r="AA158" s="21">
        <f>EXP(-LN(2)/25)*AA157+(1-EXP(-LN(2)/25))/(LN(2)/25)*Calculateur!V158*Calculateur!X158*VLOOKUP('Données projet'!$B$9,Paramètres!$A$1:$I$89,3,0)*0.475*44/12</f>
        <v>20.693886615359666</v>
      </c>
      <c r="AB158" s="21">
        <f>EXP(-LN(2)/2)*AB157+(1-EXP(-LN(2)/2))/(LN(2)/2)*V158*Y158*VLOOKUP('Données projet'!$B$9,Paramètres!$A$1:$I$89,3,0)*0.475*44/12</f>
        <v>3.3519644875630198E-4</v>
      </c>
      <c r="AC158" s="22">
        <f t="shared" si="163"/>
        <v>106.017596622127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0</v>
      </c>
      <c r="AJ158" s="13">
        <f>AI158*VLOOKUP('Données projet'!$B$10,Paramètres!$A$1:$I$89,3,0)*VLOOKUP('Données projet'!$B$10,Paramètres!$A$1:$I$89,5,0)</f>
        <v>0</v>
      </c>
      <c r="AK158" s="13" t="e">
        <f t="shared" si="164"/>
        <v>#NUM!</v>
      </c>
      <c r="AL158" s="20" t="e">
        <f t="shared" si="165"/>
        <v>#NUM!</v>
      </c>
      <c r="AM158" s="59" t="e">
        <f t="shared" si="113"/>
        <v>#NUM!</v>
      </c>
      <c r="AN158" s="59">
        <f ca="1">AVERAGE(OFFSET($AM$3,0,0,'Données projet'!$E$10+1,1))-AVERAGE(OFFSET($H$3,0,0,'Données projet'!$E$10+1,1))</f>
        <v>179.4725256147085</v>
      </c>
      <c r="AO158" s="59">
        <f t="shared" si="144"/>
        <v>282.16750121151176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22.001108805680985</v>
      </c>
      <c r="AV158" s="21">
        <f>EXP(-LN(2)/25)*AV157+(1-EXP(-LN(2)/25))/(LN(2)/25)*Calculateur!AQ158*Calculateur!AS158*VLOOKUP('Données projet'!$B$10,Paramètres!$A$1:$I$89,3,0)*0.475*44/12</f>
        <v>3.5080475631457229</v>
      </c>
      <c r="AW158" s="21">
        <f>EXP(-LN(2)/2)*AW157+(1-EXP(-LN(2)/2))/(LN(2)/2)*AQ158*AT158*VLOOKUP('Données projet'!$B$10,Paramètres!$A$1:$I$89,3,0)*0.475*44/12</f>
        <v>2.1664963685935463E-13</v>
      </c>
      <c r="AX158" s="21">
        <f t="shared" si="166"/>
        <v>25.509156368826925</v>
      </c>
      <c r="AY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6.2527760746888816E-13</v>
      </c>
      <c r="BE158" s="13">
        <f>BD158*VLOOKUP('Données projet'!$B$11,Paramètres!$A$1:$I$89,3,0)*VLOOKUP('Données projet'!$B$11,Paramètres!$A$1:$I$89,5,0)</f>
        <v>5.3648818720830608E-13</v>
      </c>
      <c r="BF158" s="13">
        <f t="shared" si="167"/>
        <v>6.6281362235424649E-12</v>
      </c>
      <c r="BG158" s="20">
        <f t="shared" si="168"/>
        <v>1.2478387515390925E-11</v>
      </c>
      <c r="BH158" s="59">
        <f t="shared" si="116"/>
        <v>293.33333333334582</v>
      </c>
      <c r="BI158" s="59">
        <f ca="1">AVERAGE(OFFSET($BH$3,0,0,'Données projet'!$E$11+1,1))-AVERAGE(OFFSET($H$3,0,0,'Données projet'!$E$11+1,1))</f>
        <v>312.89478437044261</v>
      </c>
      <c r="BJ158" s="59">
        <f t="shared" si="146"/>
        <v>276.16555507854571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>
        <f>EXP(-LN(2)/35)*BP157+(1-EXP(-LN(2)/35))/(LN(2)/35)*BL158*BM158*VLOOKUP('Données projet'!$B$11,Paramètres!$A$1:$I$89,3,0)*0.475*44/12</f>
        <v>89.893143360597904</v>
      </c>
      <c r="BQ158" s="21">
        <f>EXP(-LN(2)/25)*BQ157+(1-EXP(-LN(2)/25))/(LN(2)/25)*Calculateur!BL158*Calculateur!BN158*VLOOKUP('Données projet'!$B$11,Paramètres!$A$1:$I$89,3,0)*0.475*44/12</f>
        <v>20.000637372245777</v>
      </c>
      <c r="BR158" s="21">
        <f>EXP(-LN(2)/2)*BR157+(1-EXP(-LN(2)/2))/(LN(2)/2)*BL158*BO158*VLOOKUP('Données projet'!$B$11,Paramètres!$A$1:$I$89,3,0)*0.475*44/12</f>
        <v>0.10745455314286448</v>
      </c>
      <c r="BS158" s="22">
        <f t="shared" si="169"/>
        <v>110.00123528598654</v>
      </c>
      <c r="BT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0</v>
      </c>
      <c r="BZ158" s="13" t="e">
        <f>BY158*VLOOKUP('Données projet'!$B$12,Paramètres!$A$1:$I$89,3,0)*VLOOKUP('Données projet'!$B$12,Paramètres!$A$1:$I$89,5,0)</f>
        <v>#N/A</v>
      </c>
      <c r="CA158" s="13" t="e">
        <f t="shared" si="170"/>
        <v>#N/A</v>
      </c>
      <c r="CB158" s="20" t="e">
        <f t="shared" si="171"/>
        <v>#N/A</v>
      </c>
      <c r="CC158" s="59" t="e">
        <f t="shared" si="119"/>
        <v>#N/A</v>
      </c>
      <c r="CD158" s="59" t="e">
        <f ca="1">AVERAGE(OFFSET($CC$3,0,0,'Données projet'!$E$12+1,1))-AVERAGE(OFFSET($H$3,0,0,'Données projet'!$E$12+1,1))</f>
        <v>#N/A</v>
      </c>
      <c r="CE158" s="59" t="e">
        <f t="shared" si="148"/>
        <v>#N/A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 t="e">
        <f>EXP(-LN(2)/35)*CK157+(1-EXP(-LN(2)/35))/(LN(2)/35)*CG158*CH158*VLOOKUP('Données projet'!$B$12,Paramètres!$A$1:$I$89,3,0)*0.475*44/12</f>
        <v>#N/A</v>
      </c>
      <c r="CL158" s="21" t="e">
        <f>EXP(-LN(2)/25)*CL157+(1-EXP(-LN(2)/25))/(LN(2)/25)*Calculateur!CG158*Calculateur!CI158*VLOOKUP('Données projet'!$B$12,Paramètres!$A$1:$I$89,3,0)*0.475*44/12</f>
        <v>#N/A</v>
      </c>
      <c r="CM158" s="21" t="e">
        <f>EXP(-LN(2)/2)*CM157+(1-EXP(-LN(2)/2))/(LN(2)/2)*CG158*CJ158*VLOOKUP('Données projet'!$B$12,Paramètres!$A$1:$I$89,3,0)*0.475*44/12</f>
        <v>#N/A</v>
      </c>
      <c r="CN158" s="22" t="e">
        <f t="shared" si="172"/>
        <v>#N/A</v>
      </c>
      <c r="CO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0</v>
      </c>
      <c r="CU158" s="17" t="e">
        <f>CT158*VLOOKUP('Données projet'!$B$13,Paramètres!$A$1:$I$89,3,0)*VLOOKUP('Données projet'!$B$13,Paramètres!$A$1:$I$89,5,0)</f>
        <v>#N/A</v>
      </c>
      <c r="CV158" s="13" t="e">
        <f t="shared" si="173"/>
        <v>#N/A</v>
      </c>
      <c r="CW158" s="20" t="e">
        <f t="shared" si="174"/>
        <v>#N/A</v>
      </c>
      <c r="CX158" s="59" t="e">
        <f t="shared" si="122"/>
        <v>#N/A</v>
      </c>
      <c r="CY158" s="59" t="e">
        <f ca="1">AVERAGE(OFFSET($CX$3,0,0,'Données projet'!$E$13+1,1))-AVERAGE(OFFSET($H$3,0,0,'Données projet'!$E$13+1,1))</f>
        <v>#N/A</v>
      </c>
      <c r="CZ158" s="59" t="e">
        <f t="shared" si="150"/>
        <v>#N/A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 t="e">
        <f>EXP(-LN(2)/35)*DF157+(1-EXP(-LN(2)/35))/(LN(2)/35)*DB158*DC158*VLOOKUP('Données projet'!$B$13,Paramètres!$A$1:$I$89,3,0)*0.475*44/12</f>
        <v>#N/A</v>
      </c>
      <c r="DG158" s="21" t="e">
        <f>EXP(-LN(2)/25)*DG157+(1-EXP(-LN(2)/25))/(LN(2)/25)*Calculateur!DB158*Calculateur!DD158*VLOOKUP('Données projet'!$B$13,Paramètres!$A$1:$I$89,3,0)*0.475*44/12</f>
        <v>#N/A</v>
      </c>
      <c r="DH158" s="21" t="e">
        <f>EXP(-LN(2)/2)*DH157+(1-EXP(-LN(2)/2))/(LN(2)/2)*DB158*DE158*VLOOKUP('Données projet'!$B$13,Paramètres!$A$1:$I$89,3,0)*0.475*44/12</f>
        <v>#N/A</v>
      </c>
      <c r="DI158" s="22" t="e">
        <f t="shared" si="175"/>
        <v>#N/A</v>
      </c>
      <c r="DJ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0</v>
      </c>
      <c r="DP158" s="17" t="e">
        <f>DO158*VLOOKUP('Données projet'!$B$14,Paramètres!$A$1:$I$89,3,0)*VLOOKUP('Données projet'!$B$14,Paramètres!$A$1:$I$89,5,0)</f>
        <v>#N/A</v>
      </c>
      <c r="DQ158" s="13" t="e">
        <f t="shared" si="176"/>
        <v>#N/A</v>
      </c>
      <c r="DR158" s="20" t="e">
        <f t="shared" si="177"/>
        <v>#N/A</v>
      </c>
      <c r="DS158" s="59" t="e">
        <f t="shared" si="125"/>
        <v>#N/A</v>
      </c>
      <c r="DT158" s="59" t="e">
        <f ca="1">AVERAGE(OFFSET($DS$3,0,0,'Données projet'!$E$14+1,1))-AVERAGE(OFFSET($H$3,0,0,'Données projet'!$E$14+1,1))</f>
        <v>#N/A</v>
      </c>
      <c r="DU158" s="59" t="e">
        <f t="shared" si="152"/>
        <v>#N/A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 t="e">
        <f>EXP(-LN(2)/35)*EA157+(1-EXP(-LN(2)/35))/(LN(2)/35)*DW158*DX158*VLOOKUP('Données projet'!$B$14,Paramètres!$A$1:$I$89,3,0)*0.475*44/12</f>
        <v>#N/A</v>
      </c>
      <c r="EB158" s="21" t="e">
        <f>EXP(-LN(2)/25)*EB157+(1-EXP(-LN(2)/25))/(LN(2)/25)*Calculateur!DW158*Calculateur!DY158*VLOOKUP('Données projet'!$B$14,Paramètres!$A$1:$I$89,3,0)*0.475*44/12</f>
        <v>#N/A</v>
      </c>
      <c r="EC158" s="21" t="e">
        <f>EXP(-LN(2)/2)*EC157+(1-EXP(-LN(2)/2))/(LN(2)/2)*DW158*DZ158*VLOOKUP('Données projet'!$B$14,Paramètres!$A$1:$I$89,3,0)*0.475*44/12</f>
        <v>#N/A</v>
      </c>
      <c r="ED158" s="22" t="e">
        <f t="shared" si="178"/>
        <v>#N/A</v>
      </c>
      <c r="EE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0</v>
      </c>
      <c r="EK158" s="17" t="e">
        <f>EJ158*VLOOKUP('Données projet'!$B$15,Paramètres!$A$1:$I$89,3,0)*VLOOKUP('Données projet'!$B$15,Paramètres!$A$1:$I$89,5,0)</f>
        <v>#N/A</v>
      </c>
      <c r="EL158" s="13" t="e">
        <f t="shared" si="179"/>
        <v>#N/A</v>
      </c>
      <c r="EM158" s="20" t="e">
        <f t="shared" si="180"/>
        <v>#N/A</v>
      </c>
      <c r="EN158" s="59" t="e">
        <f t="shared" si="128"/>
        <v>#N/A</v>
      </c>
      <c r="EO158" s="59" t="e">
        <f ca="1">AVERAGE(OFFSET($EN$3,0,0,'Données projet'!$E$15+1,1))-AVERAGE(OFFSET($H$3,0,0,'Données projet'!$E$15+1,1))</f>
        <v>#N/A</v>
      </c>
      <c r="EP158" s="59" t="e">
        <f t="shared" si="154"/>
        <v>#N/A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 t="e">
        <f>EXP(-LN(2)/35)*EV157+(1-EXP(-LN(2)/35))/(LN(2)/35)*ER158*ES158*VLOOKUP('Données projet'!$B$15,Paramètres!$A$1:$I$89,3,0)*0.475*44/12</f>
        <v>#N/A</v>
      </c>
      <c r="EW158" s="21" t="e">
        <f>EXP(-LN(2)/25)*EW157+(1-EXP(-LN(2)/25))/(LN(2)/25)*Calculateur!ER158*Calculateur!ET158*VLOOKUP('Données projet'!$B$15,Paramètres!$A$1:$I$89,3,0)*0.475*44/12</f>
        <v>#N/A</v>
      </c>
      <c r="EX158" s="21" t="e">
        <f>EXP(-LN(2)/2)*EX157+(1-EXP(-LN(2)/2))/(LN(2)/2)*ER158*EU158*VLOOKUP('Données projet'!$B$15,Paramètres!$A$1:$I$89,3,0)*0.475*44/12</f>
        <v>#N/A</v>
      </c>
      <c r="EY158" s="22" t="e">
        <f t="shared" si="181"/>
        <v>#N/A</v>
      </c>
      <c r="EZ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9" t="e">
        <f t="shared" si="131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45">
      <c r="A159" s="10">
        <f t="shared" si="161"/>
        <v>156</v>
      </c>
      <c r="B159" s="73">
        <f>'Scénario référence'!$B$16*5+'Scénario référence'!$B$17*0+'Scénario référence'!$B$18*5</f>
        <v>0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138.7152000000001</v>
      </c>
      <c r="D159" s="11">
        <f t="shared" si="140"/>
        <v>36.002518112950014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">
        <f>IF(OR('Scénario référence'!$F$8&gt;0,'Scénario référence'!$F$9&gt;0),('Scénario référence'!$F$8+'Scénario référence'!$F$9)*10,0)</f>
        <v>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1348.6981749069832</v>
      </c>
      <c r="H159" s="67">
        <f t="shared" si="110"/>
        <v>560.96669238005484</v>
      </c>
      <c r="I159" s="7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1.7053025658242404E-13</v>
      </c>
      <c r="O159" s="13">
        <f>N159*VLOOKUP('Données projet'!$B$9,Paramètres!$A$1:$I$89,3,0)*VLOOKUP('Données projet'!$B$9,Paramètres!$A$1:$I$89,5,0)</f>
        <v>9.5326413429575044E-14</v>
      </c>
      <c r="P159" s="13">
        <f t="shared" si="141"/>
        <v>1.4400742856080346E-12</v>
      </c>
      <c r="Q159" s="20">
        <f t="shared" si="162"/>
        <v>2.6741562174905032E-12</v>
      </c>
      <c r="R159" s="59">
        <f t="shared" si="109"/>
        <v>293.33333333333599</v>
      </c>
      <c r="S159" s="59">
        <f ca="1">AVERAGE(OFFSET($R$3,0,0,'Données projet'!$E$9+1,1))-AVERAGE(OFFSET($H$3,0,0,'Données projet'!$E$9+1,1))</f>
        <v>280.69347314340195</v>
      </c>
      <c r="T159" s="59">
        <f t="shared" si="142"/>
        <v>152.40533828556482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83.650235472408141</v>
      </c>
      <c r="AA159" s="21">
        <f>EXP(-LN(2)/25)*AA158+(1-EXP(-LN(2)/25))/(LN(2)/25)*Calculateur!V159*Calculateur!X159*VLOOKUP('Données projet'!$B$9,Paramètres!$A$1:$I$89,3,0)*0.475*44/12</f>
        <v>20.128011197618456</v>
      </c>
      <c r="AB159" s="21">
        <f>EXP(-LN(2)/2)*AB158+(1-EXP(-LN(2)/2))/(LN(2)/2)*V159*Y159*VLOOKUP('Données projet'!$B$9,Paramètres!$A$1:$I$89,3,0)*0.475*44/12</f>
        <v>2.3701968194523023E-4</v>
      </c>
      <c r="AC159" s="22">
        <f t="shared" si="163"/>
        <v>103.77848368970854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0</v>
      </c>
      <c r="AJ159" s="13">
        <f>AI159*VLOOKUP('Données projet'!$B$10,Paramètres!$A$1:$I$89,3,0)*VLOOKUP('Données projet'!$B$10,Paramètres!$A$1:$I$89,5,0)</f>
        <v>0</v>
      </c>
      <c r="AK159" s="13" t="e">
        <f t="shared" si="164"/>
        <v>#NUM!</v>
      </c>
      <c r="AL159" s="20" t="e">
        <f t="shared" si="165"/>
        <v>#NUM!</v>
      </c>
      <c r="AM159" s="59" t="e">
        <f t="shared" si="113"/>
        <v>#NUM!</v>
      </c>
      <c r="AN159" s="59">
        <f ca="1">AVERAGE(OFFSET($AM$3,0,0,'Données projet'!$E$10+1,1))-AVERAGE(OFFSET($H$3,0,0,'Données projet'!$E$10+1,1))</f>
        <v>179.4725256147085</v>
      </c>
      <c r="AO159" s="59">
        <f t="shared" si="144"/>
        <v>282.16750121151176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21.569680481352901</v>
      </c>
      <c r="AV159" s="21">
        <f>EXP(-LN(2)/25)*AV158+(1-EXP(-LN(2)/25))/(LN(2)/25)*Calculateur!AQ159*Calculateur!AS159*VLOOKUP('Données projet'!$B$10,Paramètres!$A$1:$I$89,3,0)*0.475*44/12</f>
        <v>3.4121198180512993</v>
      </c>
      <c r="AW159" s="21">
        <f>EXP(-LN(2)/2)*AW158+(1-EXP(-LN(2)/2))/(LN(2)/2)*AQ159*AT159*VLOOKUP('Données projet'!$B$10,Paramètres!$A$1:$I$89,3,0)*0.475*44/12</f>
        <v>1.5319442736485266E-13</v>
      </c>
      <c r="AX159" s="21">
        <f t="shared" si="166"/>
        <v>24.981800299404352</v>
      </c>
      <c r="AY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6.2527760746888816E-13</v>
      </c>
      <c r="BE159" s="13">
        <f>BD159*VLOOKUP('Données projet'!$B$11,Paramètres!$A$1:$I$89,3,0)*VLOOKUP('Données projet'!$B$11,Paramètres!$A$1:$I$89,5,0)</f>
        <v>5.3648818720830608E-13</v>
      </c>
      <c r="BF159" s="13">
        <f t="shared" si="167"/>
        <v>6.6281362235424649E-12</v>
      </c>
      <c r="BG159" s="20">
        <f t="shared" si="168"/>
        <v>1.2478387515390925E-11</v>
      </c>
      <c r="BH159" s="59">
        <f t="shared" si="116"/>
        <v>293.33333333334582</v>
      </c>
      <c r="BI159" s="59">
        <f ca="1">AVERAGE(OFFSET($BH$3,0,0,'Données projet'!$E$11+1,1))-AVERAGE(OFFSET($H$3,0,0,'Données projet'!$E$11+1,1))</f>
        <v>312.89478437044261</v>
      </c>
      <c r="BJ159" s="59">
        <f t="shared" si="146"/>
        <v>276.16555507854571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>
        <f>EXP(-LN(2)/35)*BP158+(1-EXP(-LN(2)/35))/(LN(2)/35)*BL159*BM159*VLOOKUP('Données projet'!$B$11,Paramètres!$A$1:$I$89,3,0)*0.475*44/12</f>
        <v>88.130393648700078</v>
      </c>
      <c r="BQ159" s="21">
        <f>EXP(-LN(2)/25)*BQ158+(1-EXP(-LN(2)/25))/(LN(2)/25)*Calculateur!BL159*Calculateur!BN159*VLOOKUP('Données projet'!$B$11,Paramètres!$A$1:$I$89,3,0)*0.475*44/12</f>
        <v>19.453718891513908</v>
      </c>
      <c r="BR159" s="21">
        <f>EXP(-LN(2)/2)*BR158+(1-EXP(-LN(2)/2))/(LN(2)/2)*BL159*BO159*VLOOKUP('Données projet'!$B$11,Paramètres!$A$1:$I$89,3,0)*0.475*44/12</f>
        <v>7.5981843196689727E-2</v>
      </c>
      <c r="BS159" s="22">
        <f t="shared" si="169"/>
        <v>107.66009438341068</v>
      </c>
      <c r="BT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0</v>
      </c>
      <c r="BZ159" s="13" t="e">
        <f>BY159*VLOOKUP('Données projet'!$B$12,Paramètres!$A$1:$I$89,3,0)*VLOOKUP('Données projet'!$B$12,Paramètres!$A$1:$I$89,5,0)</f>
        <v>#N/A</v>
      </c>
      <c r="CA159" s="13" t="e">
        <f t="shared" si="170"/>
        <v>#N/A</v>
      </c>
      <c r="CB159" s="20" t="e">
        <f t="shared" si="171"/>
        <v>#N/A</v>
      </c>
      <c r="CC159" s="59" t="e">
        <f t="shared" si="119"/>
        <v>#N/A</v>
      </c>
      <c r="CD159" s="59" t="e">
        <f ca="1">AVERAGE(OFFSET($CC$3,0,0,'Données projet'!$E$12+1,1))-AVERAGE(OFFSET($H$3,0,0,'Données projet'!$E$12+1,1))</f>
        <v>#N/A</v>
      </c>
      <c r="CE159" s="59" t="e">
        <f t="shared" si="148"/>
        <v>#N/A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 t="e">
        <f>EXP(-LN(2)/35)*CK158+(1-EXP(-LN(2)/35))/(LN(2)/35)*CG159*CH159*VLOOKUP('Données projet'!$B$12,Paramètres!$A$1:$I$89,3,0)*0.475*44/12</f>
        <v>#N/A</v>
      </c>
      <c r="CL159" s="21" t="e">
        <f>EXP(-LN(2)/25)*CL158+(1-EXP(-LN(2)/25))/(LN(2)/25)*Calculateur!CG159*Calculateur!CI159*VLOOKUP('Données projet'!$B$12,Paramètres!$A$1:$I$89,3,0)*0.475*44/12</f>
        <v>#N/A</v>
      </c>
      <c r="CM159" s="21" t="e">
        <f>EXP(-LN(2)/2)*CM158+(1-EXP(-LN(2)/2))/(LN(2)/2)*CG159*CJ159*VLOOKUP('Données projet'!$B$12,Paramètres!$A$1:$I$89,3,0)*0.475*44/12</f>
        <v>#N/A</v>
      </c>
      <c r="CN159" s="22" t="e">
        <f t="shared" si="172"/>
        <v>#N/A</v>
      </c>
      <c r="CO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0</v>
      </c>
      <c r="CU159" s="17" t="e">
        <f>CT159*VLOOKUP('Données projet'!$B$13,Paramètres!$A$1:$I$89,3,0)*VLOOKUP('Données projet'!$B$13,Paramètres!$A$1:$I$89,5,0)</f>
        <v>#N/A</v>
      </c>
      <c r="CV159" s="13" t="e">
        <f t="shared" si="173"/>
        <v>#N/A</v>
      </c>
      <c r="CW159" s="20" t="e">
        <f t="shared" si="174"/>
        <v>#N/A</v>
      </c>
      <c r="CX159" s="59" t="e">
        <f t="shared" si="122"/>
        <v>#N/A</v>
      </c>
      <c r="CY159" s="59" t="e">
        <f ca="1">AVERAGE(OFFSET($CX$3,0,0,'Données projet'!$E$13+1,1))-AVERAGE(OFFSET($H$3,0,0,'Données projet'!$E$13+1,1))</f>
        <v>#N/A</v>
      </c>
      <c r="CZ159" s="59" t="e">
        <f t="shared" si="150"/>
        <v>#N/A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 t="e">
        <f>EXP(-LN(2)/35)*DF158+(1-EXP(-LN(2)/35))/(LN(2)/35)*DB159*DC159*VLOOKUP('Données projet'!$B$13,Paramètres!$A$1:$I$89,3,0)*0.475*44/12</f>
        <v>#N/A</v>
      </c>
      <c r="DG159" s="21" t="e">
        <f>EXP(-LN(2)/25)*DG158+(1-EXP(-LN(2)/25))/(LN(2)/25)*Calculateur!DB159*Calculateur!DD159*VLOOKUP('Données projet'!$B$13,Paramètres!$A$1:$I$89,3,0)*0.475*44/12</f>
        <v>#N/A</v>
      </c>
      <c r="DH159" s="21" t="e">
        <f>EXP(-LN(2)/2)*DH158+(1-EXP(-LN(2)/2))/(LN(2)/2)*DB159*DE159*VLOOKUP('Données projet'!$B$13,Paramètres!$A$1:$I$89,3,0)*0.475*44/12</f>
        <v>#N/A</v>
      </c>
      <c r="DI159" s="22" t="e">
        <f t="shared" si="175"/>
        <v>#N/A</v>
      </c>
      <c r="DJ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0</v>
      </c>
      <c r="DP159" s="17" t="e">
        <f>DO159*VLOOKUP('Données projet'!$B$14,Paramètres!$A$1:$I$89,3,0)*VLOOKUP('Données projet'!$B$14,Paramètres!$A$1:$I$89,5,0)</f>
        <v>#N/A</v>
      </c>
      <c r="DQ159" s="13" t="e">
        <f t="shared" si="176"/>
        <v>#N/A</v>
      </c>
      <c r="DR159" s="20" t="e">
        <f t="shared" si="177"/>
        <v>#N/A</v>
      </c>
      <c r="DS159" s="59" t="e">
        <f t="shared" si="125"/>
        <v>#N/A</v>
      </c>
      <c r="DT159" s="59" t="e">
        <f ca="1">AVERAGE(OFFSET($DS$3,0,0,'Données projet'!$E$14+1,1))-AVERAGE(OFFSET($H$3,0,0,'Données projet'!$E$14+1,1))</f>
        <v>#N/A</v>
      </c>
      <c r="DU159" s="59" t="e">
        <f t="shared" si="152"/>
        <v>#N/A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 t="e">
        <f>EXP(-LN(2)/35)*EA158+(1-EXP(-LN(2)/35))/(LN(2)/35)*DW159*DX159*VLOOKUP('Données projet'!$B$14,Paramètres!$A$1:$I$89,3,0)*0.475*44/12</f>
        <v>#N/A</v>
      </c>
      <c r="EB159" s="21" t="e">
        <f>EXP(-LN(2)/25)*EB158+(1-EXP(-LN(2)/25))/(LN(2)/25)*Calculateur!DW159*Calculateur!DY159*VLOOKUP('Données projet'!$B$14,Paramètres!$A$1:$I$89,3,0)*0.475*44/12</f>
        <v>#N/A</v>
      </c>
      <c r="EC159" s="21" t="e">
        <f>EXP(-LN(2)/2)*EC158+(1-EXP(-LN(2)/2))/(LN(2)/2)*DW159*DZ159*VLOOKUP('Données projet'!$B$14,Paramètres!$A$1:$I$89,3,0)*0.475*44/12</f>
        <v>#N/A</v>
      </c>
      <c r="ED159" s="22" t="e">
        <f t="shared" si="178"/>
        <v>#N/A</v>
      </c>
      <c r="EE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0</v>
      </c>
      <c r="EK159" s="17" t="e">
        <f>EJ159*VLOOKUP('Données projet'!$B$15,Paramètres!$A$1:$I$89,3,0)*VLOOKUP('Données projet'!$B$15,Paramètres!$A$1:$I$89,5,0)</f>
        <v>#N/A</v>
      </c>
      <c r="EL159" s="13" t="e">
        <f t="shared" si="179"/>
        <v>#N/A</v>
      </c>
      <c r="EM159" s="20" t="e">
        <f t="shared" si="180"/>
        <v>#N/A</v>
      </c>
      <c r="EN159" s="59" t="e">
        <f t="shared" si="128"/>
        <v>#N/A</v>
      </c>
      <c r="EO159" s="59" t="e">
        <f ca="1">AVERAGE(OFFSET($EN$3,0,0,'Données projet'!$E$15+1,1))-AVERAGE(OFFSET($H$3,0,0,'Données projet'!$E$15+1,1))</f>
        <v>#N/A</v>
      </c>
      <c r="EP159" s="59" t="e">
        <f t="shared" si="154"/>
        <v>#N/A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 t="e">
        <f>EXP(-LN(2)/35)*EV158+(1-EXP(-LN(2)/35))/(LN(2)/35)*ER159*ES159*VLOOKUP('Données projet'!$B$15,Paramètres!$A$1:$I$89,3,0)*0.475*44/12</f>
        <v>#N/A</v>
      </c>
      <c r="EW159" s="21" t="e">
        <f>EXP(-LN(2)/25)*EW158+(1-EXP(-LN(2)/25))/(LN(2)/25)*Calculateur!ER159*Calculateur!ET159*VLOOKUP('Données projet'!$B$15,Paramètres!$A$1:$I$89,3,0)*0.475*44/12</f>
        <v>#N/A</v>
      </c>
      <c r="EX159" s="21" t="e">
        <f>EXP(-LN(2)/2)*EX158+(1-EXP(-LN(2)/2))/(LN(2)/2)*ER159*EU159*VLOOKUP('Données projet'!$B$15,Paramètres!$A$1:$I$89,3,0)*0.475*44/12</f>
        <v>#N/A</v>
      </c>
      <c r="EY159" s="22" t="e">
        <f t="shared" si="181"/>
        <v>#N/A</v>
      </c>
      <c r="EZ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9" t="e">
        <f t="shared" si="131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45">
      <c r="A160" s="10">
        <f t="shared" si="161"/>
        <v>157</v>
      </c>
      <c r="B160" s="73">
        <f>'Scénario référence'!$B$16*5+'Scénario référence'!$B$17*0+'Scénario référence'!$B$18*5</f>
        <v>0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139.60440000000008</v>
      </c>
      <c r="D160" s="11">
        <f t="shared" si="140"/>
        <v>36.206364170402217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">
        <f>IF(OR('Scénario référence'!$F$8&gt;0,'Scénario référence'!$F$9&gt;0),('Scénario référence'!$F$8+'Scénario référence'!$F$9)*10,0)</f>
        <v>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1357.1357234206496</v>
      </c>
      <c r="H160" s="67">
        <f t="shared" si="110"/>
        <v>562.8704142634507</v>
      </c>
      <c r="I160" s="7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1.7053025658242404E-13</v>
      </c>
      <c r="O160" s="13">
        <f>N160*VLOOKUP('Données projet'!$B$9,Paramètres!$A$1:$I$89,3,0)*VLOOKUP('Données projet'!$B$9,Paramètres!$A$1:$I$89,5,0)</f>
        <v>9.5326413429575044E-14</v>
      </c>
      <c r="P160" s="13">
        <f t="shared" si="141"/>
        <v>1.4400742856080346E-12</v>
      </c>
      <c r="Q160" s="20">
        <f t="shared" si="162"/>
        <v>2.6741562174905032E-12</v>
      </c>
      <c r="R160" s="59">
        <f t="shared" si="109"/>
        <v>293.33333333333599</v>
      </c>
      <c r="S160" s="59">
        <f ca="1">AVERAGE(OFFSET($R$3,0,0,'Données projet'!$E$9+1,1))-AVERAGE(OFFSET($H$3,0,0,'Données projet'!$E$9+1,1))</f>
        <v>280.69347314340195</v>
      </c>
      <c r="T160" s="59">
        <f t="shared" si="142"/>
        <v>152.40533828556482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82.009905376399885</v>
      </c>
      <c r="AA160" s="21">
        <f>EXP(-LN(2)/25)*AA159+(1-EXP(-LN(2)/25))/(LN(2)/25)*Calculateur!V160*Calculateur!X160*VLOOKUP('Données projet'!$B$9,Paramètres!$A$1:$I$89,3,0)*0.475*44/12</f>
        <v>19.577609672933473</v>
      </c>
      <c r="AB160" s="21">
        <f>EXP(-LN(2)/2)*AB159+(1-EXP(-LN(2)/2))/(LN(2)/2)*V160*Y160*VLOOKUP('Données projet'!$B$9,Paramètres!$A$1:$I$89,3,0)*0.475*44/12</f>
        <v>1.6759822437815102E-4</v>
      </c>
      <c r="AC160" s="22">
        <f t="shared" si="163"/>
        <v>101.58768264755774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0</v>
      </c>
      <c r="AJ160" s="13">
        <f>AI160*VLOOKUP('Données projet'!$B$10,Paramètres!$A$1:$I$89,3,0)*VLOOKUP('Données projet'!$B$10,Paramètres!$A$1:$I$89,5,0)</f>
        <v>0</v>
      </c>
      <c r="AK160" s="13" t="e">
        <f t="shared" si="164"/>
        <v>#NUM!</v>
      </c>
      <c r="AL160" s="20" t="e">
        <f t="shared" si="165"/>
        <v>#NUM!</v>
      </c>
      <c r="AM160" s="59" t="e">
        <f t="shared" si="113"/>
        <v>#NUM!</v>
      </c>
      <c r="AN160" s="59">
        <f ca="1">AVERAGE(OFFSET($AM$3,0,0,'Données projet'!$E$10+1,1))-AVERAGE(OFFSET($H$3,0,0,'Données projet'!$E$10+1,1))</f>
        <v>179.4725256147085</v>
      </c>
      <c r="AO160" s="59">
        <f t="shared" si="144"/>
        <v>282.16750121151176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21.146712203319595</v>
      </c>
      <c r="AV160" s="21">
        <f>EXP(-LN(2)/25)*AV159+(1-EXP(-LN(2)/25))/(LN(2)/25)*Calculateur!AQ160*Calculateur!AS160*VLOOKUP('Données projet'!$B$10,Paramètres!$A$1:$I$89,3,0)*0.475*44/12</f>
        <v>3.3188152221911036</v>
      </c>
      <c r="AW160" s="21">
        <f>EXP(-LN(2)/2)*AW159+(1-EXP(-LN(2)/2))/(LN(2)/2)*AQ160*AT160*VLOOKUP('Données projet'!$B$10,Paramètres!$A$1:$I$89,3,0)*0.475*44/12</f>
        <v>1.0832481842967732E-13</v>
      </c>
      <c r="AX160" s="21">
        <f t="shared" si="166"/>
        <v>24.465527425510807</v>
      </c>
      <c r="AY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6.2527760746888816E-13</v>
      </c>
      <c r="BE160" s="13">
        <f>BD160*VLOOKUP('Données projet'!$B$11,Paramètres!$A$1:$I$89,3,0)*VLOOKUP('Données projet'!$B$11,Paramètres!$A$1:$I$89,5,0)</f>
        <v>5.3648818720830608E-13</v>
      </c>
      <c r="BF160" s="13">
        <f t="shared" si="167"/>
        <v>6.6281362235424649E-12</v>
      </c>
      <c r="BG160" s="20">
        <f t="shared" si="168"/>
        <v>1.2478387515390925E-11</v>
      </c>
      <c r="BH160" s="59">
        <f t="shared" si="116"/>
        <v>293.33333333334582</v>
      </c>
      <c r="BI160" s="59">
        <f ca="1">AVERAGE(OFFSET($BH$3,0,0,'Données projet'!$E$11+1,1))-AVERAGE(OFFSET($H$3,0,0,'Données projet'!$E$11+1,1))</f>
        <v>312.89478437044261</v>
      </c>
      <c r="BJ160" s="59">
        <f t="shared" si="146"/>
        <v>276.16555507854571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>
        <f>EXP(-LN(2)/35)*BP159+(1-EXP(-LN(2)/35))/(LN(2)/35)*BL160*BM160*VLOOKUP('Données projet'!$B$11,Paramètres!$A$1:$I$89,3,0)*0.475*44/12</f>
        <v>86.402210383481403</v>
      </c>
      <c r="BQ160" s="21">
        <f>EXP(-LN(2)/25)*BQ159+(1-EXP(-LN(2)/25))/(LN(2)/25)*Calculateur!BL160*Calculateur!BN160*VLOOKUP('Données projet'!$B$11,Paramètres!$A$1:$I$89,3,0)*0.475*44/12</f>
        <v>18.921755925398845</v>
      </c>
      <c r="BR160" s="21">
        <f>EXP(-LN(2)/2)*BR159+(1-EXP(-LN(2)/2))/(LN(2)/2)*BL160*BO160*VLOOKUP('Données projet'!$B$11,Paramètres!$A$1:$I$89,3,0)*0.475*44/12</f>
        <v>5.3727276571432253E-2</v>
      </c>
      <c r="BS160" s="22">
        <f t="shared" si="169"/>
        <v>105.37769358545168</v>
      </c>
      <c r="BT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0</v>
      </c>
      <c r="BZ160" s="13" t="e">
        <f>BY160*VLOOKUP('Données projet'!$B$12,Paramètres!$A$1:$I$89,3,0)*VLOOKUP('Données projet'!$B$12,Paramètres!$A$1:$I$89,5,0)</f>
        <v>#N/A</v>
      </c>
      <c r="CA160" s="13" t="e">
        <f t="shared" si="170"/>
        <v>#N/A</v>
      </c>
      <c r="CB160" s="20" t="e">
        <f t="shared" si="171"/>
        <v>#N/A</v>
      </c>
      <c r="CC160" s="59" t="e">
        <f t="shared" si="119"/>
        <v>#N/A</v>
      </c>
      <c r="CD160" s="59" t="e">
        <f ca="1">AVERAGE(OFFSET($CC$3,0,0,'Données projet'!$E$12+1,1))-AVERAGE(OFFSET($H$3,0,0,'Données projet'!$E$12+1,1))</f>
        <v>#N/A</v>
      </c>
      <c r="CE160" s="59" t="e">
        <f t="shared" si="148"/>
        <v>#N/A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 t="e">
        <f>EXP(-LN(2)/35)*CK159+(1-EXP(-LN(2)/35))/(LN(2)/35)*CG160*CH160*VLOOKUP('Données projet'!$B$12,Paramètres!$A$1:$I$89,3,0)*0.475*44/12</f>
        <v>#N/A</v>
      </c>
      <c r="CL160" s="21" t="e">
        <f>EXP(-LN(2)/25)*CL159+(1-EXP(-LN(2)/25))/(LN(2)/25)*Calculateur!CG160*Calculateur!CI160*VLOOKUP('Données projet'!$B$12,Paramètres!$A$1:$I$89,3,0)*0.475*44/12</f>
        <v>#N/A</v>
      </c>
      <c r="CM160" s="21" t="e">
        <f>EXP(-LN(2)/2)*CM159+(1-EXP(-LN(2)/2))/(LN(2)/2)*CG160*CJ160*VLOOKUP('Données projet'!$B$12,Paramètres!$A$1:$I$89,3,0)*0.475*44/12</f>
        <v>#N/A</v>
      </c>
      <c r="CN160" s="22" t="e">
        <f t="shared" si="172"/>
        <v>#N/A</v>
      </c>
      <c r="CO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0</v>
      </c>
      <c r="CU160" s="17" t="e">
        <f>CT160*VLOOKUP('Données projet'!$B$13,Paramètres!$A$1:$I$89,3,0)*VLOOKUP('Données projet'!$B$13,Paramètres!$A$1:$I$89,5,0)</f>
        <v>#N/A</v>
      </c>
      <c r="CV160" s="13" t="e">
        <f t="shared" si="173"/>
        <v>#N/A</v>
      </c>
      <c r="CW160" s="20" t="e">
        <f t="shared" si="174"/>
        <v>#N/A</v>
      </c>
      <c r="CX160" s="59" t="e">
        <f t="shared" si="122"/>
        <v>#N/A</v>
      </c>
      <c r="CY160" s="59" t="e">
        <f ca="1">AVERAGE(OFFSET($CX$3,0,0,'Données projet'!$E$13+1,1))-AVERAGE(OFFSET($H$3,0,0,'Données projet'!$E$13+1,1))</f>
        <v>#N/A</v>
      </c>
      <c r="CZ160" s="59" t="e">
        <f t="shared" si="150"/>
        <v>#N/A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 t="e">
        <f>EXP(-LN(2)/35)*DF159+(1-EXP(-LN(2)/35))/(LN(2)/35)*DB160*DC160*VLOOKUP('Données projet'!$B$13,Paramètres!$A$1:$I$89,3,0)*0.475*44/12</f>
        <v>#N/A</v>
      </c>
      <c r="DG160" s="21" t="e">
        <f>EXP(-LN(2)/25)*DG159+(1-EXP(-LN(2)/25))/(LN(2)/25)*Calculateur!DB160*Calculateur!DD160*VLOOKUP('Données projet'!$B$13,Paramètres!$A$1:$I$89,3,0)*0.475*44/12</f>
        <v>#N/A</v>
      </c>
      <c r="DH160" s="21" t="e">
        <f>EXP(-LN(2)/2)*DH159+(1-EXP(-LN(2)/2))/(LN(2)/2)*DB160*DE160*VLOOKUP('Données projet'!$B$13,Paramètres!$A$1:$I$89,3,0)*0.475*44/12</f>
        <v>#N/A</v>
      </c>
      <c r="DI160" s="22" t="e">
        <f t="shared" si="175"/>
        <v>#N/A</v>
      </c>
      <c r="DJ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0</v>
      </c>
      <c r="DP160" s="17" t="e">
        <f>DO160*VLOOKUP('Données projet'!$B$14,Paramètres!$A$1:$I$89,3,0)*VLOOKUP('Données projet'!$B$14,Paramètres!$A$1:$I$89,5,0)</f>
        <v>#N/A</v>
      </c>
      <c r="DQ160" s="13" t="e">
        <f t="shared" si="176"/>
        <v>#N/A</v>
      </c>
      <c r="DR160" s="20" t="e">
        <f t="shared" si="177"/>
        <v>#N/A</v>
      </c>
      <c r="DS160" s="59" t="e">
        <f t="shared" si="125"/>
        <v>#N/A</v>
      </c>
      <c r="DT160" s="59" t="e">
        <f ca="1">AVERAGE(OFFSET($DS$3,0,0,'Données projet'!$E$14+1,1))-AVERAGE(OFFSET($H$3,0,0,'Données projet'!$E$14+1,1))</f>
        <v>#N/A</v>
      </c>
      <c r="DU160" s="59" t="e">
        <f t="shared" si="152"/>
        <v>#N/A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 t="e">
        <f>EXP(-LN(2)/35)*EA159+(1-EXP(-LN(2)/35))/(LN(2)/35)*DW160*DX160*VLOOKUP('Données projet'!$B$14,Paramètres!$A$1:$I$89,3,0)*0.475*44/12</f>
        <v>#N/A</v>
      </c>
      <c r="EB160" s="21" t="e">
        <f>EXP(-LN(2)/25)*EB159+(1-EXP(-LN(2)/25))/(LN(2)/25)*Calculateur!DW160*Calculateur!DY160*VLOOKUP('Données projet'!$B$14,Paramètres!$A$1:$I$89,3,0)*0.475*44/12</f>
        <v>#N/A</v>
      </c>
      <c r="EC160" s="21" t="e">
        <f>EXP(-LN(2)/2)*EC159+(1-EXP(-LN(2)/2))/(LN(2)/2)*DW160*DZ160*VLOOKUP('Données projet'!$B$14,Paramètres!$A$1:$I$89,3,0)*0.475*44/12</f>
        <v>#N/A</v>
      </c>
      <c r="ED160" s="22" t="e">
        <f t="shared" si="178"/>
        <v>#N/A</v>
      </c>
      <c r="EE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0</v>
      </c>
      <c r="EK160" s="17" t="e">
        <f>EJ160*VLOOKUP('Données projet'!$B$15,Paramètres!$A$1:$I$89,3,0)*VLOOKUP('Données projet'!$B$15,Paramètres!$A$1:$I$89,5,0)</f>
        <v>#N/A</v>
      </c>
      <c r="EL160" s="13" t="e">
        <f t="shared" si="179"/>
        <v>#N/A</v>
      </c>
      <c r="EM160" s="20" t="e">
        <f t="shared" si="180"/>
        <v>#N/A</v>
      </c>
      <c r="EN160" s="59" t="e">
        <f t="shared" si="128"/>
        <v>#N/A</v>
      </c>
      <c r="EO160" s="59" t="e">
        <f ca="1">AVERAGE(OFFSET($EN$3,0,0,'Données projet'!$E$15+1,1))-AVERAGE(OFFSET($H$3,0,0,'Données projet'!$E$15+1,1))</f>
        <v>#N/A</v>
      </c>
      <c r="EP160" s="59" t="e">
        <f t="shared" si="154"/>
        <v>#N/A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 t="e">
        <f>EXP(-LN(2)/35)*EV159+(1-EXP(-LN(2)/35))/(LN(2)/35)*ER160*ES160*VLOOKUP('Données projet'!$B$15,Paramètres!$A$1:$I$89,3,0)*0.475*44/12</f>
        <v>#N/A</v>
      </c>
      <c r="EW160" s="21" t="e">
        <f>EXP(-LN(2)/25)*EW159+(1-EXP(-LN(2)/25))/(LN(2)/25)*Calculateur!ER160*Calculateur!ET160*VLOOKUP('Données projet'!$B$15,Paramètres!$A$1:$I$89,3,0)*0.475*44/12</f>
        <v>#N/A</v>
      </c>
      <c r="EX160" s="21" t="e">
        <f>EXP(-LN(2)/2)*EX159+(1-EXP(-LN(2)/2))/(LN(2)/2)*ER160*EU160*VLOOKUP('Données projet'!$B$15,Paramètres!$A$1:$I$89,3,0)*0.475*44/12</f>
        <v>#N/A</v>
      </c>
      <c r="EY160" s="22" t="e">
        <f t="shared" si="181"/>
        <v>#N/A</v>
      </c>
      <c r="EZ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9" t="e">
        <f t="shared" si="131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45">
      <c r="A161" s="10">
        <f t="shared" si="161"/>
        <v>158</v>
      </c>
      <c r="B161" s="73">
        <f>'Scénario référence'!$B$16*5+'Scénario référence'!$B$17*0+'Scénario référence'!$B$18*5</f>
        <v>0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140.49360000000007</v>
      </c>
      <c r="D161" s="11">
        <f t="shared" si="140"/>
        <v>36.410059151057943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">
        <f>IF(OR('Scénario référence'!$F$8&gt;0,'Scénario référence'!$F$9&gt;0),('Scénario référence'!$F$8+'Scénario référence'!$F$9)*10,0)</f>
        <v>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1365.5721057274657</v>
      </c>
      <c r="H161" s="67">
        <f t="shared" si="110"/>
        <v>564.77387302142597</v>
      </c>
      <c r="I161" s="7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1.7053025658242404E-13</v>
      </c>
      <c r="O161" s="13">
        <f>N161*VLOOKUP('Données projet'!$B$9,Paramètres!$A$1:$I$89,3,0)*VLOOKUP('Données projet'!$B$9,Paramètres!$A$1:$I$89,5,0)</f>
        <v>9.5326413429575044E-14</v>
      </c>
      <c r="P161" s="13">
        <f t="shared" si="141"/>
        <v>1.4400742856080346E-12</v>
      </c>
      <c r="Q161" s="20">
        <f t="shared" si="162"/>
        <v>2.6741562174905032E-12</v>
      </c>
      <c r="R161" s="59">
        <f t="shared" si="109"/>
        <v>293.33333333333599</v>
      </c>
      <c r="S161" s="59">
        <f ca="1">AVERAGE(OFFSET($R$3,0,0,'Données projet'!$E$9+1,1))-AVERAGE(OFFSET($H$3,0,0,'Données projet'!$E$9+1,1))</f>
        <v>280.69347314340195</v>
      </c>
      <c r="T161" s="59">
        <f t="shared" si="142"/>
        <v>152.40533828556482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80.401741153071796</v>
      </c>
      <c r="AA161" s="21">
        <f>EXP(-LN(2)/25)*AA160+(1-EXP(-LN(2)/25))/(LN(2)/25)*Calculateur!V161*Calculateur!X161*VLOOKUP('Données projet'!$B$9,Paramètres!$A$1:$I$89,3,0)*0.475*44/12</f>
        <v>19.042258906885358</v>
      </c>
      <c r="AB161" s="21">
        <f>EXP(-LN(2)/2)*AB160+(1-EXP(-LN(2)/2))/(LN(2)/2)*V161*Y161*VLOOKUP('Données projet'!$B$9,Paramètres!$A$1:$I$89,3,0)*0.475*44/12</f>
        <v>1.1850984097261514E-4</v>
      </c>
      <c r="AC161" s="22">
        <f t="shared" si="163"/>
        <v>99.444118569798121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0</v>
      </c>
      <c r="AJ161" s="13">
        <f>AI161*VLOOKUP('Données projet'!$B$10,Paramètres!$A$1:$I$89,3,0)*VLOOKUP('Données projet'!$B$10,Paramètres!$A$1:$I$89,5,0)</f>
        <v>0</v>
      </c>
      <c r="AK161" s="13" t="e">
        <f t="shared" si="164"/>
        <v>#NUM!</v>
      </c>
      <c r="AL161" s="20" t="e">
        <f t="shared" si="165"/>
        <v>#NUM!</v>
      </c>
      <c r="AM161" s="59" t="e">
        <f t="shared" si="113"/>
        <v>#NUM!</v>
      </c>
      <c r="AN161" s="59">
        <f ca="1">AVERAGE(OFFSET($AM$3,0,0,'Données projet'!$E$10+1,1))-AVERAGE(OFFSET($H$3,0,0,'Données projet'!$E$10+1,1))</f>
        <v>179.4725256147085</v>
      </c>
      <c r="AO161" s="59">
        <f t="shared" si="144"/>
        <v>282.16750121151176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20.732038075233348</v>
      </c>
      <c r="AV161" s="21">
        <f>EXP(-LN(2)/25)*AV160+(1-EXP(-LN(2)/25))/(LN(2)/25)*Calculateur!AQ161*Calculateur!AS161*VLOOKUP('Données projet'!$B$10,Paramètres!$A$1:$I$89,3,0)*0.475*44/12</f>
        <v>3.2280620454113804</v>
      </c>
      <c r="AW161" s="21">
        <f>EXP(-LN(2)/2)*AW160+(1-EXP(-LN(2)/2))/(LN(2)/2)*AQ161*AT161*VLOOKUP('Données projet'!$B$10,Paramètres!$A$1:$I$89,3,0)*0.475*44/12</f>
        <v>7.6597213682426328E-14</v>
      </c>
      <c r="AX161" s="21">
        <f t="shared" si="166"/>
        <v>23.960100120644807</v>
      </c>
      <c r="AY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6.2527760746888816E-13</v>
      </c>
      <c r="BE161" s="13">
        <f>BD161*VLOOKUP('Données projet'!$B$11,Paramètres!$A$1:$I$89,3,0)*VLOOKUP('Données projet'!$B$11,Paramètres!$A$1:$I$89,5,0)</f>
        <v>5.3648818720830608E-13</v>
      </c>
      <c r="BF161" s="13">
        <f t="shared" si="167"/>
        <v>6.6281362235424649E-12</v>
      </c>
      <c r="BG161" s="20">
        <f t="shared" si="168"/>
        <v>1.2478387515390925E-11</v>
      </c>
      <c r="BH161" s="59">
        <f t="shared" si="116"/>
        <v>293.33333333334582</v>
      </c>
      <c r="BI161" s="59">
        <f ca="1">AVERAGE(OFFSET($BH$3,0,0,'Données projet'!$E$11+1,1))-AVERAGE(OFFSET($H$3,0,0,'Données projet'!$E$11+1,1))</f>
        <v>312.89478437044261</v>
      </c>
      <c r="BJ161" s="59">
        <f t="shared" si="146"/>
        <v>276.16555507854571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>
        <f>EXP(-LN(2)/35)*BP160+(1-EXP(-LN(2)/35))/(LN(2)/35)*BL161*BM161*VLOOKUP('Données projet'!$B$11,Paramètres!$A$1:$I$89,3,0)*0.475*44/12</f>
        <v>84.707915738005966</v>
      </c>
      <c r="BQ161" s="21">
        <f>EXP(-LN(2)/25)*BQ160+(1-EXP(-LN(2)/25))/(LN(2)/25)*Calculateur!BL161*Calculateur!BN161*VLOOKUP('Données projet'!$B$11,Paramètres!$A$1:$I$89,3,0)*0.475*44/12</f>
        <v>18.404339514566914</v>
      </c>
      <c r="BR161" s="21">
        <f>EXP(-LN(2)/2)*BR160+(1-EXP(-LN(2)/2))/(LN(2)/2)*BL161*BO161*VLOOKUP('Données projet'!$B$11,Paramètres!$A$1:$I$89,3,0)*0.475*44/12</f>
        <v>3.7990921598344871E-2</v>
      </c>
      <c r="BS161" s="22">
        <f t="shared" si="169"/>
        <v>103.15024617417123</v>
      </c>
      <c r="BT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0</v>
      </c>
      <c r="BZ161" s="13" t="e">
        <f>BY161*VLOOKUP('Données projet'!$B$12,Paramètres!$A$1:$I$89,3,0)*VLOOKUP('Données projet'!$B$12,Paramètres!$A$1:$I$89,5,0)</f>
        <v>#N/A</v>
      </c>
      <c r="CA161" s="13" t="e">
        <f t="shared" si="170"/>
        <v>#N/A</v>
      </c>
      <c r="CB161" s="20" t="e">
        <f t="shared" si="171"/>
        <v>#N/A</v>
      </c>
      <c r="CC161" s="59" t="e">
        <f t="shared" si="119"/>
        <v>#N/A</v>
      </c>
      <c r="CD161" s="59" t="e">
        <f ca="1">AVERAGE(OFFSET($CC$3,0,0,'Données projet'!$E$12+1,1))-AVERAGE(OFFSET($H$3,0,0,'Données projet'!$E$12+1,1))</f>
        <v>#N/A</v>
      </c>
      <c r="CE161" s="59" t="e">
        <f t="shared" si="148"/>
        <v>#N/A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 t="e">
        <f>EXP(-LN(2)/35)*CK160+(1-EXP(-LN(2)/35))/(LN(2)/35)*CG161*CH161*VLOOKUP('Données projet'!$B$12,Paramètres!$A$1:$I$89,3,0)*0.475*44/12</f>
        <v>#N/A</v>
      </c>
      <c r="CL161" s="21" t="e">
        <f>EXP(-LN(2)/25)*CL160+(1-EXP(-LN(2)/25))/(LN(2)/25)*Calculateur!CG161*Calculateur!CI161*VLOOKUP('Données projet'!$B$12,Paramètres!$A$1:$I$89,3,0)*0.475*44/12</f>
        <v>#N/A</v>
      </c>
      <c r="CM161" s="21" t="e">
        <f>EXP(-LN(2)/2)*CM160+(1-EXP(-LN(2)/2))/(LN(2)/2)*CG161*CJ161*VLOOKUP('Données projet'!$B$12,Paramètres!$A$1:$I$89,3,0)*0.475*44/12</f>
        <v>#N/A</v>
      </c>
      <c r="CN161" s="22" t="e">
        <f t="shared" si="172"/>
        <v>#N/A</v>
      </c>
      <c r="CO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0</v>
      </c>
      <c r="CU161" s="17" t="e">
        <f>CT161*VLOOKUP('Données projet'!$B$13,Paramètres!$A$1:$I$89,3,0)*VLOOKUP('Données projet'!$B$13,Paramètres!$A$1:$I$89,5,0)</f>
        <v>#N/A</v>
      </c>
      <c r="CV161" s="13" t="e">
        <f t="shared" si="173"/>
        <v>#N/A</v>
      </c>
      <c r="CW161" s="20" t="e">
        <f t="shared" si="174"/>
        <v>#N/A</v>
      </c>
      <c r="CX161" s="59" t="e">
        <f t="shared" si="122"/>
        <v>#N/A</v>
      </c>
      <c r="CY161" s="59" t="e">
        <f ca="1">AVERAGE(OFFSET($CX$3,0,0,'Données projet'!$E$13+1,1))-AVERAGE(OFFSET($H$3,0,0,'Données projet'!$E$13+1,1))</f>
        <v>#N/A</v>
      </c>
      <c r="CZ161" s="59" t="e">
        <f t="shared" si="150"/>
        <v>#N/A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 t="e">
        <f>EXP(-LN(2)/35)*DF160+(1-EXP(-LN(2)/35))/(LN(2)/35)*DB161*DC161*VLOOKUP('Données projet'!$B$13,Paramètres!$A$1:$I$89,3,0)*0.475*44/12</f>
        <v>#N/A</v>
      </c>
      <c r="DG161" s="21" t="e">
        <f>EXP(-LN(2)/25)*DG160+(1-EXP(-LN(2)/25))/(LN(2)/25)*Calculateur!DB161*Calculateur!DD161*VLOOKUP('Données projet'!$B$13,Paramètres!$A$1:$I$89,3,0)*0.475*44/12</f>
        <v>#N/A</v>
      </c>
      <c r="DH161" s="21" t="e">
        <f>EXP(-LN(2)/2)*DH160+(1-EXP(-LN(2)/2))/(LN(2)/2)*DB161*DE161*VLOOKUP('Données projet'!$B$13,Paramètres!$A$1:$I$89,3,0)*0.475*44/12</f>
        <v>#N/A</v>
      </c>
      <c r="DI161" s="22" t="e">
        <f t="shared" si="175"/>
        <v>#N/A</v>
      </c>
      <c r="DJ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0</v>
      </c>
      <c r="DP161" s="17" t="e">
        <f>DO161*VLOOKUP('Données projet'!$B$14,Paramètres!$A$1:$I$89,3,0)*VLOOKUP('Données projet'!$B$14,Paramètres!$A$1:$I$89,5,0)</f>
        <v>#N/A</v>
      </c>
      <c r="DQ161" s="13" t="e">
        <f t="shared" si="176"/>
        <v>#N/A</v>
      </c>
      <c r="DR161" s="20" t="e">
        <f t="shared" si="177"/>
        <v>#N/A</v>
      </c>
      <c r="DS161" s="59" t="e">
        <f t="shared" si="125"/>
        <v>#N/A</v>
      </c>
      <c r="DT161" s="59" t="e">
        <f ca="1">AVERAGE(OFFSET($DS$3,0,0,'Données projet'!$E$14+1,1))-AVERAGE(OFFSET($H$3,0,0,'Données projet'!$E$14+1,1))</f>
        <v>#N/A</v>
      </c>
      <c r="DU161" s="59" t="e">
        <f t="shared" si="152"/>
        <v>#N/A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 t="e">
        <f>EXP(-LN(2)/35)*EA160+(1-EXP(-LN(2)/35))/(LN(2)/35)*DW161*DX161*VLOOKUP('Données projet'!$B$14,Paramètres!$A$1:$I$89,3,0)*0.475*44/12</f>
        <v>#N/A</v>
      </c>
      <c r="EB161" s="21" t="e">
        <f>EXP(-LN(2)/25)*EB160+(1-EXP(-LN(2)/25))/(LN(2)/25)*Calculateur!DW161*Calculateur!DY161*VLOOKUP('Données projet'!$B$14,Paramètres!$A$1:$I$89,3,0)*0.475*44/12</f>
        <v>#N/A</v>
      </c>
      <c r="EC161" s="21" t="e">
        <f>EXP(-LN(2)/2)*EC160+(1-EXP(-LN(2)/2))/(LN(2)/2)*DW161*DZ161*VLOOKUP('Données projet'!$B$14,Paramètres!$A$1:$I$89,3,0)*0.475*44/12</f>
        <v>#N/A</v>
      </c>
      <c r="ED161" s="22" t="e">
        <f t="shared" si="178"/>
        <v>#N/A</v>
      </c>
      <c r="EE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0</v>
      </c>
      <c r="EK161" s="17" t="e">
        <f>EJ161*VLOOKUP('Données projet'!$B$15,Paramètres!$A$1:$I$89,3,0)*VLOOKUP('Données projet'!$B$15,Paramètres!$A$1:$I$89,5,0)</f>
        <v>#N/A</v>
      </c>
      <c r="EL161" s="13" t="e">
        <f t="shared" si="179"/>
        <v>#N/A</v>
      </c>
      <c r="EM161" s="20" t="e">
        <f t="shared" si="180"/>
        <v>#N/A</v>
      </c>
      <c r="EN161" s="59" t="e">
        <f t="shared" si="128"/>
        <v>#N/A</v>
      </c>
      <c r="EO161" s="59" t="e">
        <f ca="1">AVERAGE(OFFSET($EN$3,0,0,'Données projet'!$E$15+1,1))-AVERAGE(OFFSET($H$3,0,0,'Données projet'!$E$15+1,1))</f>
        <v>#N/A</v>
      </c>
      <c r="EP161" s="59" t="e">
        <f t="shared" si="154"/>
        <v>#N/A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 t="e">
        <f>EXP(-LN(2)/35)*EV160+(1-EXP(-LN(2)/35))/(LN(2)/35)*ER161*ES161*VLOOKUP('Données projet'!$B$15,Paramètres!$A$1:$I$89,3,0)*0.475*44/12</f>
        <v>#N/A</v>
      </c>
      <c r="EW161" s="21" t="e">
        <f>EXP(-LN(2)/25)*EW160+(1-EXP(-LN(2)/25))/(LN(2)/25)*Calculateur!ER161*Calculateur!ET161*VLOOKUP('Données projet'!$B$15,Paramètres!$A$1:$I$89,3,0)*0.475*44/12</f>
        <v>#N/A</v>
      </c>
      <c r="EX161" s="21" t="e">
        <f>EXP(-LN(2)/2)*EX160+(1-EXP(-LN(2)/2))/(LN(2)/2)*ER161*EU161*VLOOKUP('Données projet'!$B$15,Paramètres!$A$1:$I$89,3,0)*0.475*44/12</f>
        <v>#N/A</v>
      </c>
      <c r="EY161" s="22" t="e">
        <f t="shared" si="181"/>
        <v>#N/A</v>
      </c>
      <c r="EZ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9" t="e">
        <f t="shared" si="131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45">
      <c r="A162" s="10">
        <f t="shared" si="161"/>
        <v>159</v>
      </c>
      <c r="B162" s="73">
        <f>'Scénario référence'!$B$16*5+'Scénario référence'!$B$17*0+'Scénario référence'!$B$18*5</f>
        <v>0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141.38280000000006</v>
      </c>
      <c r="D162" s="11">
        <f t="shared" si="140"/>
        <v>36.613604122020263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">
        <f>IF(OR('Scénario référence'!$F$8&gt;0,'Scénario référence'!$F$9&gt;0),('Scénario référence'!$F$8+'Scénario référence'!$F$9)*10,0)</f>
        <v>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1374.0073300647182</v>
      </c>
      <c r="H162" s="67">
        <f t="shared" si="110"/>
        <v>566.67707051251875</v>
      </c>
      <c r="I162" s="7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1.7053025658242404E-13</v>
      </c>
      <c r="O162" s="13">
        <f>N162*VLOOKUP('Données projet'!$B$9,Paramètres!$A$1:$I$89,3,0)*VLOOKUP('Données projet'!$B$9,Paramètres!$A$1:$I$89,5,0)</f>
        <v>9.5326413429575044E-14</v>
      </c>
      <c r="P162" s="13">
        <f t="shared" si="141"/>
        <v>1.4400742856080346E-12</v>
      </c>
      <c r="Q162" s="20">
        <f t="shared" si="162"/>
        <v>2.6741562174905032E-12</v>
      </c>
      <c r="R162" s="59">
        <f t="shared" si="109"/>
        <v>293.33333333333599</v>
      </c>
      <c r="S162" s="59">
        <f ca="1">AVERAGE(OFFSET($R$3,0,0,'Données projet'!$E$9+1,1))-AVERAGE(OFFSET($H$3,0,0,'Données projet'!$E$9+1,1))</f>
        <v>280.69347314340195</v>
      </c>
      <c r="T162" s="59">
        <f t="shared" si="142"/>
        <v>152.40533828556482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78.825112049279838</v>
      </c>
      <c r="AA162" s="21">
        <f>EXP(-LN(2)/25)*AA161+(1-EXP(-LN(2)/25))/(LN(2)/25)*Calculateur!V162*Calculateur!X162*VLOOKUP('Données projet'!$B$9,Paramètres!$A$1:$I$89,3,0)*0.475*44/12</f>
        <v>18.521547335687703</v>
      </c>
      <c r="AB162" s="21">
        <f>EXP(-LN(2)/2)*AB161+(1-EXP(-LN(2)/2))/(LN(2)/2)*V162*Y162*VLOOKUP('Données projet'!$B$9,Paramètres!$A$1:$I$89,3,0)*0.475*44/12</f>
        <v>8.3799112189075523E-5</v>
      </c>
      <c r="AC162" s="22">
        <f t="shared" si="163"/>
        <v>97.346743184079727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0</v>
      </c>
      <c r="AJ162" s="13">
        <f>AI162*VLOOKUP('Données projet'!$B$10,Paramètres!$A$1:$I$89,3,0)*VLOOKUP('Données projet'!$B$10,Paramètres!$A$1:$I$89,5,0)</f>
        <v>0</v>
      </c>
      <c r="AK162" s="13" t="e">
        <f t="shared" si="164"/>
        <v>#NUM!</v>
      </c>
      <c r="AL162" s="20" t="e">
        <f t="shared" si="165"/>
        <v>#NUM!</v>
      </c>
      <c r="AM162" s="59" t="e">
        <f t="shared" si="113"/>
        <v>#NUM!</v>
      </c>
      <c r="AN162" s="59">
        <f ca="1">AVERAGE(OFFSET($AM$3,0,0,'Données projet'!$E$10+1,1))-AVERAGE(OFFSET($H$3,0,0,'Données projet'!$E$10+1,1))</f>
        <v>179.4725256147085</v>
      </c>
      <c r="AO162" s="59">
        <f t="shared" si="144"/>
        <v>282.16750121151176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20.32549545387263</v>
      </c>
      <c r="AV162" s="21">
        <f>EXP(-LN(2)/25)*AV161+(1-EXP(-LN(2)/25))/(LN(2)/25)*Calculateur!AQ162*Calculateur!AS162*VLOOKUP('Données projet'!$B$10,Paramètres!$A$1:$I$89,3,0)*0.475*44/12</f>
        <v>3.1397905190232009</v>
      </c>
      <c r="AW162" s="21">
        <f>EXP(-LN(2)/2)*AW161+(1-EXP(-LN(2)/2))/(LN(2)/2)*AQ162*AT162*VLOOKUP('Données projet'!$B$10,Paramètres!$A$1:$I$89,3,0)*0.475*44/12</f>
        <v>5.4162409214838658E-14</v>
      </c>
      <c r="AX162" s="21">
        <f t="shared" si="166"/>
        <v>23.465285972895884</v>
      </c>
      <c r="AY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6.2527760746888816E-13</v>
      </c>
      <c r="BE162" s="13">
        <f>BD162*VLOOKUP('Données projet'!$B$11,Paramètres!$A$1:$I$89,3,0)*VLOOKUP('Données projet'!$B$11,Paramètres!$A$1:$I$89,5,0)</f>
        <v>5.3648818720830608E-13</v>
      </c>
      <c r="BF162" s="13">
        <f t="shared" si="167"/>
        <v>6.6281362235424649E-12</v>
      </c>
      <c r="BG162" s="20">
        <f t="shared" si="168"/>
        <v>1.2478387515390925E-11</v>
      </c>
      <c r="BH162" s="59">
        <f t="shared" si="116"/>
        <v>293.33333333334582</v>
      </c>
      <c r="BI162" s="59">
        <f ca="1">AVERAGE(OFFSET($BH$3,0,0,'Données projet'!$E$11+1,1))-AVERAGE(OFFSET($H$3,0,0,'Données projet'!$E$11+1,1))</f>
        <v>312.89478437044261</v>
      </c>
      <c r="BJ162" s="59">
        <f t="shared" si="146"/>
        <v>276.16555507854571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>
        <f>EXP(-LN(2)/35)*BP161+(1-EXP(-LN(2)/35))/(LN(2)/35)*BL162*BM162*VLOOKUP('Données projet'!$B$11,Paramètres!$A$1:$I$89,3,0)*0.475*44/12</f>
        <v>83.046845177110598</v>
      </c>
      <c r="BQ162" s="21">
        <f>EXP(-LN(2)/25)*BQ161+(1-EXP(-LN(2)/25))/(LN(2)/25)*Calculateur!BL162*Calculateur!BN162*VLOOKUP('Données projet'!$B$11,Paramètres!$A$1:$I$89,3,0)*0.475*44/12</f>
        <v>17.901071882698929</v>
      </c>
      <c r="BR162" s="21">
        <f>EXP(-LN(2)/2)*BR161+(1-EXP(-LN(2)/2))/(LN(2)/2)*BL162*BO162*VLOOKUP('Données projet'!$B$11,Paramètres!$A$1:$I$89,3,0)*0.475*44/12</f>
        <v>2.686363828571613E-2</v>
      </c>
      <c r="BS162" s="22">
        <f t="shared" si="169"/>
        <v>100.97478069809524</v>
      </c>
      <c r="BT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0</v>
      </c>
      <c r="BZ162" s="13" t="e">
        <f>BY162*VLOOKUP('Données projet'!$B$12,Paramètres!$A$1:$I$89,3,0)*VLOOKUP('Données projet'!$B$12,Paramètres!$A$1:$I$89,5,0)</f>
        <v>#N/A</v>
      </c>
      <c r="CA162" s="13" t="e">
        <f t="shared" si="170"/>
        <v>#N/A</v>
      </c>
      <c r="CB162" s="20" t="e">
        <f t="shared" si="171"/>
        <v>#N/A</v>
      </c>
      <c r="CC162" s="59" t="e">
        <f t="shared" si="119"/>
        <v>#N/A</v>
      </c>
      <c r="CD162" s="59" t="e">
        <f ca="1">AVERAGE(OFFSET($CC$3,0,0,'Données projet'!$E$12+1,1))-AVERAGE(OFFSET($H$3,0,0,'Données projet'!$E$12+1,1))</f>
        <v>#N/A</v>
      </c>
      <c r="CE162" s="59" t="e">
        <f t="shared" si="148"/>
        <v>#N/A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 t="e">
        <f>EXP(-LN(2)/35)*CK161+(1-EXP(-LN(2)/35))/(LN(2)/35)*CG162*CH162*VLOOKUP('Données projet'!$B$12,Paramètres!$A$1:$I$89,3,0)*0.475*44/12</f>
        <v>#N/A</v>
      </c>
      <c r="CL162" s="21" t="e">
        <f>EXP(-LN(2)/25)*CL161+(1-EXP(-LN(2)/25))/(LN(2)/25)*Calculateur!CG162*Calculateur!CI162*VLOOKUP('Données projet'!$B$12,Paramètres!$A$1:$I$89,3,0)*0.475*44/12</f>
        <v>#N/A</v>
      </c>
      <c r="CM162" s="21" t="e">
        <f>EXP(-LN(2)/2)*CM161+(1-EXP(-LN(2)/2))/(LN(2)/2)*CG162*CJ162*VLOOKUP('Données projet'!$B$12,Paramètres!$A$1:$I$89,3,0)*0.475*44/12</f>
        <v>#N/A</v>
      </c>
      <c r="CN162" s="22" t="e">
        <f t="shared" si="172"/>
        <v>#N/A</v>
      </c>
      <c r="CO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0</v>
      </c>
      <c r="CU162" s="17" t="e">
        <f>CT162*VLOOKUP('Données projet'!$B$13,Paramètres!$A$1:$I$89,3,0)*VLOOKUP('Données projet'!$B$13,Paramètres!$A$1:$I$89,5,0)</f>
        <v>#N/A</v>
      </c>
      <c r="CV162" s="13" t="e">
        <f t="shared" si="173"/>
        <v>#N/A</v>
      </c>
      <c r="CW162" s="20" t="e">
        <f t="shared" si="174"/>
        <v>#N/A</v>
      </c>
      <c r="CX162" s="59" t="e">
        <f t="shared" si="122"/>
        <v>#N/A</v>
      </c>
      <c r="CY162" s="59" t="e">
        <f ca="1">AVERAGE(OFFSET($CX$3,0,0,'Données projet'!$E$13+1,1))-AVERAGE(OFFSET($H$3,0,0,'Données projet'!$E$13+1,1))</f>
        <v>#N/A</v>
      </c>
      <c r="CZ162" s="59" t="e">
        <f t="shared" si="150"/>
        <v>#N/A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 t="e">
        <f>EXP(-LN(2)/35)*DF161+(1-EXP(-LN(2)/35))/(LN(2)/35)*DB162*DC162*VLOOKUP('Données projet'!$B$13,Paramètres!$A$1:$I$89,3,0)*0.475*44/12</f>
        <v>#N/A</v>
      </c>
      <c r="DG162" s="21" t="e">
        <f>EXP(-LN(2)/25)*DG161+(1-EXP(-LN(2)/25))/(LN(2)/25)*Calculateur!DB162*Calculateur!DD162*VLOOKUP('Données projet'!$B$13,Paramètres!$A$1:$I$89,3,0)*0.475*44/12</f>
        <v>#N/A</v>
      </c>
      <c r="DH162" s="21" t="e">
        <f>EXP(-LN(2)/2)*DH161+(1-EXP(-LN(2)/2))/(LN(2)/2)*DB162*DE162*VLOOKUP('Données projet'!$B$13,Paramètres!$A$1:$I$89,3,0)*0.475*44/12</f>
        <v>#N/A</v>
      </c>
      <c r="DI162" s="22" t="e">
        <f t="shared" si="175"/>
        <v>#N/A</v>
      </c>
      <c r="DJ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0</v>
      </c>
      <c r="DP162" s="17" t="e">
        <f>DO162*VLOOKUP('Données projet'!$B$14,Paramètres!$A$1:$I$89,3,0)*VLOOKUP('Données projet'!$B$14,Paramètres!$A$1:$I$89,5,0)</f>
        <v>#N/A</v>
      </c>
      <c r="DQ162" s="13" t="e">
        <f t="shared" si="176"/>
        <v>#N/A</v>
      </c>
      <c r="DR162" s="20" t="e">
        <f t="shared" si="177"/>
        <v>#N/A</v>
      </c>
      <c r="DS162" s="59" t="e">
        <f t="shared" si="125"/>
        <v>#N/A</v>
      </c>
      <c r="DT162" s="59" t="e">
        <f ca="1">AVERAGE(OFFSET($DS$3,0,0,'Données projet'!$E$14+1,1))-AVERAGE(OFFSET($H$3,0,0,'Données projet'!$E$14+1,1))</f>
        <v>#N/A</v>
      </c>
      <c r="DU162" s="59" t="e">
        <f t="shared" si="152"/>
        <v>#N/A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 t="e">
        <f>EXP(-LN(2)/35)*EA161+(1-EXP(-LN(2)/35))/(LN(2)/35)*DW162*DX162*VLOOKUP('Données projet'!$B$14,Paramètres!$A$1:$I$89,3,0)*0.475*44/12</f>
        <v>#N/A</v>
      </c>
      <c r="EB162" s="21" t="e">
        <f>EXP(-LN(2)/25)*EB161+(1-EXP(-LN(2)/25))/(LN(2)/25)*Calculateur!DW162*Calculateur!DY162*VLOOKUP('Données projet'!$B$14,Paramètres!$A$1:$I$89,3,0)*0.475*44/12</f>
        <v>#N/A</v>
      </c>
      <c r="EC162" s="21" t="e">
        <f>EXP(-LN(2)/2)*EC161+(1-EXP(-LN(2)/2))/(LN(2)/2)*DW162*DZ162*VLOOKUP('Données projet'!$B$14,Paramètres!$A$1:$I$89,3,0)*0.475*44/12</f>
        <v>#N/A</v>
      </c>
      <c r="ED162" s="22" t="e">
        <f t="shared" si="178"/>
        <v>#N/A</v>
      </c>
      <c r="EE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0</v>
      </c>
      <c r="EK162" s="17" t="e">
        <f>EJ162*VLOOKUP('Données projet'!$B$15,Paramètres!$A$1:$I$89,3,0)*VLOOKUP('Données projet'!$B$15,Paramètres!$A$1:$I$89,5,0)</f>
        <v>#N/A</v>
      </c>
      <c r="EL162" s="13" t="e">
        <f t="shared" si="179"/>
        <v>#N/A</v>
      </c>
      <c r="EM162" s="20" t="e">
        <f t="shared" si="180"/>
        <v>#N/A</v>
      </c>
      <c r="EN162" s="59" t="e">
        <f t="shared" si="128"/>
        <v>#N/A</v>
      </c>
      <c r="EO162" s="59" t="e">
        <f ca="1">AVERAGE(OFFSET($EN$3,0,0,'Données projet'!$E$15+1,1))-AVERAGE(OFFSET($H$3,0,0,'Données projet'!$E$15+1,1))</f>
        <v>#N/A</v>
      </c>
      <c r="EP162" s="59" t="e">
        <f t="shared" si="154"/>
        <v>#N/A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 t="e">
        <f>EXP(-LN(2)/35)*EV161+(1-EXP(-LN(2)/35))/(LN(2)/35)*ER162*ES162*VLOOKUP('Données projet'!$B$15,Paramètres!$A$1:$I$89,3,0)*0.475*44/12</f>
        <v>#N/A</v>
      </c>
      <c r="EW162" s="21" t="e">
        <f>EXP(-LN(2)/25)*EW161+(1-EXP(-LN(2)/25))/(LN(2)/25)*Calculateur!ER162*Calculateur!ET162*VLOOKUP('Données projet'!$B$15,Paramètres!$A$1:$I$89,3,0)*0.475*44/12</f>
        <v>#N/A</v>
      </c>
      <c r="EX162" s="21" t="e">
        <f>EXP(-LN(2)/2)*EX161+(1-EXP(-LN(2)/2))/(LN(2)/2)*ER162*EU162*VLOOKUP('Données projet'!$B$15,Paramètres!$A$1:$I$89,3,0)*0.475*44/12</f>
        <v>#N/A</v>
      </c>
      <c r="EY162" s="22" t="e">
        <f t="shared" si="181"/>
        <v>#N/A</v>
      </c>
      <c r="EZ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9" t="e">
        <f t="shared" si="131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45">
      <c r="A163" s="10">
        <f t="shared" si="161"/>
        <v>160</v>
      </c>
      <c r="B163" s="73">
        <f>'Scénario référence'!$B$16*5+'Scénario référence'!$B$17*0+'Scénario référence'!$B$18*5</f>
        <v>0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142.27200000000005</v>
      </c>
      <c r="D163" s="11">
        <f t="shared" si="140"/>
        <v>36.817000136193258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">
        <f>IF(OR('Scénario référence'!$F$8&gt;0,'Scénario référence'!$F$9&gt;0),('Scénario référence'!$F$8+'Scénario référence'!$F$9)*10,0)</f>
        <v>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1382.4414045600888</v>
      </c>
      <c r="H163" s="67">
        <f t="shared" si="110"/>
        <v>568.58000857053662</v>
      </c>
      <c r="I163" s="7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1.7053025658242404E-13</v>
      </c>
      <c r="O163" s="13">
        <f>N163*VLOOKUP('Données projet'!$B$9,Paramètres!$A$1:$I$89,3,0)*VLOOKUP('Données projet'!$B$9,Paramètres!$A$1:$I$89,5,0)</f>
        <v>9.5326413429575044E-14</v>
      </c>
      <c r="P163" s="13">
        <f t="shared" si="141"/>
        <v>1.4400742856080346E-12</v>
      </c>
      <c r="Q163" s="20">
        <f t="shared" si="162"/>
        <v>2.6741562174905032E-12</v>
      </c>
      <c r="R163" s="59">
        <f t="shared" si="109"/>
        <v>293.33333333333599</v>
      </c>
      <c r="S163" s="59">
        <f ca="1">AVERAGE(OFFSET($R$3,0,0,'Données projet'!$E$9+1,1))-AVERAGE(OFFSET($H$3,0,0,'Données projet'!$E$9+1,1))</f>
        <v>280.69347314340195</v>
      </c>
      <c r="T163" s="59">
        <f t="shared" si="142"/>
        <v>152.40533828556482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77.279399680564453</v>
      </c>
      <c r="AA163" s="21">
        <f>EXP(-LN(2)/25)*AA162+(1-EXP(-LN(2)/25))/(LN(2)/25)*Calculateur!V163*Calculateur!X163*VLOOKUP('Données projet'!$B$9,Paramètres!$A$1:$I$89,3,0)*0.475*44/12</f>
        <v>18.015074649787479</v>
      </c>
      <c r="AB163" s="21">
        <f>EXP(-LN(2)/2)*AB162+(1-EXP(-LN(2)/2))/(LN(2)/2)*V163*Y163*VLOOKUP('Données projet'!$B$9,Paramètres!$A$1:$I$89,3,0)*0.475*44/12</f>
        <v>5.9254920486307577E-5</v>
      </c>
      <c r="AC163" s="22">
        <f t="shared" si="163"/>
        <v>95.294533585272418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0</v>
      </c>
      <c r="AJ163" s="13">
        <f>AI163*VLOOKUP('Données projet'!$B$10,Paramètres!$A$1:$I$89,3,0)*VLOOKUP('Données projet'!$B$10,Paramètres!$A$1:$I$89,5,0)</f>
        <v>0</v>
      </c>
      <c r="AK163" s="13" t="e">
        <f t="shared" si="164"/>
        <v>#NUM!</v>
      </c>
      <c r="AL163" s="20" t="e">
        <f t="shared" si="165"/>
        <v>#NUM!</v>
      </c>
      <c r="AM163" s="59" t="e">
        <f t="shared" si="113"/>
        <v>#NUM!</v>
      </c>
      <c r="AN163" s="59">
        <f ca="1">AVERAGE(OFFSET($AM$3,0,0,'Données projet'!$E$10+1,1))-AVERAGE(OFFSET($H$3,0,0,'Données projet'!$E$10+1,1))</f>
        <v>179.4725256147085</v>
      </c>
      <c r="AO163" s="59">
        <f t="shared" si="144"/>
        <v>282.16750121151176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19.926924885350282</v>
      </c>
      <c r="AV163" s="21">
        <f>EXP(-LN(2)/25)*AV162+(1-EXP(-LN(2)/25))/(LN(2)/25)*Calculateur!AQ163*Calculateur!AS163*VLOOKUP('Données projet'!$B$10,Paramètres!$A$1:$I$89,3,0)*0.475*44/12</f>
        <v>3.0539327821661044</v>
      </c>
      <c r="AW163" s="21">
        <f>EXP(-LN(2)/2)*AW162+(1-EXP(-LN(2)/2))/(LN(2)/2)*AQ163*AT163*VLOOKUP('Données projet'!$B$10,Paramètres!$A$1:$I$89,3,0)*0.475*44/12</f>
        <v>3.8298606841213164E-14</v>
      </c>
      <c r="AX163" s="21">
        <f t="shared" si="166"/>
        <v>22.980857667516425</v>
      </c>
      <c r="AY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6.2527760746888816E-13</v>
      </c>
      <c r="BE163" s="13">
        <f>BD163*VLOOKUP('Données projet'!$B$11,Paramètres!$A$1:$I$89,3,0)*VLOOKUP('Données projet'!$B$11,Paramètres!$A$1:$I$89,5,0)</f>
        <v>5.3648818720830608E-13</v>
      </c>
      <c r="BF163" s="13">
        <f t="shared" si="167"/>
        <v>6.6281362235424649E-12</v>
      </c>
      <c r="BG163" s="20">
        <f t="shared" si="168"/>
        <v>1.2478387515390925E-11</v>
      </c>
      <c r="BH163" s="59">
        <f t="shared" si="116"/>
        <v>293.33333333334582</v>
      </c>
      <c r="BI163" s="59">
        <f ca="1">AVERAGE(OFFSET($BH$3,0,0,'Données projet'!$E$11+1,1))-AVERAGE(OFFSET($H$3,0,0,'Données projet'!$E$11+1,1))</f>
        <v>312.89478437044261</v>
      </c>
      <c r="BJ163" s="59">
        <f t="shared" si="146"/>
        <v>276.16555507854571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>
        <f>EXP(-LN(2)/35)*BP162+(1-EXP(-LN(2)/35))/(LN(2)/35)*BL163*BM163*VLOOKUP('Données projet'!$B$11,Paramètres!$A$1:$I$89,3,0)*0.475*44/12</f>
        <v>81.418347196761388</v>
      </c>
      <c r="BQ163" s="21">
        <f>EXP(-LN(2)/25)*BQ162+(1-EXP(-LN(2)/25))/(LN(2)/25)*Calculateur!BL163*Calculateur!BN163*VLOOKUP('Données projet'!$B$11,Paramètres!$A$1:$I$89,3,0)*0.475*44/12</f>
        <v>17.411566130690069</v>
      </c>
      <c r="BR163" s="21">
        <f>EXP(-LN(2)/2)*BR162+(1-EXP(-LN(2)/2))/(LN(2)/2)*BL163*BO163*VLOOKUP('Données projet'!$B$11,Paramètres!$A$1:$I$89,3,0)*0.475*44/12</f>
        <v>1.8995460799172439E-2</v>
      </c>
      <c r="BS163" s="22">
        <f t="shared" si="169"/>
        <v>98.84890878825064</v>
      </c>
      <c r="BT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0</v>
      </c>
      <c r="BZ163" s="13" t="e">
        <f>BY163*VLOOKUP('Données projet'!$B$12,Paramètres!$A$1:$I$89,3,0)*VLOOKUP('Données projet'!$B$12,Paramètres!$A$1:$I$89,5,0)</f>
        <v>#N/A</v>
      </c>
      <c r="CA163" s="13" t="e">
        <f t="shared" si="170"/>
        <v>#N/A</v>
      </c>
      <c r="CB163" s="20" t="e">
        <f t="shared" si="171"/>
        <v>#N/A</v>
      </c>
      <c r="CC163" s="59" t="e">
        <f t="shared" si="119"/>
        <v>#N/A</v>
      </c>
      <c r="CD163" s="59" t="e">
        <f ca="1">AVERAGE(OFFSET($CC$3,0,0,'Données projet'!$E$12+1,1))-AVERAGE(OFFSET($H$3,0,0,'Données projet'!$E$12+1,1))</f>
        <v>#N/A</v>
      </c>
      <c r="CE163" s="59" t="e">
        <f t="shared" si="148"/>
        <v>#N/A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 t="e">
        <f>EXP(-LN(2)/35)*CK162+(1-EXP(-LN(2)/35))/(LN(2)/35)*CG163*CH163*VLOOKUP('Données projet'!$B$12,Paramètres!$A$1:$I$89,3,0)*0.475*44/12</f>
        <v>#N/A</v>
      </c>
      <c r="CL163" s="21" t="e">
        <f>EXP(-LN(2)/25)*CL162+(1-EXP(-LN(2)/25))/(LN(2)/25)*Calculateur!CG163*Calculateur!CI163*VLOOKUP('Données projet'!$B$12,Paramètres!$A$1:$I$89,3,0)*0.475*44/12</f>
        <v>#N/A</v>
      </c>
      <c r="CM163" s="21" t="e">
        <f>EXP(-LN(2)/2)*CM162+(1-EXP(-LN(2)/2))/(LN(2)/2)*CG163*CJ163*VLOOKUP('Données projet'!$B$12,Paramètres!$A$1:$I$89,3,0)*0.475*44/12</f>
        <v>#N/A</v>
      </c>
      <c r="CN163" s="22" t="e">
        <f t="shared" si="172"/>
        <v>#N/A</v>
      </c>
      <c r="CO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0</v>
      </c>
      <c r="CU163" s="17" t="e">
        <f>CT163*VLOOKUP('Données projet'!$B$13,Paramètres!$A$1:$I$89,3,0)*VLOOKUP('Données projet'!$B$13,Paramètres!$A$1:$I$89,5,0)</f>
        <v>#N/A</v>
      </c>
      <c r="CV163" s="13" t="e">
        <f t="shared" si="173"/>
        <v>#N/A</v>
      </c>
      <c r="CW163" s="20" t="e">
        <f t="shared" si="174"/>
        <v>#N/A</v>
      </c>
      <c r="CX163" s="59" t="e">
        <f t="shared" si="122"/>
        <v>#N/A</v>
      </c>
      <c r="CY163" s="59" t="e">
        <f ca="1">AVERAGE(OFFSET($CX$3,0,0,'Données projet'!$E$13+1,1))-AVERAGE(OFFSET($H$3,0,0,'Données projet'!$E$13+1,1))</f>
        <v>#N/A</v>
      </c>
      <c r="CZ163" s="59" t="e">
        <f t="shared" si="150"/>
        <v>#N/A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 t="e">
        <f>EXP(-LN(2)/35)*DF162+(1-EXP(-LN(2)/35))/(LN(2)/35)*DB163*DC163*VLOOKUP('Données projet'!$B$13,Paramètres!$A$1:$I$89,3,0)*0.475*44/12</f>
        <v>#N/A</v>
      </c>
      <c r="DG163" s="21" t="e">
        <f>EXP(-LN(2)/25)*DG162+(1-EXP(-LN(2)/25))/(LN(2)/25)*Calculateur!DB163*Calculateur!DD163*VLOOKUP('Données projet'!$B$13,Paramètres!$A$1:$I$89,3,0)*0.475*44/12</f>
        <v>#N/A</v>
      </c>
      <c r="DH163" s="21" t="e">
        <f>EXP(-LN(2)/2)*DH162+(1-EXP(-LN(2)/2))/(LN(2)/2)*DB163*DE163*VLOOKUP('Données projet'!$B$13,Paramètres!$A$1:$I$89,3,0)*0.475*44/12</f>
        <v>#N/A</v>
      </c>
      <c r="DI163" s="22" t="e">
        <f t="shared" si="175"/>
        <v>#N/A</v>
      </c>
      <c r="DJ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0</v>
      </c>
      <c r="DP163" s="17" t="e">
        <f>DO163*VLOOKUP('Données projet'!$B$14,Paramètres!$A$1:$I$89,3,0)*VLOOKUP('Données projet'!$B$14,Paramètres!$A$1:$I$89,5,0)</f>
        <v>#N/A</v>
      </c>
      <c r="DQ163" s="13" t="e">
        <f t="shared" si="176"/>
        <v>#N/A</v>
      </c>
      <c r="DR163" s="20" t="e">
        <f t="shared" si="177"/>
        <v>#N/A</v>
      </c>
      <c r="DS163" s="59" t="e">
        <f t="shared" si="125"/>
        <v>#N/A</v>
      </c>
      <c r="DT163" s="59" t="e">
        <f ca="1">AVERAGE(OFFSET($DS$3,0,0,'Données projet'!$E$14+1,1))-AVERAGE(OFFSET($H$3,0,0,'Données projet'!$E$14+1,1))</f>
        <v>#N/A</v>
      </c>
      <c r="DU163" s="59" t="e">
        <f t="shared" si="152"/>
        <v>#N/A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 t="e">
        <f>EXP(-LN(2)/35)*EA162+(1-EXP(-LN(2)/35))/(LN(2)/35)*DW163*DX163*VLOOKUP('Données projet'!$B$14,Paramètres!$A$1:$I$89,3,0)*0.475*44/12</f>
        <v>#N/A</v>
      </c>
      <c r="EB163" s="21" t="e">
        <f>EXP(-LN(2)/25)*EB162+(1-EXP(-LN(2)/25))/(LN(2)/25)*Calculateur!DW163*Calculateur!DY163*VLOOKUP('Données projet'!$B$14,Paramètres!$A$1:$I$89,3,0)*0.475*44/12</f>
        <v>#N/A</v>
      </c>
      <c r="EC163" s="21" t="e">
        <f>EXP(-LN(2)/2)*EC162+(1-EXP(-LN(2)/2))/(LN(2)/2)*DW163*DZ163*VLOOKUP('Données projet'!$B$14,Paramètres!$A$1:$I$89,3,0)*0.475*44/12</f>
        <v>#N/A</v>
      </c>
      <c r="ED163" s="22" t="e">
        <f t="shared" si="178"/>
        <v>#N/A</v>
      </c>
      <c r="EE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0</v>
      </c>
      <c r="EK163" s="17" t="e">
        <f>EJ163*VLOOKUP('Données projet'!$B$15,Paramètres!$A$1:$I$89,3,0)*VLOOKUP('Données projet'!$B$15,Paramètres!$A$1:$I$89,5,0)</f>
        <v>#N/A</v>
      </c>
      <c r="EL163" s="13" t="e">
        <f t="shared" si="179"/>
        <v>#N/A</v>
      </c>
      <c r="EM163" s="20" t="e">
        <f t="shared" si="180"/>
        <v>#N/A</v>
      </c>
      <c r="EN163" s="59" t="e">
        <f t="shared" si="128"/>
        <v>#N/A</v>
      </c>
      <c r="EO163" s="59" t="e">
        <f ca="1">AVERAGE(OFFSET($EN$3,0,0,'Données projet'!$E$15+1,1))-AVERAGE(OFFSET($H$3,0,0,'Données projet'!$E$15+1,1))</f>
        <v>#N/A</v>
      </c>
      <c r="EP163" s="59" t="e">
        <f t="shared" si="154"/>
        <v>#N/A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 t="e">
        <f>EXP(-LN(2)/35)*EV162+(1-EXP(-LN(2)/35))/(LN(2)/35)*ER163*ES163*VLOOKUP('Données projet'!$B$15,Paramètres!$A$1:$I$89,3,0)*0.475*44/12</f>
        <v>#N/A</v>
      </c>
      <c r="EW163" s="21" t="e">
        <f>EXP(-LN(2)/25)*EW162+(1-EXP(-LN(2)/25))/(LN(2)/25)*Calculateur!ER163*Calculateur!ET163*VLOOKUP('Données projet'!$B$15,Paramètres!$A$1:$I$89,3,0)*0.475*44/12</f>
        <v>#N/A</v>
      </c>
      <c r="EX163" s="21" t="e">
        <f>EXP(-LN(2)/2)*EX162+(1-EXP(-LN(2)/2))/(LN(2)/2)*ER163*EU163*VLOOKUP('Données projet'!$B$15,Paramètres!$A$1:$I$89,3,0)*0.475*44/12</f>
        <v>#N/A</v>
      </c>
      <c r="EY163" s="22" t="e">
        <f t="shared" si="181"/>
        <v>#N/A</v>
      </c>
      <c r="EZ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9" t="e">
        <f t="shared" si="131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45">
      <c r="A164" s="10">
        <f t="shared" si="161"/>
        <v>161</v>
      </c>
      <c r="B164" s="73">
        <f>'Scénario référence'!$B$16*5+'Scénario référence'!$B$17*0+'Scénario référence'!$B$18*5</f>
        <v>0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143.16120000000004</v>
      </c>
      <c r="D164" s="11">
        <f t="shared" si="140"/>
        <v>37.020248232558458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">
        <f>IF(OR('Scénario référence'!$F$8&gt;0,'Scénario référence'!$F$9&gt;0),('Scénario référence'!$F$8+'Scénario référence'!$F$9)*10,0)</f>
        <v>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1390.8743372337849</v>
      </c>
      <c r="H164" s="67">
        <f t="shared" si="110"/>
        <v>570.48268900503945</v>
      </c>
      <c r="I164" s="7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1.7053025658242404E-13</v>
      </c>
      <c r="O164" s="13">
        <f>N164*VLOOKUP('Données projet'!$B$9,Paramètres!$A$1:$I$89,3,0)*VLOOKUP('Données projet'!$B$9,Paramètres!$A$1:$I$89,5,0)</f>
        <v>9.5326413429575044E-14</v>
      </c>
      <c r="P164" s="13">
        <f t="shared" si="141"/>
        <v>1.4400742856080346E-12</v>
      </c>
      <c r="Q164" s="20">
        <f t="shared" si="162"/>
        <v>2.6741562174905032E-12</v>
      </c>
      <c r="R164" s="59">
        <f t="shared" si="109"/>
        <v>293.33333333333599</v>
      </c>
      <c r="S164" s="59">
        <f ca="1">AVERAGE(OFFSET($R$3,0,0,'Données projet'!$E$9+1,1))-AVERAGE(OFFSET($H$3,0,0,'Données projet'!$E$9+1,1))</f>
        <v>280.69347314340195</v>
      </c>
      <c r="T164" s="59">
        <f t="shared" si="142"/>
        <v>152.40533828556482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75.763997788608123</v>
      </c>
      <c r="AA164" s="21">
        <f>EXP(-LN(2)/25)*AA163+(1-EXP(-LN(2)/25))/(LN(2)/25)*Calculateur!V164*Calculateur!X164*VLOOKUP('Données projet'!$B$9,Paramètres!$A$1:$I$89,3,0)*0.475*44/12</f>
        <v>17.52245148611744</v>
      </c>
      <c r="AB164" s="21">
        <f>EXP(-LN(2)/2)*AB163+(1-EXP(-LN(2)/2))/(LN(2)/2)*V164*Y164*VLOOKUP('Données projet'!$B$9,Paramètres!$A$1:$I$89,3,0)*0.475*44/12</f>
        <v>4.1899556094537768E-5</v>
      </c>
      <c r="AC164" s="22">
        <f t="shared" si="163"/>
        <v>93.28649117428165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0</v>
      </c>
      <c r="AJ164" s="13">
        <f>AI164*VLOOKUP('Données projet'!$B$10,Paramètres!$A$1:$I$89,3,0)*VLOOKUP('Données projet'!$B$10,Paramètres!$A$1:$I$89,5,0)</f>
        <v>0</v>
      </c>
      <c r="AK164" s="13" t="e">
        <f t="shared" si="164"/>
        <v>#NUM!</v>
      </c>
      <c r="AL164" s="20" t="e">
        <f t="shared" si="165"/>
        <v>#NUM!</v>
      </c>
      <c r="AM164" s="59" t="e">
        <f t="shared" si="113"/>
        <v>#NUM!</v>
      </c>
      <c r="AN164" s="59">
        <f ca="1">AVERAGE(OFFSET($AM$3,0,0,'Données projet'!$E$10+1,1))-AVERAGE(OFFSET($H$3,0,0,'Données projet'!$E$10+1,1))</f>
        <v>179.4725256147085</v>
      </c>
      <c r="AO164" s="59">
        <f t="shared" si="144"/>
        <v>282.16750121151176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19.536170042572614</v>
      </c>
      <c r="AV164" s="21">
        <f>EXP(-LN(2)/25)*AV163+(1-EXP(-LN(2)/25))/(LN(2)/25)*Calculateur!AQ164*Calculateur!AS164*VLOOKUP('Données projet'!$B$10,Paramètres!$A$1:$I$89,3,0)*0.475*44/12</f>
        <v>2.970422829638427</v>
      </c>
      <c r="AW164" s="21">
        <f>EXP(-LN(2)/2)*AW163+(1-EXP(-LN(2)/2))/(LN(2)/2)*AQ164*AT164*VLOOKUP('Données projet'!$B$10,Paramètres!$A$1:$I$89,3,0)*0.475*44/12</f>
        <v>2.7081204607419329E-14</v>
      </c>
      <c r="AX164" s="21">
        <f t="shared" si="166"/>
        <v>22.506592872211069</v>
      </c>
      <c r="AY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6.2527760746888816E-13</v>
      </c>
      <c r="BE164" s="13">
        <f>BD164*VLOOKUP('Données projet'!$B$11,Paramètres!$A$1:$I$89,3,0)*VLOOKUP('Données projet'!$B$11,Paramètres!$A$1:$I$89,5,0)</f>
        <v>5.3648818720830608E-13</v>
      </c>
      <c r="BF164" s="13">
        <f t="shared" si="167"/>
        <v>6.6281362235424649E-12</v>
      </c>
      <c r="BG164" s="20">
        <f t="shared" si="168"/>
        <v>1.2478387515390925E-11</v>
      </c>
      <c r="BH164" s="59">
        <f t="shared" si="116"/>
        <v>293.33333333334582</v>
      </c>
      <c r="BI164" s="59">
        <f ca="1">AVERAGE(OFFSET($BH$3,0,0,'Données projet'!$E$11+1,1))-AVERAGE(OFFSET($H$3,0,0,'Données projet'!$E$11+1,1))</f>
        <v>312.89478437044261</v>
      </c>
      <c r="BJ164" s="59">
        <f t="shared" si="146"/>
        <v>276.16555507854571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>
        <f>EXP(-LN(2)/35)*BP163+(1-EXP(-LN(2)/35))/(LN(2)/35)*BL164*BM164*VLOOKUP('Données projet'!$B$11,Paramètres!$A$1:$I$89,3,0)*0.475*44/12</f>
        <v>79.821783068521142</v>
      </c>
      <c r="BQ164" s="21">
        <f>EXP(-LN(2)/25)*BQ163+(1-EXP(-LN(2)/25))/(LN(2)/25)*Calculateur!BL164*Calculateur!BN164*VLOOKUP('Données projet'!$B$11,Paramètres!$A$1:$I$89,3,0)*0.475*44/12</f>
        <v>16.935445939211881</v>
      </c>
      <c r="BR164" s="21">
        <f>EXP(-LN(2)/2)*BR163+(1-EXP(-LN(2)/2))/(LN(2)/2)*BL164*BO164*VLOOKUP('Données projet'!$B$11,Paramètres!$A$1:$I$89,3,0)*0.475*44/12</f>
        <v>1.3431819142858068E-2</v>
      </c>
      <c r="BS164" s="22">
        <f t="shared" si="169"/>
        <v>96.770660826875883</v>
      </c>
      <c r="BT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0</v>
      </c>
      <c r="BZ164" s="13" t="e">
        <f>BY164*VLOOKUP('Données projet'!$B$12,Paramètres!$A$1:$I$89,3,0)*VLOOKUP('Données projet'!$B$12,Paramètres!$A$1:$I$89,5,0)</f>
        <v>#N/A</v>
      </c>
      <c r="CA164" s="13" t="e">
        <f t="shared" si="170"/>
        <v>#N/A</v>
      </c>
      <c r="CB164" s="20" t="e">
        <f t="shared" si="171"/>
        <v>#N/A</v>
      </c>
      <c r="CC164" s="59" t="e">
        <f t="shared" si="119"/>
        <v>#N/A</v>
      </c>
      <c r="CD164" s="59" t="e">
        <f ca="1">AVERAGE(OFFSET($CC$3,0,0,'Données projet'!$E$12+1,1))-AVERAGE(OFFSET($H$3,0,0,'Données projet'!$E$12+1,1))</f>
        <v>#N/A</v>
      </c>
      <c r="CE164" s="59" t="e">
        <f t="shared" si="148"/>
        <v>#N/A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 t="e">
        <f>EXP(-LN(2)/35)*CK163+(1-EXP(-LN(2)/35))/(LN(2)/35)*CG164*CH164*VLOOKUP('Données projet'!$B$12,Paramètres!$A$1:$I$89,3,0)*0.475*44/12</f>
        <v>#N/A</v>
      </c>
      <c r="CL164" s="21" t="e">
        <f>EXP(-LN(2)/25)*CL163+(1-EXP(-LN(2)/25))/(LN(2)/25)*Calculateur!CG164*Calculateur!CI164*VLOOKUP('Données projet'!$B$12,Paramètres!$A$1:$I$89,3,0)*0.475*44/12</f>
        <v>#N/A</v>
      </c>
      <c r="CM164" s="21" t="e">
        <f>EXP(-LN(2)/2)*CM163+(1-EXP(-LN(2)/2))/(LN(2)/2)*CG164*CJ164*VLOOKUP('Données projet'!$B$12,Paramètres!$A$1:$I$89,3,0)*0.475*44/12</f>
        <v>#N/A</v>
      </c>
      <c r="CN164" s="22" t="e">
        <f t="shared" si="172"/>
        <v>#N/A</v>
      </c>
      <c r="CO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0</v>
      </c>
      <c r="CU164" s="17" t="e">
        <f>CT164*VLOOKUP('Données projet'!$B$13,Paramètres!$A$1:$I$89,3,0)*VLOOKUP('Données projet'!$B$13,Paramètres!$A$1:$I$89,5,0)</f>
        <v>#N/A</v>
      </c>
      <c r="CV164" s="13" t="e">
        <f t="shared" si="173"/>
        <v>#N/A</v>
      </c>
      <c r="CW164" s="20" t="e">
        <f t="shared" si="174"/>
        <v>#N/A</v>
      </c>
      <c r="CX164" s="59" t="e">
        <f t="shared" si="122"/>
        <v>#N/A</v>
      </c>
      <c r="CY164" s="59" t="e">
        <f ca="1">AVERAGE(OFFSET($CX$3,0,0,'Données projet'!$E$13+1,1))-AVERAGE(OFFSET($H$3,0,0,'Données projet'!$E$13+1,1))</f>
        <v>#N/A</v>
      </c>
      <c r="CZ164" s="59" t="e">
        <f t="shared" si="150"/>
        <v>#N/A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 t="e">
        <f>EXP(-LN(2)/35)*DF163+(1-EXP(-LN(2)/35))/(LN(2)/35)*DB164*DC164*VLOOKUP('Données projet'!$B$13,Paramètres!$A$1:$I$89,3,0)*0.475*44/12</f>
        <v>#N/A</v>
      </c>
      <c r="DG164" s="21" t="e">
        <f>EXP(-LN(2)/25)*DG163+(1-EXP(-LN(2)/25))/(LN(2)/25)*Calculateur!DB164*Calculateur!DD164*VLOOKUP('Données projet'!$B$13,Paramètres!$A$1:$I$89,3,0)*0.475*44/12</f>
        <v>#N/A</v>
      </c>
      <c r="DH164" s="21" t="e">
        <f>EXP(-LN(2)/2)*DH163+(1-EXP(-LN(2)/2))/(LN(2)/2)*DB164*DE164*VLOOKUP('Données projet'!$B$13,Paramètres!$A$1:$I$89,3,0)*0.475*44/12</f>
        <v>#N/A</v>
      </c>
      <c r="DI164" s="22" t="e">
        <f t="shared" si="175"/>
        <v>#N/A</v>
      </c>
      <c r="DJ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0</v>
      </c>
      <c r="DP164" s="17" t="e">
        <f>DO164*VLOOKUP('Données projet'!$B$14,Paramètres!$A$1:$I$89,3,0)*VLOOKUP('Données projet'!$B$14,Paramètres!$A$1:$I$89,5,0)</f>
        <v>#N/A</v>
      </c>
      <c r="DQ164" s="13" t="e">
        <f t="shared" si="176"/>
        <v>#N/A</v>
      </c>
      <c r="DR164" s="20" t="e">
        <f t="shared" si="177"/>
        <v>#N/A</v>
      </c>
      <c r="DS164" s="59" t="e">
        <f t="shared" si="125"/>
        <v>#N/A</v>
      </c>
      <c r="DT164" s="59" t="e">
        <f ca="1">AVERAGE(OFFSET($DS$3,0,0,'Données projet'!$E$14+1,1))-AVERAGE(OFFSET($H$3,0,0,'Données projet'!$E$14+1,1))</f>
        <v>#N/A</v>
      </c>
      <c r="DU164" s="59" t="e">
        <f t="shared" si="152"/>
        <v>#N/A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 t="e">
        <f>EXP(-LN(2)/35)*EA163+(1-EXP(-LN(2)/35))/(LN(2)/35)*DW164*DX164*VLOOKUP('Données projet'!$B$14,Paramètres!$A$1:$I$89,3,0)*0.475*44/12</f>
        <v>#N/A</v>
      </c>
      <c r="EB164" s="21" t="e">
        <f>EXP(-LN(2)/25)*EB163+(1-EXP(-LN(2)/25))/(LN(2)/25)*Calculateur!DW164*Calculateur!DY164*VLOOKUP('Données projet'!$B$14,Paramètres!$A$1:$I$89,3,0)*0.475*44/12</f>
        <v>#N/A</v>
      </c>
      <c r="EC164" s="21" t="e">
        <f>EXP(-LN(2)/2)*EC163+(1-EXP(-LN(2)/2))/(LN(2)/2)*DW164*DZ164*VLOOKUP('Données projet'!$B$14,Paramètres!$A$1:$I$89,3,0)*0.475*44/12</f>
        <v>#N/A</v>
      </c>
      <c r="ED164" s="22" t="e">
        <f t="shared" si="178"/>
        <v>#N/A</v>
      </c>
      <c r="EE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0</v>
      </c>
      <c r="EK164" s="17" t="e">
        <f>EJ164*VLOOKUP('Données projet'!$B$15,Paramètres!$A$1:$I$89,3,0)*VLOOKUP('Données projet'!$B$15,Paramètres!$A$1:$I$89,5,0)</f>
        <v>#N/A</v>
      </c>
      <c r="EL164" s="13" t="e">
        <f t="shared" si="179"/>
        <v>#N/A</v>
      </c>
      <c r="EM164" s="20" t="e">
        <f t="shared" si="180"/>
        <v>#N/A</v>
      </c>
      <c r="EN164" s="59" t="e">
        <f t="shared" si="128"/>
        <v>#N/A</v>
      </c>
      <c r="EO164" s="59" t="e">
        <f ca="1">AVERAGE(OFFSET($EN$3,0,0,'Données projet'!$E$15+1,1))-AVERAGE(OFFSET($H$3,0,0,'Données projet'!$E$15+1,1))</f>
        <v>#N/A</v>
      </c>
      <c r="EP164" s="59" t="e">
        <f t="shared" si="154"/>
        <v>#N/A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 t="e">
        <f>EXP(-LN(2)/35)*EV163+(1-EXP(-LN(2)/35))/(LN(2)/35)*ER164*ES164*VLOOKUP('Données projet'!$B$15,Paramètres!$A$1:$I$89,3,0)*0.475*44/12</f>
        <v>#N/A</v>
      </c>
      <c r="EW164" s="21" t="e">
        <f>EXP(-LN(2)/25)*EW163+(1-EXP(-LN(2)/25))/(LN(2)/25)*Calculateur!ER164*Calculateur!ET164*VLOOKUP('Données projet'!$B$15,Paramètres!$A$1:$I$89,3,0)*0.475*44/12</f>
        <v>#N/A</v>
      </c>
      <c r="EX164" s="21" t="e">
        <f>EXP(-LN(2)/2)*EX163+(1-EXP(-LN(2)/2))/(LN(2)/2)*ER164*EU164*VLOOKUP('Données projet'!$B$15,Paramètres!$A$1:$I$89,3,0)*0.475*44/12</f>
        <v>#N/A</v>
      </c>
      <c r="EY164" s="22" t="e">
        <f t="shared" si="181"/>
        <v>#N/A</v>
      </c>
      <c r="EZ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9" t="e">
        <f t="shared" si="131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45">
      <c r="A165" s="10">
        <f t="shared" si="161"/>
        <v>162</v>
      </c>
      <c r="B165" s="73">
        <f>'Scénario référence'!$B$16*5+'Scénario référence'!$B$17*0+'Scénario référence'!$B$18*5</f>
        <v>0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144.05040000000002</v>
      </c>
      <c r="D165" s="11">
        <f t="shared" si="140"/>
        <v>37.223349436444416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">
        <f>IF(OR('Scénario référence'!$F$8&gt;0,'Scénario référence'!$F$9&gt;0),('Scénario référence'!$F$8+'Scénario référence'!$F$9)*10,0)</f>
        <v>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1399.3061360006238</v>
      </c>
      <c r="H165" s="67">
        <f t="shared" si="110"/>
        <v>572.38511360180746</v>
      </c>
      <c r="I165" s="7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1.7053025658242404E-13</v>
      </c>
      <c r="O165" s="13">
        <f>N165*VLOOKUP('Données projet'!$B$9,Paramètres!$A$1:$I$89,3,0)*VLOOKUP('Données projet'!$B$9,Paramètres!$A$1:$I$89,5,0)</f>
        <v>9.5326413429575044E-14</v>
      </c>
      <c r="P165" s="13">
        <f t="shared" si="141"/>
        <v>1.4400742856080346E-12</v>
      </c>
      <c r="Q165" s="20">
        <f t="shared" si="162"/>
        <v>2.6741562174905032E-12</v>
      </c>
      <c r="R165" s="59">
        <f t="shared" si="109"/>
        <v>293.33333333333599</v>
      </c>
      <c r="S165" s="59">
        <f ca="1">AVERAGE(OFFSET($R$3,0,0,'Données projet'!$E$9+1,1))-AVERAGE(OFFSET($H$3,0,0,'Données projet'!$E$9+1,1))</f>
        <v>280.69347314340195</v>
      </c>
      <c r="T165" s="59">
        <f t="shared" si="142"/>
        <v>152.40533828556482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74.278312003449159</v>
      </c>
      <c r="AA165" s="21">
        <f>EXP(-LN(2)/25)*AA164+(1-EXP(-LN(2)/25))/(LN(2)/25)*Calculateur!V165*Calculateur!X165*VLOOKUP('Données projet'!$B$9,Paramètres!$A$1:$I$89,3,0)*0.475*44/12</f>
        <v>17.043299128763884</v>
      </c>
      <c r="AB165" s="21">
        <f>EXP(-LN(2)/2)*AB164+(1-EXP(-LN(2)/2))/(LN(2)/2)*V165*Y165*VLOOKUP('Données projet'!$B$9,Paramètres!$A$1:$I$89,3,0)*0.475*44/12</f>
        <v>2.9627460243153792E-5</v>
      </c>
      <c r="AC165" s="22">
        <f t="shared" si="163"/>
        <v>91.321640759673272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0</v>
      </c>
      <c r="AJ165" s="13">
        <f>AI165*VLOOKUP('Données projet'!$B$10,Paramètres!$A$1:$I$89,3,0)*VLOOKUP('Données projet'!$B$10,Paramètres!$A$1:$I$89,5,0)</f>
        <v>0</v>
      </c>
      <c r="AK165" s="13" t="e">
        <f t="shared" si="164"/>
        <v>#NUM!</v>
      </c>
      <c r="AL165" s="20" t="e">
        <f t="shared" si="165"/>
        <v>#NUM!</v>
      </c>
      <c r="AM165" s="59" t="e">
        <f t="shared" si="113"/>
        <v>#NUM!</v>
      </c>
      <c r="AN165" s="59">
        <f ca="1">AVERAGE(OFFSET($AM$3,0,0,'Données projet'!$E$10+1,1))-AVERAGE(OFFSET($H$3,0,0,'Données projet'!$E$10+1,1))</f>
        <v>179.4725256147085</v>
      </c>
      <c r="AO165" s="59">
        <f t="shared" si="144"/>
        <v>282.16750121151176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19.153077663924893</v>
      </c>
      <c r="AV165" s="21">
        <f>EXP(-LN(2)/25)*AV164+(1-EXP(-LN(2)/25))/(LN(2)/25)*Calculateur!AQ165*Calculateur!AS165*VLOOKUP('Données projet'!$B$10,Paramètres!$A$1:$I$89,3,0)*0.475*44/12</f>
        <v>2.8891964611542167</v>
      </c>
      <c r="AW165" s="21">
        <f>EXP(-LN(2)/2)*AW164+(1-EXP(-LN(2)/2))/(LN(2)/2)*AQ165*AT165*VLOOKUP('Données projet'!$B$10,Paramètres!$A$1:$I$89,3,0)*0.475*44/12</f>
        <v>1.9149303420606582E-14</v>
      </c>
      <c r="AX165" s="21">
        <f t="shared" si="166"/>
        <v>22.042274125079128</v>
      </c>
      <c r="AY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6.2527760746888816E-13</v>
      </c>
      <c r="BE165" s="13">
        <f>BD165*VLOOKUP('Données projet'!$B$11,Paramètres!$A$1:$I$89,3,0)*VLOOKUP('Données projet'!$B$11,Paramètres!$A$1:$I$89,5,0)</f>
        <v>5.3648818720830608E-13</v>
      </c>
      <c r="BF165" s="13">
        <f t="shared" si="167"/>
        <v>6.6281362235424649E-12</v>
      </c>
      <c r="BG165" s="20">
        <f t="shared" si="168"/>
        <v>1.2478387515390925E-11</v>
      </c>
      <c r="BH165" s="59">
        <f t="shared" si="116"/>
        <v>293.33333333334582</v>
      </c>
      <c r="BI165" s="59">
        <f ca="1">AVERAGE(OFFSET($BH$3,0,0,'Données projet'!$E$11+1,1))-AVERAGE(OFFSET($H$3,0,0,'Données projet'!$E$11+1,1))</f>
        <v>312.89478437044261</v>
      </c>
      <c r="BJ165" s="59">
        <f t="shared" si="146"/>
        <v>276.16555507854571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>
        <f>EXP(-LN(2)/35)*BP164+(1-EXP(-LN(2)/35))/(LN(2)/35)*BL165*BM165*VLOOKUP('Données projet'!$B$11,Paramètres!$A$1:$I$89,3,0)*0.475*44/12</f>
        <v>78.256526589027729</v>
      </c>
      <c r="BQ165" s="21">
        <f>EXP(-LN(2)/25)*BQ164+(1-EXP(-LN(2)/25))/(LN(2)/25)*Calculateur!BL165*Calculateur!BN165*VLOOKUP('Données projet'!$B$11,Paramètres!$A$1:$I$89,3,0)*0.475*44/12</f>
        <v>16.472345279407737</v>
      </c>
      <c r="BR165" s="21">
        <f>EXP(-LN(2)/2)*BR164+(1-EXP(-LN(2)/2))/(LN(2)/2)*BL165*BO165*VLOOKUP('Données projet'!$B$11,Paramètres!$A$1:$I$89,3,0)*0.475*44/12</f>
        <v>9.4977303995862211E-3</v>
      </c>
      <c r="BS165" s="22">
        <f t="shared" si="169"/>
        <v>94.73836959883505</v>
      </c>
      <c r="BT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0</v>
      </c>
      <c r="BZ165" s="13" t="e">
        <f>BY165*VLOOKUP('Données projet'!$B$12,Paramètres!$A$1:$I$89,3,0)*VLOOKUP('Données projet'!$B$12,Paramètres!$A$1:$I$89,5,0)</f>
        <v>#N/A</v>
      </c>
      <c r="CA165" s="13" t="e">
        <f t="shared" si="170"/>
        <v>#N/A</v>
      </c>
      <c r="CB165" s="20" t="e">
        <f t="shared" si="171"/>
        <v>#N/A</v>
      </c>
      <c r="CC165" s="59" t="e">
        <f t="shared" si="119"/>
        <v>#N/A</v>
      </c>
      <c r="CD165" s="59" t="e">
        <f ca="1">AVERAGE(OFFSET($CC$3,0,0,'Données projet'!$E$12+1,1))-AVERAGE(OFFSET($H$3,0,0,'Données projet'!$E$12+1,1))</f>
        <v>#N/A</v>
      </c>
      <c r="CE165" s="59" t="e">
        <f t="shared" si="148"/>
        <v>#N/A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 t="e">
        <f>EXP(-LN(2)/35)*CK164+(1-EXP(-LN(2)/35))/(LN(2)/35)*CG165*CH165*VLOOKUP('Données projet'!$B$12,Paramètres!$A$1:$I$89,3,0)*0.475*44/12</f>
        <v>#N/A</v>
      </c>
      <c r="CL165" s="21" t="e">
        <f>EXP(-LN(2)/25)*CL164+(1-EXP(-LN(2)/25))/(LN(2)/25)*Calculateur!CG165*Calculateur!CI165*VLOOKUP('Données projet'!$B$12,Paramètres!$A$1:$I$89,3,0)*0.475*44/12</f>
        <v>#N/A</v>
      </c>
      <c r="CM165" s="21" t="e">
        <f>EXP(-LN(2)/2)*CM164+(1-EXP(-LN(2)/2))/(LN(2)/2)*CG165*CJ165*VLOOKUP('Données projet'!$B$12,Paramètres!$A$1:$I$89,3,0)*0.475*44/12</f>
        <v>#N/A</v>
      </c>
      <c r="CN165" s="22" t="e">
        <f t="shared" si="172"/>
        <v>#N/A</v>
      </c>
      <c r="CO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0</v>
      </c>
      <c r="CU165" s="17" t="e">
        <f>CT165*VLOOKUP('Données projet'!$B$13,Paramètres!$A$1:$I$89,3,0)*VLOOKUP('Données projet'!$B$13,Paramètres!$A$1:$I$89,5,0)</f>
        <v>#N/A</v>
      </c>
      <c r="CV165" s="13" t="e">
        <f t="shared" si="173"/>
        <v>#N/A</v>
      </c>
      <c r="CW165" s="20" t="e">
        <f t="shared" si="174"/>
        <v>#N/A</v>
      </c>
      <c r="CX165" s="59" t="e">
        <f t="shared" si="122"/>
        <v>#N/A</v>
      </c>
      <c r="CY165" s="59" t="e">
        <f ca="1">AVERAGE(OFFSET($CX$3,0,0,'Données projet'!$E$13+1,1))-AVERAGE(OFFSET($H$3,0,0,'Données projet'!$E$13+1,1))</f>
        <v>#N/A</v>
      </c>
      <c r="CZ165" s="59" t="e">
        <f t="shared" si="150"/>
        <v>#N/A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 t="e">
        <f>EXP(-LN(2)/35)*DF164+(1-EXP(-LN(2)/35))/(LN(2)/35)*DB165*DC165*VLOOKUP('Données projet'!$B$13,Paramètres!$A$1:$I$89,3,0)*0.475*44/12</f>
        <v>#N/A</v>
      </c>
      <c r="DG165" s="21" t="e">
        <f>EXP(-LN(2)/25)*DG164+(1-EXP(-LN(2)/25))/(LN(2)/25)*Calculateur!DB165*Calculateur!DD165*VLOOKUP('Données projet'!$B$13,Paramètres!$A$1:$I$89,3,0)*0.475*44/12</f>
        <v>#N/A</v>
      </c>
      <c r="DH165" s="21" t="e">
        <f>EXP(-LN(2)/2)*DH164+(1-EXP(-LN(2)/2))/(LN(2)/2)*DB165*DE165*VLOOKUP('Données projet'!$B$13,Paramètres!$A$1:$I$89,3,0)*0.475*44/12</f>
        <v>#N/A</v>
      </c>
      <c r="DI165" s="22" t="e">
        <f t="shared" si="175"/>
        <v>#N/A</v>
      </c>
      <c r="DJ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0</v>
      </c>
      <c r="DP165" s="17" t="e">
        <f>DO165*VLOOKUP('Données projet'!$B$14,Paramètres!$A$1:$I$89,3,0)*VLOOKUP('Données projet'!$B$14,Paramètres!$A$1:$I$89,5,0)</f>
        <v>#N/A</v>
      </c>
      <c r="DQ165" s="13" t="e">
        <f t="shared" si="176"/>
        <v>#N/A</v>
      </c>
      <c r="DR165" s="20" t="e">
        <f t="shared" si="177"/>
        <v>#N/A</v>
      </c>
      <c r="DS165" s="59" t="e">
        <f t="shared" si="125"/>
        <v>#N/A</v>
      </c>
      <c r="DT165" s="59" t="e">
        <f ca="1">AVERAGE(OFFSET($DS$3,0,0,'Données projet'!$E$14+1,1))-AVERAGE(OFFSET($H$3,0,0,'Données projet'!$E$14+1,1))</f>
        <v>#N/A</v>
      </c>
      <c r="DU165" s="59" t="e">
        <f t="shared" si="152"/>
        <v>#N/A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 t="e">
        <f>EXP(-LN(2)/35)*EA164+(1-EXP(-LN(2)/35))/(LN(2)/35)*DW165*DX165*VLOOKUP('Données projet'!$B$14,Paramètres!$A$1:$I$89,3,0)*0.475*44/12</f>
        <v>#N/A</v>
      </c>
      <c r="EB165" s="21" t="e">
        <f>EXP(-LN(2)/25)*EB164+(1-EXP(-LN(2)/25))/(LN(2)/25)*Calculateur!DW165*Calculateur!DY165*VLOOKUP('Données projet'!$B$14,Paramètres!$A$1:$I$89,3,0)*0.475*44/12</f>
        <v>#N/A</v>
      </c>
      <c r="EC165" s="21" t="e">
        <f>EXP(-LN(2)/2)*EC164+(1-EXP(-LN(2)/2))/(LN(2)/2)*DW165*DZ165*VLOOKUP('Données projet'!$B$14,Paramètres!$A$1:$I$89,3,0)*0.475*44/12</f>
        <v>#N/A</v>
      </c>
      <c r="ED165" s="22" t="e">
        <f t="shared" si="178"/>
        <v>#N/A</v>
      </c>
      <c r="EE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0</v>
      </c>
      <c r="EK165" s="17" t="e">
        <f>EJ165*VLOOKUP('Données projet'!$B$15,Paramètres!$A$1:$I$89,3,0)*VLOOKUP('Données projet'!$B$15,Paramètres!$A$1:$I$89,5,0)</f>
        <v>#N/A</v>
      </c>
      <c r="EL165" s="13" t="e">
        <f t="shared" si="179"/>
        <v>#N/A</v>
      </c>
      <c r="EM165" s="20" t="e">
        <f t="shared" si="180"/>
        <v>#N/A</v>
      </c>
      <c r="EN165" s="59" t="e">
        <f t="shared" si="128"/>
        <v>#N/A</v>
      </c>
      <c r="EO165" s="59" t="e">
        <f ca="1">AVERAGE(OFFSET($EN$3,0,0,'Données projet'!$E$15+1,1))-AVERAGE(OFFSET($H$3,0,0,'Données projet'!$E$15+1,1))</f>
        <v>#N/A</v>
      </c>
      <c r="EP165" s="59" t="e">
        <f t="shared" si="154"/>
        <v>#N/A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 t="e">
        <f>EXP(-LN(2)/35)*EV164+(1-EXP(-LN(2)/35))/(LN(2)/35)*ER165*ES165*VLOOKUP('Données projet'!$B$15,Paramètres!$A$1:$I$89,3,0)*0.475*44/12</f>
        <v>#N/A</v>
      </c>
      <c r="EW165" s="21" t="e">
        <f>EXP(-LN(2)/25)*EW164+(1-EXP(-LN(2)/25))/(LN(2)/25)*Calculateur!ER165*Calculateur!ET165*VLOOKUP('Données projet'!$B$15,Paramètres!$A$1:$I$89,3,0)*0.475*44/12</f>
        <v>#N/A</v>
      </c>
      <c r="EX165" s="21" t="e">
        <f>EXP(-LN(2)/2)*EX164+(1-EXP(-LN(2)/2))/(LN(2)/2)*ER165*EU165*VLOOKUP('Données projet'!$B$15,Paramètres!$A$1:$I$89,3,0)*0.475*44/12</f>
        <v>#N/A</v>
      </c>
      <c r="EY165" s="22" t="e">
        <f t="shared" si="181"/>
        <v>#N/A</v>
      </c>
      <c r="EZ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9" t="e">
        <f t="shared" si="131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45">
      <c r="A166" s="10">
        <f t="shared" si="161"/>
        <v>163</v>
      </c>
      <c r="B166" s="73">
        <f>'Scénario référence'!$B$16*5+'Scénario référence'!$B$17*0+'Scénario référence'!$B$18*5</f>
        <v>0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144.93960000000001</v>
      </c>
      <c r="D166" s="11">
        <f t="shared" si="140"/>
        <v>37.426304759789126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">
        <f>IF(OR('Scénario référence'!$F$8&gt;0,'Scénario référence'!$F$9&gt;0),('Scénario référence'!$F$8+'Scénario référence'!$F$9)*10,0)</f>
        <v>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1407.7368086720564</v>
      </c>
      <c r="H166" s="67">
        <f t="shared" si="110"/>
        <v>574.28728412329951</v>
      </c>
      <c r="I166" s="7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1.7053025658242404E-13</v>
      </c>
      <c r="O166" s="13">
        <f>N166*VLOOKUP('Données projet'!$B$9,Paramètres!$A$1:$I$89,3,0)*VLOOKUP('Données projet'!$B$9,Paramètres!$A$1:$I$89,5,0)</f>
        <v>9.5326413429575044E-14</v>
      </c>
      <c r="P166" s="13">
        <f t="shared" si="141"/>
        <v>1.4400742856080346E-12</v>
      </c>
      <c r="Q166" s="20">
        <f t="shared" si="162"/>
        <v>2.6741562174905032E-12</v>
      </c>
      <c r="R166" s="59">
        <f t="shared" si="109"/>
        <v>293.33333333333599</v>
      </c>
      <c r="S166" s="59">
        <f ca="1">AVERAGE(OFFSET($R$3,0,0,'Données projet'!$E$9+1,1))-AVERAGE(OFFSET($H$3,0,0,'Données projet'!$E$9+1,1))</f>
        <v>280.69347314340195</v>
      </c>
      <c r="T166" s="59">
        <f t="shared" si="142"/>
        <v>152.40533828556482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72.821759610358313</v>
      </c>
      <c r="AA166" s="21">
        <f>EXP(-LN(2)/25)*AA165+(1-EXP(-LN(2)/25))/(LN(2)/25)*Calculateur!V166*Calculateur!X166*VLOOKUP('Données projet'!$B$9,Paramètres!$A$1:$I$89,3,0)*0.475*44/12</f>
        <v>16.577249217819688</v>
      </c>
      <c r="AB166" s="21">
        <f>EXP(-LN(2)/2)*AB165+(1-EXP(-LN(2)/2))/(LN(2)/2)*V166*Y166*VLOOKUP('Données projet'!$B$9,Paramètres!$A$1:$I$89,3,0)*0.475*44/12</f>
        <v>2.0949778047268887E-5</v>
      </c>
      <c r="AC166" s="22">
        <f t="shared" si="163"/>
        <v>89.399029777956045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0</v>
      </c>
      <c r="AJ166" s="13">
        <f>AI166*VLOOKUP('Données projet'!$B$10,Paramètres!$A$1:$I$89,3,0)*VLOOKUP('Données projet'!$B$10,Paramètres!$A$1:$I$89,5,0)</f>
        <v>0</v>
      </c>
      <c r="AK166" s="13" t="e">
        <f t="shared" si="164"/>
        <v>#NUM!</v>
      </c>
      <c r="AL166" s="20" t="e">
        <f t="shared" si="165"/>
        <v>#NUM!</v>
      </c>
      <c r="AM166" s="59" t="e">
        <f t="shared" si="113"/>
        <v>#NUM!</v>
      </c>
      <c r="AN166" s="59">
        <f ca="1">AVERAGE(OFFSET($AM$3,0,0,'Données projet'!$E$10+1,1))-AVERAGE(OFFSET($H$3,0,0,'Données projet'!$E$10+1,1))</f>
        <v>179.4725256147085</v>
      </c>
      <c r="AO166" s="59">
        <f t="shared" si="144"/>
        <v>282.16750121151176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18.777497493159178</v>
      </c>
      <c r="AV166" s="21">
        <f>EXP(-LN(2)/25)*AV165+(1-EXP(-LN(2)/25))/(LN(2)/25)*Calculateur!AQ166*Calculateur!AS166*VLOOKUP('Données projet'!$B$10,Paramètres!$A$1:$I$89,3,0)*0.475*44/12</f>
        <v>2.8101912319877163</v>
      </c>
      <c r="AW166" s="21">
        <f>EXP(-LN(2)/2)*AW165+(1-EXP(-LN(2)/2))/(LN(2)/2)*AQ166*AT166*VLOOKUP('Données projet'!$B$10,Paramètres!$A$1:$I$89,3,0)*0.475*44/12</f>
        <v>1.3540602303709665E-14</v>
      </c>
      <c r="AX166" s="21">
        <f t="shared" si="166"/>
        <v>21.587688725146908</v>
      </c>
      <c r="AY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6.2527760746888816E-13</v>
      </c>
      <c r="BE166" s="13">
        <f>BD166*VLOOKUP('Données projet'!$B$11,Paramètres!$A$1:$I$89,3,0)*VLOOKUP('Données projet'!$B$11,Paramètres!$A$1:$I$89,5,0)</f>
        <v>5.3648818720830608E-13</v>
      </c>
      <c r="BF166" s="13">
        <f t="shared" si="167"/>
        <v>6.6281362235424649E-12</v>
      </c>
      <c r="BG166" s="20">
        <f t="shared" si="168"/>
        <v>1.2478387515390925E-11</v>
      </c>
      <c r="BH166" s="59">
        <f t="shared" si="116"/>
        <v>293.33333333334582</v>
      </c>
      <c r="BI166" s="59">
        <f ca="1">AVERAGE(OFFSET($BH$3,0,0,'Données projet'!$E$11+1,1))-AVERAGE(OFFSET($H$3,0,0,'Données projet'!$E$11+1,1))</f>
        <v>312.89478437044261</v>
      </c>
      <c r="BJ166" s="59">
        <f t="shared" si="146"/>
        <v>276.16555507854571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>
        <f>EXP(-LN(2)/35)*BP165+(1-EXP(-LN(2)/35))/(LN(2)/35)*BL166*BM166*VLOOKUP('Données projet'!$B$11,Paramètres!$A$1:$I$89,3,0)*0.475*44/12</f>
        <v>76.721963834384994</v>
      </c>
      <c r="BQ166" s="21">
        <f>EXP(-LN(2)/25)*BQ165+(1-EXP(-LN(2)/25))/(LN(2)/25)*Calculateur!BL166*Calculateur!BN166*VLOOKUP('Données projet'!$B$11,Paramètres!$A$1:$I$89,3,0)*0.475*44/12</f>
        <v>16.021908131499341</v>
      </c>
      <c r="BR166" s="21">
        <f>EXP(-LN(2)/2)*BR165+(1-EXP(-LN(2)/2))/(LN(2)/2)*BL166*BO166*VLOOKUP('Données projet'!$B$11,Paramètres!$A$1:$I$89,3,0)*0.475*44/12</f>
        <v>6.7159095714290351E-3</v>
      </c>
      <c r="BS166" s="22">
        <f t="shared" si="169"/>
        <v>92.750587875455764</v>
      </c>
      <c r="BT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0</v>
      </c>
      <c r="BZ166" s="13" t="e">
        <f>BY166*VLOOKUP('Données projet'!$B$12,Paramètres!$A$1:$I$89,3,0)*VLOOKUP('Données projet'!$B$12,Paramètres!$A$1:$I$89,5,0)</f>
        <v>#N/A</v>
      </c>
      <c r="CA166" s="13" t="e">
        <f t="shared" si="170"/>
        <v>#N/A</v>
      </c>
      <c r="CB166" s="20" t="e">
        <f t="shared" si="171"/>
        <v>#N/A</v>
      </c>
      <c r="CC166" s="59" t="e">
        <f t="shared" si="119"/>
        <v>#N/A</v>
      </c>
      <c r="CD166" s="59" t="e">
        <f ca="1">AVERAGE(OFFSET($CC$3,0,0,'Données projet'!$E$12+1,1))-AVERAGE(OFFSET($H$3,0,0,'Données projet'!$E$12+1,1))</f>
        <v>#N/A</v>
      </c>
      <c r="CE166" s="59" t="e">
        <f t="shared" si="148"/>
        <v>#N/A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 t="e">
        <f>EXP(-LN(2)/35)*CK165+(1-EXP(-LN(2)/35))/(LN(2)/35)*CG166*CH166*VLOOKUP('Données projet'!$B$12,Paramètres!$A$1:$I$89,3,0)*0.475*44/12</f>
        <v>#N/A</v>
      </c>
      <c r="CL166" s="21" t="e">
        <f>EXP(-LN(2)/25)*CL165+(1-EXP(-LN(2)/25))/(LN(2)/25)*Calculateur!CG166*Calculateur!CI166*VLOOKUP('Données projet'!$B$12,Paramètres!$A$1:$I$89,3,0)*0.475*44/12</f>
        <v>#N/A</v>
      </c>
      <c r="CM166" s="21" t="e">
        <f>EXP(-LN(2)/2)*CM165+(1-EXP(-LN(2)/2))/(LN(2)/2)*CG166*CJ166*VLOOKUP('Données projet'!$B$12,Paramètres!$A$1:$I$89,3,0)*0.475*44/12</f>
        <v>#N/A</v>
      </c>
      <c r="CN166" s="22" t="e">
        <f t="shared" si="172"/>
        <v>#N/A</v>
      </c>
      <c r="CO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0</v>
      </c>
      <c r="CU166" s="17" t="e">
        <f>CT166*VLOOKUP('Données projet'!$B$13,Paramètres!$A$1:$I$89,3,0)*VLOOKUP('Données projet'!$B$13,Paramètres!$A$1:$I$89,5,0)</f>
        <v>#N/A</v>
      </c>
      <c r="CV166" s="13" t="e">
        <f t="shared" si="173"/>
        <v>#N/A</v>
      </c>
      <c r="CW166" s="20" t="e">
        <f t="shared" si="174"/>
        <v>#N/A</v>
      </c>
      <c r="CX166" s="59" t="e">
        <f t="shared" si="122"/>
        <v>#N/A</v>
      </c>
      <c r="CY166" s="59" t="e">
        <f ca="1">AVERAGE(OFFSET($CX$3,0,0,'Données projet'!$E$13+1,1))-AVERAGE(OFFSET($H$3,0,0,'Données projet'!$E$13+1,1))</f>
        <v>#N/A</v>
      </c>
      <c r="CZ166" s="59" t="e">
        <f t="shared" si="150"/>
        <v>#N/A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 t="e">
        <f>EXP(-LN(2)/35)*DF165+(1-EXP(-LN(2)/35))/(LN(2)/35)*DB166*DC166*VLOOKUP('Données projet'!$B$13,Paramètres!$A$1:$I$89,3,0)*0.475*44/12</f>
        <v>#N/A</v>
      </c>
      <c r="DG166" s="21" t="e">
        <f>EXP(-LN(2)/25)*DG165+(1-EXP(-LN(2)/25))/(LN(2)/25)*Calculateur!DB166*Calculateur!DD166*VLOOKUP('Données projet'!$B$13,Paramètres!$A$1:$I$89,3,0)*0.475*44/12</f>
        <v>#N/A</v>
      </c>
      <c r="DH166" s="21" t="e">
        <f>EXP(-LN(2)/2)*DH165+(1-EXP(-LN(2)/2))/(LN(2)/2)*DB166*DE166*VLOOKUP('Données projet'!$B$13,Paramètres!$A$1:$I$89,3,0)*0.475*44/12</f>
        <v>#N/A</v>
      </c>
      <c r="DI166" s="22" t="e">
        <f t="shared" si="175"/>
        <v>#N/A</v>
      </c>
      <c r="DJ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0</v>
      </c>
      <c r="DP166" s="17" t="e">
        <f>DO166*VLOOKUP('Données projet'!$B$14,Paramètres!$A$1:$I$89,3,0)*VLOOKUP('Données projet'!$B$14,Paramètres!$A$1:$I$89,5,0)</f>
        <v>#N/A</v>
      </c>
      <c r="DQ166" s="13" t="e">
        <f t="shared" si="176"/>
        <v>#N/A</v>
      </c>
      <c r="DR166" s="20" t="e">
        <f t="shared" si="177"/>
        <v>#N/A</v>
      </c>
      <c r="DS166" s="59" t="e">
        <f t="shared" si="125"/>
        <v>#N/A</v>
      </c>
      <c r="DT166" s="59" t="e">
        <f ca="1">AVERAGE(OFFSET($DS$3,0,0,'Données projet'!$E$14+1,1))-AVERAGE(OFFSET($H$3,0,0,'Données projet'!$E$14+1,1))</f>
        <v>#N/A</v>
      </c>
      <c r="DU166" s="59" t="e">
        <f t="shared" si="152"/>
        <v>#N/A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 t="e">
        <f>EXP(-LN(2)/35)*EA165+(1-EXP(-LN(2)/35))/(LN(2)/35)*DW166*DX166*VLOOKUP('Données projet'!$B$14,Paramètres!$A$1:$I$89,3,0)*0.475*44/12</f>
        <v>#N/A</v>
      </c>
      <c r="EB166" s="21" t="e">
        <f>EXP(-LN(2)/25)*EB165+(1-EXP(-LN(2)/25))/(LN(2)/25)*Calculateur!DW166*Calculateur!DY166*VLOOKUP('Données projet'!$B$14,Paramètres!$A$1:$I$89,3,0)*0.475*44/12</f>
        <v>#N/A</v>
      </c>
      <c r="EC166" s="21" t="e">
        <f>EXP(-LN(2)/2)*EC165+(1-EXP(-LN(2)/2))/(LN(2)/2)*DW166*DZ166*VLOOKUP('Données projet'!$B$14,Paramètres!$A$1:$I$89,3,0)*0.475*44/12</f>
        <v>#N/A</v>
      </c>
      <c r="ED166" s="22" t="e">
        <f t="shared" si="178"/>
        <v>#N/A</v>
      </c>
      <c r="EE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0</v>
      </c>
      <c r="EK166" s="17" t="e">
        <f>EJ166*VLOOKUP('Données projet'!$B$15,Paramètres!$A$1:$I$89,3,0)*VLOOKUP('Données projet'!$B$15,Paramètres!$A$1:$I$89,5,0)</f>
        <v>#N/A</v>
      </c>
      <c r="EL166" s="13" t="e">
        <f t="shared" si="179"/>
        <v>#N/A</v>
      </c>
      <c r="EM166" s="20" t="e">
        <f t="shared" si="180"/>
        <v>#N/A</v>
      </c>
      <c r="EN166" s="59" t="e">
        <f t="shared" si="128"/>
        <v>#N/A</v>
      </c>
      <c r="EO166" s="59" t="e">
        <f ca="1">AVERAGE(OFFSET($EN$3,0,0,'Données projet'!$E$15+1,1))-AVERAGE(OFFSET($H$3,0,0,'Données projet'!$E$15+1,1))</f>
        <v>#N/A</v>
      </c>
      <c r="EP166" s="59" t="e">
        <f t="shared" si="154"/>
        <v>#N/A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 t="e">
        <f>EXP(-LN(2)/35)*EV165+(1-EXP(-LN(2)/35))/(LN(2)/35)*ER166*ES166*VLOOKUP('Données projet'!$B$15,Paramètres!$A$1:$I$89,3,0)*0.475*44/12</f>
        <v>#N/A</v>
      </c>
      <c r="EW166" s="21" t="e">
        <f>EXP(-LN(2)/25)*EW165+(1-EXP(-LN(2)/25))/(LN(2)/25)*Calculateur!ER166*Calculateur!ET166*VLOOKUP('Données projet'!$B$15,Paramètres!$A$1:$I$89,3,0)*0.475*44/12</f>
        <v>#N/A</v>
      </c>
      <c r="EX166" s="21" t="e">
        <f>EXP(-LN(2)/2)*EX165+(1-EXP(-LN(2)/2))/(LN(2)/2)*ER166*EU166*VLOOKUP('Données projet'!$B$15,Paramètres!$A$1:$I$89,3,0)*0.475*44/12</f>
        <v>#N/A</v>
      </c>
      <c r="EY166" s="22" t="e">
        <f t="shared" si="181"/>
        <v>#N/A</v>
      </c>
      <c r="EZ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9" t="e">
        <f t="shared" si="131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45">
      <c r="A167" s="10">
        <f t="shared" si="161"/>
        <v>164</v>
      </c>
      <c r="B167" s="73">
        <f>'Scénario référence'!$B$16*5+'Scénario référence'!$B$17*0+'Scénario référence'!$B$18*5</f>
        <v>0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145.8288</v>
      </c>
      <c r="D167" s="11">
        <f t="shared" si="140"/>
        <v>37.629115201395898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">
        <f>IF(OR('Scénario référence'!$F$8&gt;0,'Scénario référence'!$F$9&gt;0),('Scénario référence'!$F$8+'Scénario référence'!$F$9)*10,0)</f>
        <v>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1416.1663629581437</v>
      </c>
      <c r="H167" s="67">
        <f t="shared" si="110"/>
        <v>576.18920230909794</v>
      </c>
      <c r="I167" s="7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1.7053025658242404E-13</v>
      </c>
      <c r="O167" s="13">
        <f>N167*VLOOKUP('Données projet'!$B$9,Paramètres!$A$1:$I$89,3,0)*VLOOKUP('Données projet'!$B$9,Paramètres!$A$1:$I$89,5,0)</f>
        <v>9.5326413429575044E-14</v>
      </c>
      <c r="P167" s="13">
        <f t="shared" si="141"/>
        <v>1.4400742856080346E-12</v>
      </c>
      <c r="Q167" s="20">
        <f t="shared" si="162"/>
        <v>2.6741562174905032E-12</v>
      </c>
      <c r="R167" s="59">
        <f t="shared" si="109"/>
        <v>293.33333333333599</v>
      </c>
      <c r="S167" s="59">
        <f ca="1">AVERAGE(OFFSET($R$3,0,0,'Données projet'!$E$9+1,1))-AVERAGE(OFFSET($H$3,0,0,'Données projet'!$E$9+1,1))</f>
        <v>280.69347314340195</v>
      </c>
      <c r="T167" s="59">
        <f t="shared" si="142"/>
        <v>152.40533828556482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71.39376932128674</v>
      </c>
      <c r="AA167" s="21">
        <f>EXP(-LN(2)/25)*AA166+(1-EXP(-LN(2)/25))/(LN(2)/25)*Calculateur!V167*Calculateur!X167*VLOOKUP('Données projet'!$B$9,Paramètres!$A$1:$I$89,3,0)*0.475*44/12</f>
        <v>16.12394346619876</v>
      </c>
      <c r="AB167" s="21">
        <f>EXP(-LN(2)/2)*AB166+(1-EXP(-LN(2)/2))/(LN(2)/2)*V167*Y167*VLOOKUP('Données projet'!$B$9,Paramètres!$A$1:$I$89,3,0)*0.475*44/12</f>
        <v>1.4813730121576899E-5</v>
      </c>
      <c r="AC167" s="22">
        <f t="shared" si="163"/>
        <v>87.517727601215611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0</v>
      </c>
      <c r="AJ167" s="13">
        <f>AI167*VLOOKUP('Données projet'!$B$10,Paramètres!$A$1:$I$89,3,0)*VLOOKUP('Données projet'!$B$10,Paramètres!$A$1:$I$89,5,0)</f>
        <v>0</v>
      </c>
      <c r="AK167" s="13" t="e">
        <f t="shared" si="164"/>
        <v>#NUM!</v>
      </c>
      <c r="AL167" s="20" t="e">
        <f t="shared" si="165"/>
        <v>#NUM!</v>
      </c>
      <c r="AM167" s="59" t="e">
        <f t="shared" si="113"/>
        <v>#NUM!</v>
      </c>
      <c r="AN167" s="59">
        <f ca="1">AVERAGE(OFFSET($AM$3,0,0,'Données projet'!$E$10+1,1))-AVERAGE(OFFSET($H$3,0,0,'Données projet'!$E$10+1,1))</f>
        <v>179.4725256147085</v>
      </c>
      <c r="AO167" s="59">
        <f t="shared" si="144"/>
        <v>282.16750121151176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18.409282220460895</v>
      </c>
      <c r="AV167" s="21">
        <f>EXP(-LN(2)/25)*AV166+(1-EXP(-LN(2)/25))/(LN(2)/25)*Calculateur!AQ167*Calculateur!AS167*VLOOKUP('Données projet'!$B$10,Paramètres!$A$1:$I$89,3,0)*0.475*44/12</f>
        <v>2.7333464049674778</v>
      </c>
      <c r="AW167" s="21">
        <f>EXP(-LN(2)/2)*AW166+(1-EXP(-LN(2)/2))/(LN(2)/2)*AQ167*AT167*VLOOKUP('Données projet'!$B$10,Paramètres!$A$1:$I$89,3,0)*0.475*44/12</f>
        <v>9.574651710303291E-15</v>
      </c>
      <c r="AX167" s="21">
        <f t="shared" si="166"/>
        <v>21.142628625428383</v>
      </c>
      <c r="AY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6.2527760746888816E-13</v>
      </c>
      <c r="BE167" s="13">
        <f>BD167*VLOOKUP('Données projet'!$B$11,Paramètres!$A$1:$I$89,3,0)*VLOOKUP('Données projet'!$B$11,Paramètres!$A$1:$I$89,5,0)</f>
        <v>5.3648818720830608E-13</v>
      </c>
      <c r="BF167" s="13">
        <f t="shared" si="167"/>
        <v>6.6281362235424649E-12</v>
      </c>
      <c r="BG167" s="20">
        <f t="shared" si="168"/>
        <v>1.2478387515390925E-11</v>
      </c>
      <c r="BH167" s="59">
        <f t="shared" si="116"/>
        <v>293.33333333334582</v>
      </c>
      <c r="BI167" s="59">
        <f ca="1">AVERAGE(OFFSET($BH$3,0,0,'Données projet'!$E$11+1,1))-AVERAGE(OFFSET($H$3,0,0,'Données projet'!$E$11+1,1))</f>
        <v>312.89478437044261</v>
      </c>
      <c r="BJ167" s="59">
        <f t="shared" si="146"/>
        <v>276.16555507854571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>
        <f>EXP(-LN(2)/35)*BP166+(1-EXP(-LN(2)/35))/(LN(2)/35)*BL167*BM167*VLOOKUP('Données projet'!$B$11,Paramètres!$A$1:$I$89,3,0)*0.475*44/12</f>
        <v>75.217492919369946</v>
      </c>
      <c r="BQ167" s="21">
        <f>EXP(-LN(2)/25)*BQ166+(1-EXP(-LN(2)/25))/(LN(2)/25)*Calculateur!BL167*Calculateur!BN167*VLOOKUP('Données projet'!$B$11,Paramètres!$A$1:$I$89,3,0)*0.475*44/12</f>
        <v>15.583788211087962</v>
      </c>
      <c r="BR167" s="21">
        <f>EXP(-LN(2)/2)*BR166+(1-EXP(-LN(2)/2))/(LN(2)/2)*BL167*BO167*VLOOKUP('Données projet'!$B$11,Paramètres!$A$1:$I$89,3,0)*0.475*44/12</f>
        <v>4.7488651997931114E-3</v>
      </c>
      <c r="BS167" s="22">
        <f t="shared" si="169"/>
        <v>90.806029995657696</v>
      </c>
      <c r="BT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0</v>
      </c>
      <c r="BZ167" s="13" t="e">
        <f>BY167*VLOOKUP('Données projet'!$B$12,Paramètres!$A$1:$I$89,3,0)*VLOOKUP('Données projet'!$B$12,Paramètres!$A$1:$I$89,5,0)</f>
        <v>#N/A</v>
      </c>
      <c r="CA167" s="13" t="e">
        <f t="shared" si="170"/>
        <v>#N/A</v>
      </c>
      <c r="CB167" s="20" t="e">
        <f t="shared" si="171"/>
        <v>#N/A</v>
      </c>
      <c r="CC167" s="59" t="e">
        <f t="shared" si="119"/>
        <v>#N/A</v>
      </c>
      <c r="CD167" s="59" t="e">
        <f ca="1">AVERAGE(OFFSET($CC$3,0,0,'Données projet'!$E$12+1,1))-AVERAGE(OFFSET($H$3,0,0,'Données projet'!$E$12+1,1))</f>
        <v>#N/A</v>
      </c>
      <c r="CE167" s="59" t="e">
        <f t="shared" si="148"/>
        <v>#N/A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 t="e">
        <f>EXP(-LN(2)/35)*CK166+(1-EXP(-LN(2)/35))/(LN(2)/35)*CG167*CH167*VLOOKUP('Données projet'!$B$12,Paramètres!$A$1:$I$89,3,0)*0.475*44/12</f>
        <v>#N/A</v>
      </c>
      <c r="CL167" s="21" t="e">
        <f>EXP(-LN(2)/25)*CL166+(1-EXP(-LN(2)/25))/(LN(2)/25)*Calculateur!CG167*Calculateur!CI167*VLOOKUP('Données projet'!$B$12,Paramètres!$A$1:$I$89,3,0)*0.475*44/12</f>
        <v>#N/A</v>
      </c>
      <c r="CM167" s="21" t="e">
        <f>EXP(-LN(2)/2)*CM166+(1-EXP(-LN(2)/2))/(LN(2)/2)*CG167*CJ167*VLOOKUP('Données projet'!$B$12,Paramètres!$A$1:$I$89,3,0)*0.475*44/12</f>
        <v>#N/A</v>
      </c>
      <c r="CN167" s="22" t="e">
        <f t="shared" si="172"/>
        <v>#N/A</v>
      </c>
      <c r="CO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0</v>
      </c>
      <c r="CU167" s="17" t="e">
        <f>CT167*VLOOKUP('Données projet'!$B$13,Paramètres!$A$1:$I$89,3,0)*VLOOKUP('Données projet'!$B$13,Paramètres!$A$1:$I$89,5,0)</f>
        <v>#N/A</v>
      </c>
      <c r="CV167" s="13" t="e">
        <f t="shared" si="173"/>
        <v>#N/A</v>
      </c>
      <c r="CW167" s="20" t="e">
        <f t="shared" si="174"/>
        <v>#N/A</v>
      </c>
      <c r="CX167" s="59" t="e">
        <f t="shared" si="122"/>
        <v>#N/A</v>
      </c>
      <c r="CY167" s="59" t="e">
        <f ca="1">AVERAGE(OFFSET($CX$3,0,0,'Données projet'!$E$13+1,1))-AVERAGE(OFFSET($H$3,0,0,'Données projet'!$E$13+1,1))</f>
        <v>#N/A</v>
      </c>
      <c r="CZ167" s="59" t="e">
        <f t="shared" si="150"/>
        <v>#N/A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 t="e">
        <f>EXP(-LN(2)/35)*DF166+(1-EXP(-LN(2)/35))/(LN(2)/35)*DB167*DC167*VLOOKUP('Données projet'!$B$13,Paramètres!$A$1:$I$89,3,0)*0.475*44/12</f>
        <v>#N/A</v>
      </c>
      <c r="DG167" s="21" t="e">
        <f>EXP(-LN(2)/25)*DG166+(1-EXP(-LN(2)/25))/(LN(2)/25)*Calculateur!DB167*Calculateur!DD167*VLOOKUP('Données projet'!$B$13,Paramètres!$A$1:$I$89,3,0)*0.475*44/12</f>
        <v>#N/A</v>
      </c>
      <c r="DH167" s="21" t="e">
        <f>EXP(-LN(2)/2)*DH166+(1-EXP(-LN(2)/2))/(LN(2)/2)*DB167*DE167*VLOOKUP('Données projet'!$B$13,Paramètres!$A$1:$I$89,3,0)*0.475*44/12</f>
        <v>#N/A</v>
      </c>
      <c r="DI167" s="22" t="e">
        <f t="shared" si="175"/>
        <v>#N/A</v>
      </c>
      <c r="DJ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0</v>
      </c>
      <c r="DP167" s="17" t="e">
        <f>DO167*VLOOKUP('Données projet'!$B$14,Paramètres!$A$1:$I$89,3,0)*VLOOKUP('Données projet'!$B$14,Paramètres!$A$1:$I$89,5,0)</f>
        <v>#N/A</v>
      </c>
      <c r="DQ167" s="13" t="e">
        <f t="shared" si="176"/>
        <v>#N/A</v>
      </c>
      <c r="DR167" s="20" t="e">
        <f t="shared" si="177"/>
        <v>#N/A</v>
      </c>
      <c r="DS167" s="59" t="e">
        <f t="shared" si="125"/>
        <v>#N/A</v>
      </c>
      <c r="DT167" s="59" t="e">
        <f ca="1">AVERAGE(OFFSET($DS$3,0,0,'Données projet'!$E$14+1,1))-AVERAGE(OFFSET($H$3,0,0,'Données projet'!$E$14+1,1))</f>
        <v>#N/A</v>
      </c>
      <c r="DU167" s="59" t="e">
        <f t="shared" si="152"/>
        <v>#N/A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 t="e">
        <f>EXP(-LN(2)/35)*EA166+(1-EXP(-LN(2)/35))/(LN(2)/35)*DW167*DX167*VLOOKUP('Données projet'!$B$14,Paramètres!$A$1:$I$89,3,0)*0.475*44/12</f>
        <v>#N/A</v>
      </c>
      <c r="EB167" s="21" t="e">
        <f>EXP(-LN(2)/25)*EB166+(1-EXP(-LN(2)/25))/(LN(2)/25)*Calculateur!DW167*Calculateur!DY167*VLOOKUP('Données projet'!$B$14,Paramètres!$A$1:$I$89,3,0)*0.475*44/12</f>
        <v>#N/A</v>
      </c>
      <c r="EC167" s="21" t="e">
        <f>EXP(-LN(2)/2)*EC166+(1-EXP(-LN(2)/2))/(LN(2)/2)*DW167*DZ167*VLOOKUP('Données projet'!$B$14,Paramètres!$A$1:$I$89,3,0)*0.475*44/12</f>
        <v>#N/A</v>
      </c>
      <c r="ED167" s="22" t="e">
        <f t="shared" si="178"/>
        <v>#N/A</v>
      </c>
      <c r="EE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0</v>
      </c>
      <c r="EK167" s="17" t="e">
        <f>EJ167*VLOOKUP('Données projet'!$B$15,Paramètres!$A$1:$I$89,3,0)*VLOOKUP('Données projet'!$B$15,Paramètres!$A$1:$I$89,5,0)</f>
        <v>#N/A</v>
      </c>
      <c r="EL167" s="13" t="e">
        <f t="shared" si="179"/>
        <v>#N/A</v>
      </c>
      <c r="EM167" s="20" t="e">
        <f t="shared" si="180"/>
        <v>#N/A</v>
      </c>
      <c r="EN167" s="59" t="e">
        <f t="shared" si="128"/>
        <v>#N/A</v>
      </c>
      <c r="EO167" s="59" t="e">
        <f ca="1">AVERAGE(OFFSET($EN$3,0,0,'Données projet'!$E$15+1,1))-AVERAGE(OFFSET($H$3,0,0,'Données projet'!$E$15+1,1))</f>
        <v>#N/A</v>
      </c>
      <c r="EP167" s="59" t="e">
        <f t="shared" si="154"/>
        <v>#N/A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 t="e">
        <f>EXP(-LN(2)/35)*EV166+(1-EXP(-LN(2)/35))/(LN(2)/35)*ER167*ES167*VLOOKUP('Données projet'!$B$15,Paramètres!$A$1:$I$89,3,0)*0.475*44/12</f>
        <v>#N/A</v>
      </c>
      <c r="EW167" s="21" t="e">
        <f>EXP(-LN(2)/25)*EW166+(1-EXP(-LN(2)/25))/(LN(2)/25)*Calculateur!ER167*Calculateur!ET167*VLOOKUP('Données projet'!$B$15,Paramètres!$A$1:$I$89,3,0)*0.475*44/12</f>
        <v>#N/A</v>
      </c>
      <c r="EX167" s="21" t="e">
        <f>EXP(-LN(2)/2)*EX166+(1-EXP(-LN(2)/2))/(LN(2)/2)*ER167*EU167*VLOOKUP('Données projet'!$B$15,Paramètres!$A$1:$I$89,3,0)*0.475*44/12</f>
        <v>#N/A</v>
      </c>
      <c r="EY167" s="22" t="e">
        <f t="shared" si="181"/>
        <v>#N/A</v>
      </c>
      <c r="EZ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9" t="e">
        <f t="shared" si="131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45">
      <c r="A168" s="10">
        <f t="shared" si="161"/>
        <v>165</v>
      </c>
      <c r="B168" s="73">
        <f>'Scénario référence'!$B$16*5+'Scénario référence'!$B$17*0+'Scénario référence'!$B$18*5</f>
        <v>0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146.71799999999999</v>
      </c>
      <c r="D168" s="11">
        <f t="shared" si="140"/>
        <v>37.831781747183037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">
        <f>IF(OR('Scénario référence'!$F$8&gt;0,'Scénario référence'!$F$9&gt;0),('Scénario référence'!$F$8+'Scénario référence'!$F$9)*10,0)</f>
        <v>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1424.594806469483</v>
      </c>
      <c r="H168" s="67">
        <f t="shared" si="110"/>
        <v>578.09086987634385</v>
      </c>
      <c r="I168" s="7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1.7053025658242404E-13</v>
      </c>
      <c r="O168" s="13">
        <f>N168*VLOOKUP('Données projet'!$B$9,Paramètres!$A$1:$I$89,3,0)*VLOOKUP('Données projet'!$B$9,Paramètres!$A$1:$I$89,5,0)</f>
        <v>9.5326413429575044E-14</v>
      </c>
      <c r="P168" s="13">
        <f t="shared" si="141"/>
        <v>1.4400742856080346E-12</v>
      </c>
      <c r="Q168" s="20">
        <f t="shared" si="162"/>
        <v>2.6741562174905032E-12</v>
      </c>
      <c r="R168" s="59">
        <f t="shared" si="109"/>
        <v>293.33333333333599</v>
      </c>
      <c r="S168" s="59">
        <f ca="1">AVERAGE(OFFSET($R$3,0,0,'Données projet'!$E$9+1,1))-AVERAGE(OFFSET($H$3,0,0,'Données projet'!$E$9+1,1))</f>
        <v>280.69347314340195</v>
      </c>
      <c r="T168" s="59">
        <f t="shared" si="142"/>
        <v>152.40533828556482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69.993781050795789</v>
      </c>
      <c r="AA168" s="21">
        <f>EXP(-LN(2)/25)*AA167+(1-EXP(-LN(2)/25))/(LN(2)/25)*Calculateur!V168*Calculateur!X168*VLOOKUP('Données projet'!$B$9,Paramètres!$A$1:$I$89,3,0)*0.475*44/12</f>
        <v>15.68303338419422</v>
      </c>
      <c r="AB168" s="21">
        <f>EXP(-LN(2)/2)*AB167+(1-EXP(-LN(2)/2))/(LN(2)/2)*V168*Y168*VLOOKUP('Données projet'!$B$9,Paramètres!$A$1:$I$89,3,0)*0.475*44/12</f>
        <v>1.0474889023634445E-5</v>
      </c>
      <c r="AC168" s="22">
        <f t="shared" si="163"/>
        <v>85.676824909879031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0</v>
      </c>
      <c r="AJ168" s="13">
        <f>AI168*VLOOKUP('Données projet'!$B$10,Paramètres!$A$1:$I$89,3,0)*VLOOKUP('Données projet'!$B$10,Paramètres!$A$1:$I$89,5,0)</f>
        <v>0</v>
      </c>
      <c r="AK168" s="13" t="e">
        <f t="shared" si="164"/>
        <v>#NUM!</v>
      </c>
      <c r="AL168" s="20" t="e">
        <f t="shared" si="165"/>
        <v>#NUM!</v>
      </c>
      <c r="AM168" s="59" t="e">
        <f t="shared" si="113"/>
        <v>#NUM!</v>
      </c>
      <c r="AN168" s="59">
        <f ca="1">AVERAGE(OFFSET($AM$3,0,0,'Données projet'!$E$10+1,1))-AVERAGE(OFFSET($H$3,0,0,'Données projet'!$E$10+1,1))</f>
        <v>179.4725256147085</v>
      </c>
      <c r="AO168" s="59">
        <f t="shared" si="144"/>
        <v>282.16750121151176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18.048287424671084</v>
      </c>
      <c r="AV168" s="21">
        <f>EXP(-LN(2)/25)*AV167+(1-EXP(-LN(2)/25))/(LN(2)/25)*Calculateur!AQ168*Calculateur!AS168*VLOOKUP('Données projet'!$B$10,Paramètres!$A$1:$I$89,3,0)*0.475*44/12</f>
        <v>2.6586029037832017</v>
      </c>
      <c r="AW168" s="21">
        <f>EXP(-LN(2)/2)*AW167+(1-EXP(-LN(2)/2))/(LN(2)/2)*AQ168*AT168*VLOOKUP('Données projet'!$B$10,Paramètres!$A$1:$I$89,3,0)*0.475*44/12</f>
        <v>6.7703011518548323E-15</v>
      </c>
      <c r="AX168" s="21">
        <f t="shared" si="166"/>
        <v>20.706890328454293</v>
      </c>
      <c r="AY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6.2527760746888816E-13</v>
      </c>
      <c r="BE168" s="13">
        <f>BD168*VLOOKUP('Données projet'!$B$11,Paramètres!$A$1:$I$89,3,0)*VLOOKUP('Données projet'!$B$11,Paramètres!$A$1:$I$89,5,0)</f>
        <v>5.3648818720830608E-13</v>
      </c>
      <c r="BF168" s="13">
        <f t="shared" si="167"/>
        <v>6.6281362235424649E-12</v>
      </c>
      <c r="BG168" s="20">
        <f t="shared" si="168"/>
        <v>1.2478387515390925E-11</v>
      </c>
      <c r="BH168" s="59">
        <f t="shared" si="116"/>
        <v>293.33333333334582</v>
      </c>
      <c r="BI168" s="59">
        <f ca="1">AVERAGE(OFFSET($BH$3,0,0,'Données projet'!$E$11+1,1))-AVERAGE(OFFSET($H$3,0,0,'Données projet'!$E$11+1,1))</f>
        <v>312.89478437044261</v>
      </c>
      <c r="BJ168" s="59">
        <f t="shared" si="146"/>
        <v>276.16555507854571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>
        <f>EXP(-LN(2)/35)*BP167+(1-EXP(-LN(2)/35))/(LN(2)/35)*BL168*BM168*VLOOKUP('Données projet'!$B$11,Paramètres!$A$1:$I$89,3,0)*0.475*44/12</f>
        <v>73.742523761361696</v>
      </c>
      <c r="BQ168" s="21">
        <f>EXP(-LN(2)/25)*BQ167+(1-EXP(-LN(2)/25))/(LN(2)/25)*Calculateur!BL168*Calculateur!BN168*VLOOKUP('Données projet'!$B$11,Paramètres!$A$1:$I$89,3,0)*0.475*44/12</f>
        <v>15.157648702939957</v>
      </c>
      <c r="BR168" s="21">
        <f>EXP(-LN(2)/2)*BR167+(1-EXP(-LN(2)/2))/(LN(2)/2)*BL168*BO168*VLOOKUP('Données projet'!$B$11,Paramètres!$A$1:$I$89,3,0)*0.475*44/12</f>
        <v>3.357954785714518E-3</v>
      </c>
      <c r="BS168" s="22">
        <f t="shared" si="169"/>
        <v>88.90353041908736</v>
      </c>
      <c r="BT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0</v>
      </c>
      <c r="BZ168" s="13" t="e">
        <f>BY168*VLOOKUP('Données projet'!$B$12,Paramètres!$A$1:$I$89,3,0)*VLOOKUP('Données projet'!$B$12,Paramètres!$A$1:$I$89,5,0)</f>
        <v>#N/A</v>
      </c>
      <c r="CA168" s="13" t="e">
        <f t="shared" si="170"/>
        <v>#N/A</v>
      </c>
      <c r="CB168" s="20" t="e">
        <f t="shared" si="171"/>
        <v>#N/A</v>
      </c>
      <c r="CC168" s="59" t="e">
        <f t="shared" si="119"/>
        <v>#N/A</v>
      </c>
      <c r="CD168" s="59" t="e">
        <f ca="1">AVERAGE(OFFSET($CC$3,0,0,'Données projet'!$E$12+1,1))-AVERAGE(OFFSET($H$3,0,0,'Données projet'!$E$12+1,1))</f>
        <v>#N/A</v>
      </c>
      <c r="CE168" s="59" t="e">
        <f t="shared" si="148"/>
        <v>#N/A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 t="e">
        <f>EXP(-LN(2)/35)*CK167+(1-EXP(-LN(2)/35))/(LN(2)/35)*CG168*CH168*VLOOKUP('Données projet'!$B$12,Paramètres!$A$1:$I$89,3,0)*0.475*44/12</f>
        <v>#N/A</v>
      </c>
      <c r="CL168" s="21" t="e">
        <f>EXP(-LN(2)/25)*CL167+(1-EXP(-LN(2)/25))/(LN(2)/25)*Calculateur!CG168*Calculateur!CI168*VLOOKUP('Données projet'!$B$12,Paramètres!$A$1:$I$89,3,0)*0.475*44/12</f>
        <v>#N/A</v>
      </c>
      <c r="CM168" s="21" t="e">
        <f>EXP(-LN(2)/2)*CM167+(1-EXP(-LN(2)/2))/(LN(2)/2)*CG168*CJ168*VLOOKUP('Données projet'!$B$12,Paramètres!$A$1:$I$89,3,0)*0.475*44/12</f>
        <v>#N/A</v>
      </c>
      <c r="CN168" s="22" t="e">
        <f t="shared" si="172"/>
        <v>#N/A</v>
      </c>
      <c r="CO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0</v>
      </c>
      <c r="CU168" s="17" t="e">
        <f>CT168*VLOOKUP('Données projet'!$B$13,Paramètres!$A$1:$I$89,3,0)*VLOOKUP('Données projet'!$B$13,Paramètres!$A$1:$I$89,5,0)</f>
        <v>#N/A</v>
      </c>
      <c r="CV168" s="13" t="e">
        <f t="shared" si="173"/>
        <v>#N/A</v>
      </c>
      <c r="CW168" s="20" t="e">
        <f t="shared" si="174"/>
        <v>#N/A</v>
      </c>
      <c r="CX168" s="59" t="e">
        <f t="shared" si="122"/>
        <v>#N/A</v>
      </c>
      <c r="CY168" s="59" t="e">
        <f ca="1">AVERAGE(OFFSET($CX$3,0,0,'Données projet'!$E$13+1,1))-AVERAGE(OFFSET($H$3,0,0,'Données projet'!$E$13+1,1))</f>
        <v>#N/A</v>
      </c>
      <c r="CZ168" s="59" t="e">
        <f t="shared" si="150"/>
        <v>#N/A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 t="e">
        <f>EXP(-LN(2)/35)*DF167+(1-EXP(-LN(2)/35))/(LN(2)/35)*DB168*DC168*VLOOKUP('Données projet'!$B$13,Paramètres!$A$1:$I$89,3,0)*0.475*44/12</f>
        <v>#N/A</v>
      </c>
      <c r="DG168" s="21" t="e">
        <f>EXP(-LN(2)/25)*DG167+(1-EXP(-LN(2)/25))/(LN(2)/25)*Calculateur!DB168*Calculateur!DD168*VLOOKUP('Données projet'!$B$13,Paramètres!$A$1:$I$89,3,0)*0.475*44/12</f>
        <v>#N/A</v>
      </c>
      <c r="DH168" s="21" t="e">
        <f>EXP(-LN(2)/2)*DH167+(1-EXP(-LN(2)/2))/(LN(2)/2)*DB168*DE168*VLOOKUP('Données projet'!$B$13,Paramètres!$A$1:$I$89,3,0)*0.475*44/12</f>
        <v>#N/A</v>
      </c>
      <c r="DI168" s="22" t="e">
        <f t="shared" si="175"/>
        <v>#N/A</v>
      </c>
      <c r="DJ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0</v>
      </c>
      <c r="DP168" s="17" t="e">
        <f>DO168*VLOOKUP('Données projet'!$B$14,Paramètres!$A$1:$I$89,3,0)*VLOOKUP('Données projet'!$B$14,Paramètres!$A$1:$I$89,5,0)</f>
        <v>#N/A</v>
      </c>
      <c r="DQ168" s="13" t="e">
        <f t="shared" si="176"/>
        <v>#N/A</v>
      </c>
      <c r="DR168" s="20" t="e">
        <f t="shared" si="177"/>
        <v>#N/A</v>
      </c>
      <c r="DS168" s="59" t="e">
        <f t="shared" si="125"/>
        <v>#N/A</v>
      </c>
      <c r="DT168" s="59" t="e">
        <f ca="1">AVERAGE(OFFSET($DS$3,0,0,'Données projet'!$E$14+1,1))-AVERAGE(OFFSET($H$3,0,0,'Données projet'!$E$14+1,1))</f>
        <v>#N/A</v>
      </c>
      <c r="DU168" s="59" t="e">
        <f t="shared" si="152"/>
        <v>#N/A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 t="e">
        <f>EXP(-LN(2)/35)*EA167+(1-EXP(-LN(2)/35))/(LN(2)/35)*DW168*DX168*VLOOKUP('Données projet'!$B$14,Paramètres!$A$1:$I$89,3,0)*0.475*44/12</f>
        <v>#N/A</v>
      </c>
      <c r="EB168" s="21" t="e">
        <f>EXP(-LN(2)/25)*EB167+(1-EXP(-LN(2)/25))/(LN(2)/25)*Calculateur!DW168*Calculateur!DY168*VLOOKUP('Données projet'!$B$14,Paramètres!$A$1:$I$89,3,0)*0.475*44/12</f>
        <v>#N/A</v>
      </c>
      <c r="EC168" s="21" t="e">
        <f>EXP(-LN(2)/2)*EC167+(1-EXP(-LN(2)/2))/(LN(2)/2)*DW168*DZ168*VLOOKUP('Données projet'!$B$14,Paramètres!$A$1:$I$89,3,0)*0.475*44/12</f>
        <v>#N/A</v>
      </c>
      <c r="ED168" s="22" t="e">
        <f t="shared" si="178"/>
        <v>#N/A</v>
      </c>
      <c r="EE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0</v>
      </c>
      <c r="EK168" s="17" t="e">
        <f>EJ168*VLOOKUP('Données projet'!$B$15,Paramètres!$A$1:$I$89,3,0)*VLOOKUP('Données projet'!$B$15,Paramètres!$A$1:$I$89,5,0)</f>
        <v>#N/A</v>
      </c>
      <c r="EL168" s="13" t="e">
        <f t="shared" si="179"/>
        <v>#N/A</v>
      </c>
      <c r="EM168" s="20" t="e">
        <f t="shared" si="180"/>
        <v>#N/A</v>
      </c>
      <c r="EN168" s="59" t="e">
        <f t="shared" si="128"/>
        <v>#N/A</v>
      </c>
      <c r="EO168" s="59" t="e">
        <f ca="1">AVERAGE(OFFSET($EN$3,0,0,'Données projet'!$E$15+1,1))-AVERAGE(OFFSET($H$3,0,0,'Données projet'!$E$15+1,1))</f>
        <v>#N/A</v>
      </c>
      <c r="EP168" s="59" t="e">
        <f t="shared" si="154"/>
        <v>#N/A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 t="e">
        <f>EXP(-LN(2)/35)*EV167+(1-EXP(-LN(2)/35))/(LN(2)/35)*ER168*ES168*VLOOKUP('Données projet'!$B$15,Paramètres!$A$1:$I$89,3,0)*0.475*44/12</f>
        <v>#N/A</v>
      </c>
      <c r="EW168" s="21" t="e">
        <f>EXP(-LN(2)/25)*EW167+(1-EXP(-LN(2)/25))/(LN(2)/25)*Calculateur!ER168*Calculateur!ET168*VLOOKUP('Données projet'!$B$15,Paramètres!$A$1:$I$89,3,0)*0.475*44/12</f>
        <v>#N/A</v>
      </c>
      <c r="EX168" s="21" t="e">
        <f>EXP(-LN(2)/2)*EX167+(1-EXP(-LN(2)/2))/(LN(2)/2)*ER168*EU168*VLOOKUP('Données projet'!$B$15,Paramètres!$A$1:$I$89,3,0)*0.475*44/12</f>
        <v>#N/A</v>
      </c>
      <c r="EY168" s="22" t="e">
        <f t="shared" si="181"/>
        <v>#N/A</v>
      </c>
      <c r="EZ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9" t="e">
        <f t="shared" si="131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45">
      <c r="A169" s="10">
        <f t="shared" si="161"/>
        <v>166</v>
      </c>
      <c r="B169" s="73">
        <f>'Scénario référence'!$B$16*5+'Scénario référence'!$B$17*0+'Scénario référence'!$B$18*5</f>
        <v>0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147.60719999999998</v>
      </c>
      <c r="D169" s="11">
        <f t="shared" si="140"/>
        <v>38.034305370426985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">
        <f>IF(OR('Scénario référence'!$F$8&gt;0,'Scénario référence'!$F$9&gt;0),('Scénario référence'!$F$8+'Scénario référence'!$F$9)*10,0)</f>
        <v>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1433.0221467190852</v>
      </c>
      <c r="H169" s="67">
        <f t="shared" si="110"/>
        <v>579.99228852016029</v>
      </c>
      <c r="I169" s="7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1.7053025658242404E-13</v>
      </c>
      <c r="O169" s="13">
        <f>N169*VLOOKUP('Données projet'!$B$9,Paramètres!$A$1:$I$89,3,0)*VLOOKUP('Données projet'!$B$9,Paramètres!$A$1:$I$89,5,0)</f>
        <v>9.5326413429575044E-14</v>
      </c>
      <c r="P169" s="13">
        <f t="shared" si="141"/>
        <v>1.4400742856080346E-12</v>
      </c>
      <c r="Q169" s="20">
        <f t="shared" si="162"/>
        <v>2.6741562174905032E-12</v>
      </c>
      <c r="R169" s="59">
        <f t="shared" si="109"/>
        <v>293.33333333333599</v>
      </c>
      <c r="S169" s="59">
        <f ca="1">AVERAGE(OFFSET($R$3,0,0,'Données projet'!$E$9+1,1))-AVERAGE(OFFSET($H$3,0,0,'Données projet'!$E$9+1,1))</f>
        <v>280.69347314340195</v>
      </c>
      <c r="T169" s="59">
        <f t="shared" si="142"/>
        <v>152.40533828556482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68.62124569638064</v>
      </c>
      <c r="AA169" s="21">
        <f>EXP(-LN(2)/25)*AA168+(1-EXP(-LN(2)/25))/(LN(2)/25)*Calculateur!V169*Calculateur!X169*VLOOKUP('Données projet'!$B$9,Paramètres!$A$1:$I$89,3,0)*0.475*44/12</f>
        <v>15.254180011568547</v>
      </c>
      <c r="AB169" s="21">
        <f>EXP(-LN(2)/2)*AB168+(1-EXP(-LN(2)/2))/(LN(2)/2)*V169*Y169*VLOOKUP('Données projet'!$B$9,Paramètres!$A$1:$I$89,3,0)*0.475*44/12</f>
        <v>7.4068650607884505E-6</v>
      </c>
      <c r="AC169" s="22">
        <f t="shared" si="163"/>
        <v>83.875433114814257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0</v>
      </c>
      <c r="AJ169" s="13">
        <f>AI169*VLOOKUP('Données projet'!$B$10,Paramètres!$A$1:$I$89,3,0)*VLOOKUP('Données projet'!$B$10,Paramètres!$A$1:$I$89,5,0)</f>
        <v>0</v>
      </c>
      <c r="AK169" s="13" t="e">
        <f t="shared" si="164"/>
        <v>#NUM!</v>
      </c>
      <c r="AL169" s="20" t="e">
        <f t="shared" si="165"/>
        <v>#NUM!</v>
      </c>
      <c r="AM169" s="59" t="e">
        <f t="shared" si="113"/>
        <v>#NUM!</v>
      </c>
      <c r="AN169" s="59">
        <f ca="1">AVERAGE(OFFSET($AM$3,0,0,'Données projet'!$E$10+1,1))-AVERAGE(OFFSET($H$3,0,0,'Données projet'!$E$10+1,1))</f>
        <v>179.4725256147085</v>
      </c>
      <c r="AO169" s="59">
        <f t="shared" si="144"/>
        <v>282.16750121151176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17.694371516641628</v>
      </c>
      <c r="AV169" s="21">
        <f>EXP(-LN(2)/25)*AV168+(1-EXP(-LN(2)/25))/(LN(2)/25)*Calculateur!AQ169*Calculateur!AS169*VLOOKUP('Données projet'!$B$10,Paramètres!$A$1:$I$89,3,0)*0.475*44/12</f>
        <v>2.5859032675693996</v>
      </c>
      <c r="AW169" s="21">
        <f>EXP(-LN(2)/2)*AW168+(1-EXP(-LN(2)/2))/(LN(2)/2)*AQ169*AT169*VLOOKUP('Données projet'!$B$10,Paramètres!$A$1:$I$89,3,0)*0.475*44/12</f>
        <v>4.7873258551516455E-15</v>
      </c>
      <c r="AX169" s="21">
        <f t="shared" si="166"/>
        <v>20.280274784211031</v>
      </c>
      <c r="AY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6.2527760746888816E-13</v>
      </c>
      <c r="BE169" s="13">
        <f>BD169*VLOOKUP('Données projet'!$B$11,Paramètres!$A$1:$I$89,3,0)*VLOOKUP('Données projet'!$B$11,Paramètres!$A$1:$I$89,5,0)</f>
        <v>5.3648818720830608E-13</v>
      </c>
      <c r="BF169" s="13">
        <f t="shared" si="167"/>
        <v>6.6281362235424649E-12</v>
      </c>
      <c r="BG169" s="20">
        <f t="shared" si="168"/>
        <v>1.2478387515390925E-11</v>
      </c>
      <c r="BH169" s="59">
        <f t="shared" si="116"/>
        <v>293.33333333334582</v>
      </c>
      <c r="BI169" s="59">
        <f ca="1">AVERAGE(OFFSET($BH$3,0,0,'Données projet'!$E$11+1,1))-AVERAGE(OFFSET($H$3,0,0,'Données projet'!$E$11+1,1))</f>
        <v>312.89478437044261</v>
      </c>
      <c r="BJ169" s="59">
        <f t="shared" si="146"/>
        <v>276.16555507854571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>
        <f>EXP(-LN(2)/35)*BP168+(1-EXP(-LN(2)/35))/(LN(2)/35)*BL169*BM169*VLOOKUP('Données projet'!$B$11,Paramètres!$A$1:$I$89,3,0)*0.475*44/12</f>
        <v>72.296477848899627</v>
      </c>
      <c r="BQ169" s="21">
        <f>EXP(-LN(2)/25)*BQ168+(1-EXP(-LN(2)/25))/(LN(2)/25)*Calculateur!BL169*Calculateur!BN169*VLOOKUP('Données projet'!$B$11,Paramètres!$A$1:$I$89,3,0)*0.475*44/12</f>
        <v>14.743162002051962</v>
      </c>
      <c r="BR169" s="21">
        <f>EXP(-LN(2)/2)*BR168+(1-EXP(-LN(2)/2))/(LN(2)/2)*BL169*BO169*VLOOKUP('Données projet'!$B$11,Paramètres!$A$1:$I$89,3,0)*0.475*44/12</f>
        <v>2.3744325998965557E-3</v>
      </c>
      <c r="BS169" s="22">
        <f t="shared" si="169"/>
        <v>87.042014283551481</v>
      </c>
      <c r="BT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0</v>
      </c>
      <c r="BZ169" s="13" t="e">
        <f>BY169*VLOOKUP('Données projet'!$B$12,Paramètres!$A$1:$I$89,3,0)*VLOOKUP('Données projet'!$B$12,Paramètres!$A$1:$I$89,5,0)</f>
        <v>#N/A</v>
      </c>
      <c r="CA169" s="13" t="e">
        <f t="shared" si="170"/>
        <v>#N/A</v>
      </c>
      <c r="CB169" s="20" t="e">
        <f t="shared" si="171"/>
        <v>#N/A</v>
      </c>
      <c r="CC169" s="59" t="e">
        <f t="shared" si="119"/>
        <v>#N/A</v>
      </c>
      <c r="CD169" s="59" t="e">
        <f ca="1">AVERAGE(OFFSET($CC$3,0,0,'Données projet'!$E$12+1,1))-AVERAGE(OFFSET($H$3,0,0,'Données projet'!$E$12+1,1))</f>
        <v>#N/A</v>
      </c>
      <c r="CE169" s="59" t="e">
        <f t="shared" si="148"/>
        <v>#N/A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 t="e">
        <f>EXP(-LN(2)/35)*CK168+(1-EXP(-LN(2)/35))/(LN(2)/35)*CG169*CH169*VLOOKUP('Données projet'!$B$12,Paramètres!$A$1:$I$89,3,0)*0.475*44/12</f>
        <v>#N/A</v>
      </c>
      <c r="CL169" s="21" t="e">
        <f>EXP(-LN(2)/25)*CL168+(1-EXP(-LN(2)/25))/(LN(2)/25)*Calculateur!CG169*Calculateur!CI169*VLOOKUP('Données projet'!$B$12,Paramètres!$A$1:$I$89,3,0)*0.475*44/12</f>
        <v>#N/A</v>
      </c>
      <c r="CM169" s="21" t="e">
        <f>EXP(-LN(2)/2)*CM168+(1-EXP(-LN(2)/2))/(LN(2)/2)*CG169*CJ169*VLOOKUP('Données projet'!$B$12,Paramètres!$A$1:$I$89,3,0)*0.475*44/12</f>
        <v>#N/A</v>
      </c>
      <c r="CN169" s="22" t="e">
        <f t="shared" si="172"/>
        <v>#N/A</v>
      </c>
      <c r="CO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0</v>
      </c>
      <c r="CU169" s="17" t="e">
        <f>CT169*VLOOKUP('Données projet'!$B$13,Paramètres!$A$1:$I$89,3,0)*VLOOKUP('Données projet'!$B$13,Paramètres!$A$1:$I$89,5,0)</f>
        <v>#N/A</v>
      </c>
      <c r="CV169" s="13" t="e">
        <f t="shared" si="173"/>
        <v>#N/A</v>
      </c>
      <c r="CW169" s="20" t="e">
        <f t="shared" si="174"/>
        <v>#N/A</v>
      </c>
      <c r="CX169" s="59" t="e">
        <f t="shared" si="122"/>
        <v>#N/A</v>
      </c>
      <c r="CY169" s="59" t="e">
        <f ca="1">AVERAGE(OFFSET($CX$3,0,0,'Données projet'!$E$13+1,1))-AVERAGE(OFFSET($H$3,0,0,'Données projet'!$E$13+1,1))</f>
        <v>#N/A</v>
      </c>
      <c r="CZ169" s="59" t="e">
        <f t="shared" si="150"/>
        <v>#N/A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 t="e">
        <f>EXP(-LN(2)/35)*DF168+(1-EXP(-LN(2)/35))/(LN(2)/35)*DB169*DC169*VLOOKUP('Données projet'!$B$13,Paramètres!$A$1:$I$89,3,0)*0.475*44/12</f>
        <v>#N/A</v>
      </c>
      <c r="DG169" s="21" t="e">
        <f>EXP(-LN(2)/25)*DG168+(1-EXP(-LN(2)/25))/(LN(2)/25)*Calculateur!DB169*Calculateur!DD169*VLOOKUP('Données projet'!$B$13,Paramètres!$A$1:$I$89,3,0)*0.475*44/12</f>
        <v>#N/A</v>
      </c>
      <c r="DH169" s="21" t="e">
        <f>EXP(-LN(2)/2)*DH168+(1-EXP(-LN(2)/2))/(LN(2)/2)*DB169*DE169*VLOOKUP('Données projet'!$B$13,Paramètres!$A$1:$I$89,3,0)*0.475*44/12</f>
        <v>#N/A</v>
      </c>
      <c r="DI169" s="22" t="e">
        <f t="shared" si="175"/>
        <v>#N/A</v>
      </c>
      <c r="DJ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0</v>
      </c>
      <c r="DP169" s="17" t="e">
        <f>DO169*VLOOKUP('Données projet'!$B$14,Paramètres!$A$1:$I$89,3,0)*VLOOKUP('Données projet'!$B$14,Paramètres!$A$1:$I$89,5,0)</f>
        <v>#N/A</v>
      </c>
      <c r="DQ169" s="13" t="e">
        <f t="shared" si="176"/>
        <v>#N/A</v>
      </c>
      <c r="DR169" s="20" t="e">
        <f t="shared" si="177"/>
        <v>#N/A</v>
      </c>
      <c r="DS169" s="59" t="e">
        <f t="shared" si="125"/>
        <v>#N/A</v>
      </c>
      <c r="DT169" s="59" t="e">
        <f ca="1">AVERAGE(OFFSET($DS$3,0,0,'Données projet'!$E$14+1,1))-AVERAGE(OFFSET($H$3,0,0,'Données projet'!$E$14+1,1))</f>
        <v>#N/A</v>
      </c>
      <c r="DU169" s="59" t="e">
        <f t="shared" si="152"/>
        <v>#N/A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 t="e">
        <f>EXP(-LN(2)/35)*EA168+(1-EXP(-LN(2)/35))/(LN(2)/35)*DW169*DX169*VLOOKUP('Données projet'!$B$14,Paramètres!$A$1:$I$89,3,0)*0.475*44/12</f>
        <v>#N/A</v>
      </c>
      <c r="EB169" s="21" t="e">
        <f>EXP(-LN(2)/25)*EB168+(1-EXP(-LN(2)/25))/(LN(2)/25)*Calculateur!DW169*Calculateur!DY169*VLOOKUP('Données projet'!$B$14,Paramètres!$A$1:$I$89,3,0)*0.475*44/12</f>
        <v>#N/A</v>
      </c>
      <c r="EC169" s="21" t="e">
        <f>EXP(-LN(2)/2)*EC168+(1-EXP(-LN(2)/2))/(LN(2)/2)*DW169*DZ169*VLOOKUP('Données projet'!$B$14,Paramètres!$A$1:$I$89,3,0)*0.475*44/12</f>
        <v>#N/A</v>
      </c>
      <c r="ED169" s="22" t="e">
        <f t="shared" si="178"/>
        <v>#N/A</v>
      </c>
      <c r="EE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0</v>
      </c>
      <c r="EK169" s="17" t="e">
        <f>EJ169*VLOOKUP('Données projet'!$B$15,Paramètres!$A$1:$I$89,3,0)*VLOOKUP('Données projet'!$B$15,Paramètres!$A$1:$I$89,5,0)</f>
        <v>#N/A</v>
      </c>
      <c r="EL169" s="13" t="e">
        <f t="shared" si="179"/>
        <v>#N/A</v>
      </c>
      <c r="EM169" s="20" t="e">
        <f t="shared" si="180"/>
        <v>#N/A</v>
      </c>
      <c r="EN169" s="59" t="e">
        <f t="shared" si="128"/>
        <v>#N/A</v>
      </c>
      <c r="EO169" s="59" t="e">
        <f ca="1">AVERAGE(OFFSET($EN$3,0,0,'Données projet'!$E$15+1,1))-AVERAGE(OFFSET($H$3,0,0,'Données projet'!$E$15+1,1))</f>
        <v>#N/A</v>
      </c>
      <c r="EP169" s="59" t="e">
        <f t="shared" si="154"/>
        <v>#N/A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 t="e">
        <f>EXP(-LN(2)/35)*EV168+(1-EXP(-LN(2)/35))/(LN(2)/35)*ER169*ES169*VLOOKUP('Données projet'!$B$15,Paramètres!$A$1:$I$89,3,0)*0.475*44/12</f>
        <v>#N/A</v>
      </c>
      <c r="EW169" s="21" t="e">
        <f>EXP(-LN(2)/25)*EW168+(1-EXP(-LN(2)/25))/(LN(2)/25)*Calculateur!ER169*Calculateur!ET169*VLOOKUP('Données projet'!$B$15,Paramètres!$A$1:$I$89,3,0)*0.475*44/12</f>
        <v>#N/A</v>
      </c>
      <c r="EX169" s="21" t="e">
        <f>EXP(-LN(2)/2)*EX168+(1-EXP(-LN(2)/2))/(LN(2)/2)*ER169*EU169*VLOOKUP('Données projet'!$B$15,Paramètres!$A$1:$I$89,3,0)*0.475*44/12</f>
        <v>#N/A</v>
      </c>
      <c r="EY169" s="22" t="e">
        <f t="shared" si="181"/>
        <v>#N/A</v>
      </c>
      <c r="EZ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9" t="e">
        <f t="shared" si="131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45">
      <c r="A170" s="10">
        <f t="shared" si="161"/>
        <v>167</v>
      </c>
      <c r="B170" s="73">
        <f>'Scénario référence'!$B$16*5+'Scénario référence'!$B$17*0+'Scénario référence'!$B$18*5</f>
        <v>0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148.49639999999997</v>
      </c>
      <c r="D170" s="11">
        <f t="shared" si="140"/>
        <v>38.23668703199958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">
        <f>IF(OR('Scénario référence'!$F$8&gt;0,'Scénario référence'!$F$9&gt;0),('Scénario référence'!$F$8+'Scénario référence'!$F$9)*10,0)</f>
        <v>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1441.4483911242071</v>
      </c>
      <c r="H170" s="67">
        <f t="shared" si="110"/>
        <v>581.89345991406594</v>
      </c>
      <c r="I170" s="7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1.7053025658242404E-13</v>
      </c>
      <c r="O170" s="13">
        <f>N170*VLOOKUP('Données projet'!$B$9,Paramètres!$A$1:$I$89,3,0)*VLOOKUP('Données projet'!$B$9,Paramètres!$A$1:$I$89,5,0)</f>
        <v>9.5326413429575044E-14</v>
      </c>
      <c r="P170" s="13">
        <f t="shared" si="141"/>
        <v>1.4400742856080346E-12</v>
      </c>
      <c r="Q170" s="20">
        <f t="shared" si="162"/>
        <v>2.6741562174905032E-12</v>
      </c>
      <c r="R170" s="59">
        <f t="shared" si="109"/>
        <v>293.33333333333599</v>
      </c>
      <c r="S170" s="59">
        <f ca="1">AVERAGE(OFFSET($R$3,0,0,'Données projet'!$E$9+1,1))-AVERAGE(OFFSET($H$3,0,0,'Données projet'!$E$9+1,1))</f>
        <v>280.69347314340195</v>
      </c>
      <c r="T170" s="59">
        <f t="shared" si="142"/>
        <v>152.40533828556482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67.275624923101674</v>
      </c>
      <c r="AA170" s="21">
        <f>EXP(-LN(2)/25)*AA169+(1-EXP(-LN(2)/25))/(LN(2)/25)*Calculateur!V170*Calculateur!X170*VLOOKUP('Données projet'!$B$9,Paramètres!$A$1:$I$89,3,0)*0.475*44/12</f>
        <v>14.837053656969742</v>
      </c>
      <c r="AB170" s="21">
        <f>EXP(-LN(2)/2)*AB169+(1-EXP(-LN(2)/2))/(LN(2)/2)*V170*Y170*VLOOKUP('Données projet'!$B$9,Paramètres!$A$1:$I$89,3,0)*0.475*44/12</f>
        <v>5.2374445118172236E-6</v>
      </c>
      <c r="AC170" s="22">
        <f t="shared" si="163"/>
        <v>82.112683817515929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0</v>
      </c>
      <c r="AJ170" s="13">
        <f>AI170*VLOOKUP('Données projet'!$B$10,Paramètres!$A$1:$I$89,3,0)*VLOOKUP('Données projet'!$B$10,Paramètres!$A$1:$I$89,5,0)</f>
        <v>0</v>
      </c>
      <c r="AK170" s="13" t="e">
        <f t="shared" si="164"/>
        <v>#NUM!</v>
      </c>
      <c r="AL170" s="20" t="e">
        <f t="shared" si="165"/>
        <v>#NUM!</v>
      </c>
      <c r="AM170" s="59" t="e">
        <f t="shared" si="113"/>
        <v>#NUM!</v>
      </c>
      <c r="AN170" s="59">
        <f ca="1">AVERAGE(OFFSET($AM$3,0,0,'Données projet'!$E$10+1,1))-AVERAGE(OFFSET($H$3,0,0,'Données projet'!$E$10+1,1))</f>
        <v>179.4725256147085</v>
      </c>
      <c r="AO170" s="59">
        <f t="shared" si="144"/>
        <v>282.16750121151176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17.34739568370124</v>
      </c>
      <c r="AV170" s="21">
        <f>EXP(-LN(2)/25)*AV169+(1-EXP(-LN(2)/25))/(LN(2)/25)*Calculateur!AQ170*Calculateur!AS170*VLOOKUP('Données projet'!$B$10,Paramètres!$A$1:$I$89,3,0)*0.475*44/12</f>
        <v>2.5151916067309719</v>
      </c>
      <c r="AW170" s="21">
        <f>EXP(-LN(2)/2)*AW169+(1-EXP(-LN(2)/2))/(LN(2)/2)*AQ170*AT170*VLOOKUP('Données projet'!$B$10,Paramètres!$A$1:$I$89,3,0)*0.475*44/12</f>
        <v>3.3851505759274161E-15</v>
      </c>
      <c r="AX170" s="21">
        <f t="shared" si="166"/>
        <v>19.862587290432216</v>
      </c>
      <c r="AY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6.2527760746888816E-13</v>
      </c>
      <c r="BE170" s="13">
        <f>BD170*VLOOKUP('Données projet'!$B$11,Paramètres!$A$1:$I$89,3,0)*VLOOKUP('Données projet'!$B$11,Paramètres!$A$1:$I$89,5,0)</f>
        <v>5.3648818720830608E-13</v>
      </c>
      <c r="BF170" s="13">
        <f t="shared" si="167"/>
        <v>6.6281362235424649E-12</v>
      </c>
      <c r="BG170" s="20">
        <f t="shared" si="168"/>
        <v>1.2478387515390925E-11</v>
      </c>
      <c r="BH170" s="59">
        <f t="shared" si="116"/>
        <v>293.33333333334582</v>
      </c>
      <c r="BI170" s="59">
        <f ca="1">AVERAGE(OFFSET($BH$3,0,0,'Données projet'!$E$11+1,1))-AVERAGE(OFFSET($H$3,0,0,'Données projet'!$E$11+1,1))</f>
        <v>312.89478437044261</v>
      </c>
      <c r="BJ170" s="59">
        <f t="shared" si="146"/>
        <v>276.16555507854571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>
        <f>EXP(-LN(2)/35)*BP169+(1-EXP(-LN(2)/35))/(LN(2)/35)*BL170*BM170*VLOOKUP('Données projet'!$B$11,Paramètres!$A$1:$I$89,3,0)*0.475*44/12</f>
        <v>70.878788014780028</v>
      </c>
      <c r="BQ170" s="21">
        <f>EXP(-LN(2)/25)*BQ169+(1-EXP(-LN(2)/25))/(LN(2)/25)*Calculateur!BL170*Calculateur!BN170*VLOOKUP('Données projet'!$B$11,Paramètres!$A$1:$I$89,3,0)*0.475*44/12</f>
        <v>14.340009461796658</v>
      </c>
      <c r="BR170" s="21">
        <f>EXP(-LN(2)/2)*BR169+(1-EXP(-LN(2)/2))/(LN(2)/2)*BL170*BO170*VLOOKUP('Données projet'!$B$11,Paramètres!$A$1:$I$89,3,0)*0.475*44/12</f>
        <v>1.678977392857259E-3</v>
      </c>
      <c r="BS170" s="22">
        <f t="shared" si="169"/>
        <v>85.220476453969539</v>
      </c>
      <c r="BT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0</v>
      </c>
      <c r="BZ170" s="13" t="e">
        <f>BY170*VLOOKUP('Données projet'!$B$12,Paramètres!$A$1:$I$89,3,0)*VLOOKUP('Données projet'!$B$12,Paramètres!$A$1:$I$89,5,0)</f>
        <v>#N/A</v>
      </c>
      <c r="CA170" s="13" t="e">
        <f t="shared" si="170"/>
        <v>#N/A</v>
      </c>
      <c r="CB170" s="20" t="e">
        <f t="shared" si="171"/>
        <v>#N/A</v>
      </c>
      <c r="CC170" s="59" t="e">
        <f t="shared" si="119"/>
        <v>#N/A</v>
      </c>
      <c r="CD170" s="59" t="e">
        <f ca="1">AVERAGE(OFFSET($CC$3,0,0,'Données projet'!$E$12+1,1))-AVERAGE(OFFSET($H$3,0,0,'Données projet'!$E$12+1,1))</f>
        <v>#N/A</v>
      </c>
      <c r="CE170" s="59" t="e">
        <f t="shared" si="148"/>
        <v>#N/A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 t="e">
        <f>EXP(-LN(2)/35)*CK169+(1-EXP(-LN(2)/35))/(LN(2)/35)*CG170*CH170*VLOOKUP('Données projet'!$B$12,Paramètres!$A$1:$I$89,3,0)*0.475*44/12</f>
        <v>#N/A</v>
      </c>
      <c r="CL170" s="21" t="e">
        <f>EXP(-LN(2)/25)*CL169+(1-EXP(-LN(2)/25))/(LN(2)/25)*Calculateur!CG170*Calculateur!CI170*VLOOKUP('Données projet'!$B$12,Paramètres!$A$1:$I$89,3,0)*0.475*44/12</f>
        <v>#N/A</v>
      </c>
      <c r="CM170" s="21" t="e">
        <f>EXP(-LN(2)/2)*CM169+(1-EXP(-LN(2)/2))/(LN(2)/2)*CG170*CJ170*VLOOKUP('Données projet'!$B$12,Paramètres!$A$1:$I$89,3,0)*0.475*44/12</f>
        <v>#N/A</v>
      </c>
      <c r="CN170" s="22" t="e">
        <f t="shared" si="172"/>
        <v>#N/A</v>
      </c>
      <c r="CO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0</v>
      </c>
      <c r="CU170" s="17" t="e">
        <f>CT170*VLOOKUP('Données projet'!$B$13,Paramètres!$A$1:$I$89,3,0)*VLOOKUP('Données projet'!$B$13,Paramètres!$A$1:$I$89,5,0)</f>
        <v>#N/A</v>
      </c>
      <c r="CV170" s="13" t="e">
        <f t="shared" si="173"/>
        <v>#N/A</v>
      </c>
      <c r="CW170" s="20" t="e">
        <f t="shared" si="174"/>
        <v>#N/A</v>
      </c>
      <c r="CX170" s="59" t="e">
        <f t="shared" si="122"/>
        <v>#N/A</v>
      </c>
      <c r="CY170" s="59" t="e">
        <f ca="1">AVERAGE(OFFSET($CX$3,0,0,'Données projet'!$E$13+1,1))-AVERAGE(OFFSET($H$3,0,0,'Données projet'!$E$13+1,1))</f>
        <v>#N/A</v>
      </c>
      <c r="CZ170" s="59" t="e">
        <f t="shared" si="150"/>
        <v>#N/A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 t="e">
        <f>EXP(-LN(2)/35)*DF169+(1-EXP(-LN(2)/35))/(LN(2)/35)*DB170*DC170*VLOOKUP('Données projet'!$B$13,Paramètres!$A$1:$I$89,3,0)*0.475*44/12</f>
        <v>#N/A</v>
      </c>
      <c r="DG170" s="21" t="e">
        <f>EXP(-LN(2)/25)*DG169+(1-EXP(-LN(2)/25))/(LN(2)/25)*Calculateur!DB170*Calculateur!DD170*VLOOKUP('Données projet'!$B$13,Paramètres!$A$1:$I$89,3,0)*0.475*44/12</f>
        <v>#N/A</v>
      </c>
      <c r="DH170" s="21" t="e">
        <f>EXP(-LN(2)/2)*DH169+(1-EXP(-LN(2)/2))/(LN(2)/2)*DB170*DE170*VLOOKUP('Données projet'!$B$13,Paramètres!$A$1:$I$89,3,0)*0.475*44/12</f>
        <v>#N/A</v>
      </c>
      <c r="DI170" s="22" t="e">
        <f t="shared" si="175"/>
        <v>#N/A</v>
      </c>
      <c r="DJ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0</v>
      </c>
      <c r="DP170" s="17" t="e">
        <f>DO170*VLOOKUP('Données projet'!$B$14,Paramètres!$A$1:$I$89,3,0)*VLOOKUP('Données projet'!$B$14,Paramètres!$A$1:$I$89,5,0)</f>
        <v>#N/A</v>
      </c>
      <c r="DQ170" s="13" t="e">
        <f t="shared" si="176"/>
        <v>#N/A</v>
      </c>
      <c r="DR170" s="20" t="e">
        <f t="shared" si="177"/>
        <v>#N/A</v>
      </c>
      <c r="DS170" s="59" t="e">
        <f t="shared" si="125"/>
        <v>#N/A</v>
      </c>
      <c r="DT170" s="59" t="e">
        <f ca="1">AVERAGE(OFFSET($DS$3,0,0,'Données projet'!$E$14+1,1))-AVERAGE(OFFSET($H$3,0,0,'Données projet'!$E$14+1,1))</f>
        <v>#N/A</v>
      </c>
      <c r="DU170" s="59" t="e">
        <f t="shared" si="152"/>
        <v>#N/A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 t="e">
        <f>EXP(-LN(2)/35)*EA169+(1-EXP(-LN(2)/35))/(LN(2)/35)*DW170*DX170*VLOOKUP('Données projet'!$B$14,Paramètres!$A$1:$I$89,3,0)*0.475*44/12</f>
        <v>#N/A</v>
      </c>
      <c r="EB170" s="21" t="e">
        <f>EXP(-LN(2)/25)*EB169+(1-EXP(-LN(2)/25))/(LN(2)/25)*Calculateur!DW170*Calculateur!DY170*VLOOKUP('Données projet'!$B$14,Paramètres!$A$1:$I$89,3,0)*0.475*44/12</f>
        <v>#N/A</v>
      </c>
      <c r="EC170" s="21" t="e">
        <f>EXP(-LN(2)/2)*EC169+(1-EXP(-LN(2)/2))/(LN(2)/2)*DW170*DZ170*VLOOKUP('Données projet'!$B$14,Paramètres!$A$1:$I$89,3,0)*0.475*44/12</f>
        <v>#N/A</v>
      </c>
      <c r="ED170" s="22" t="e">
        <f t="shared" si="178"/>
        <v>#N/A</v>
      </c>
      <c r="EE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0</v>
      </c>
      <c r="EK170" s="17" t="e">
        <f>EJ170*VLOOKUP('Données projet'!$B$15,Paramètres!$A$1:$I$89,3,0)*VLOOKUP('Données projet'!$B$15,Paramètres!$A$1:$I$89,5,0)</f>
        <v>#N/A</v>
      </c>
      <c r="EL170" s="13" t="e">
        <f t="shared" si="179"/>
        <v>#N/A</v>
      </c>
      <c r="EM170" s="20" t="e">
        <f t="shared" si="180"/>
        <v>#N/A</v>
      </c>
      <c r="EN170" s="59" t="e">
        <f t="shared" si="128"/>
        <v>#N/A</v>
      </c>
      <c r="EO170" s="59" t="e">
        <f ca="1">AVERAGE(OFFSET($EN$3,0,0,'Données projet'!$E$15+1,1))-AVERAGE(OFFSET($H$3,0,0,'Données projet'!$E$15+1,1))</f>
        <v>#N/A</v>
      </c>
      <c r="EP170" s="59" t="e">
        <f t="shared" si="154"/>
        <v>#N/A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 t="e">
        <f>EXP(-LN(2)/35)*EV169+(1-EXP(-LN(2)/35))/(LN(2)/35)*ER170*ES170*VLOOKUP('Données projet'!$B$15,Paramètres!$A$1:$I$89,3,0)*0.475*44/12</f>
        <v>#N/A</v>
      </c>
      <c r="EW170" s="21" t="e">
        <f>EXP(-LN(2)/25)*EW169+(1-EXP(-LN(2)/25))/(LN(2)/25)*Calculateur!ER170*Calculateur!ET170*VLOOKUP('Données projet'!$B$15,Paramètres!$A$1:$I$89,3,0)*0.475*44/12</f>
        <v>#N/A</v>
      </c>
      <c r="EX170" s="21" t="e">
        <f>EXP(-LN(2)/2)*EX169+(1-EXP(-LN(2)/2))/(LN(2)/2)*ER170*EU170*VLOOKUP('Données projet'!$B$15,Paramètres!$A$1:$I$89,3,0)*0.475*44/12</f>
        <v>#N/A</v>
      </c>
      <c r="EY170" s="22" t="e">
        <f t="shared" si="181"/>
        <v>#N/A</v>
      </c>
      <c r="EZ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9" t="e">
        <f t="shared" si="131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45">
      <c r="A171" s="10">
        <f t="shared" si="161"/>
        <v>168</v>
      </c>
      <c r="B171" s="73">
        <f>'Scénario référence'!$B$16*5+'Scénario référence'!$B$17*0+'Scénario référence'!$B$18*5</f>
        <v>0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149.38559999999995</v>
      </c>
      <c r="D171" s="11">
        <f t="shared" si="140"/>
        <v>38.438927680599591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">
        <f>IF(OR('Scénario référence'!$F$8&gt;0,'Scénario référence'!$F$9&gt;0),('Scénario référence'!$F$8+'Scénario référence'!$F$9)*10,0)</f>
        <v>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1449.8735470081367</v>
      </c>
      <c r="H171" s="67">
        <f t="shared" si="110"/>
        <v>583.79438571037758</v>
      </c>
      <c r="I171" s="7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1.7053025658242404E-13</v>
      </c>
      <c r="O171" s="13">
        <f>N171*VLOOKUP('Données projet'!$B$9,Paramètres!$A$1:$I$89,3,0)*VLOOKUP('Données projet'!$B$9,Paramètres!$A$1:$I$89,5,0)</f>
        <v>9.5326413429575044E-14</v>
      </c>
      <c r="P171" s="13">
        <f t="shared" si="141"/>
        <v>1.4400742856080346E-12</v>
      </c>
      <c r="Q171" s="20">
        <f t="shared" si="162"/>
        <v>2.6741562174905032E-12</v>
      </c>
      <c r="R171" s="59">
        <f t="shared" si="109"/>
        <v>293.33333333333599</v>
      </c>
      <c r="S171" s="59">
        <f ca="1">AVERAGE(OFFSET($R$3,0,0,'Données projet'!$E$9+1,1))-AVERAGE(OFFSET($H$3,0,0,'Données projet'!$E$9+1,1))</f>
        <v>280.69347314340195</v>
      </c>
      <c r="T171" s="59">
        <f t="shared" si="142"/>
        <v>152.40533828556482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65.956390952439079</v>
      </c>
      <c r="AA171" s="21">
        <f>EXP(-LN(2)/25)*AA170+(1-EXP(-LN(2)/25))/(LN(2)/25)*Calculateur!V171*Calculateur!X171*VLOOKUP('Données projet'!$B$9,Paramètres!$A$1:$I$89,3,0)*0.475*44/12</f>
        <v>14.431333644473163</v>
      </c>
      <c r="AB171" s="21">
        <f>EXP(-LN(2)/2)*AB170+(1-EXP(-LN(2)/2))/(LN(2)/2)*V171*Y171*VLOOKUP('Données projet'!$B$9,Paramètres!$A$1:$I$89,3,0)*0.475*44/12</f>
        <v>3.7034325303942261E-6</v>
      </c>
      <c r="AC171" s="22">
        <f t="shared" si="163"/>
        <v>80.387728300344776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0</v>
      </c>
      <c r="AJ171" s="13">
        <f>AI171*VLOOKUP('Données projet'!$B$10,Paramètres!$A$1:$I$89,3,0)*VLOOKUP('Données projet'!$B$10,Paramètres!$A$1:$I$89,5,0)</f>
        <v>0</v>
      </c>
      <c r="AK171" s="13" t="e">
        <f t="shared" si="164"/>
        <v>#NUM!</v>
      </c>
      <c r="AL171" s="20" t="e">
        <f t="shared" si="165"/>
        <v>#NUM!</v>
      </c>
      <c r="AM171" s="59" t="e">
        <f t="shared" si="113"/>
        <v>#NUM!</v>
      </c>
      <c r="AN171" s="59">
        <f ca="1">AVERAGE(OFFSET($AM$3,0,0,'Données projet'!$E$10+1,1))-AVERAGE(OFFSET($H$3,0,0,'Données projet'!$E$10+1,1))</f>
        <v>179.4725256147085</v>
      </c>
      <c r="AO171" s="59">
        <f t="shared" si="144"/>
        <v>282.16750121151176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17.007223835210453</v>
      </c>
      <c r="AV171" s="21">
        <f>EXP(-LN(2)/25)*AV170+(1-EXP(-LN(2)/25))/(LN(2)/25)*Calculateur!AQ171*Calculateur!AS171*VLOOKUP('Données projet'!$B$10,Paramètres!$A$1:$I$89,3,0)*0.475*44/12</f>
        <v>2.4464135599767354</v>
      </c>
      <c r="AW171" s="21">
        <f>EXP(-LN(2)/2)*AW170+(1-EXP(-LN(2)/2))/(LN(2)/2)*AQ171*AT171*VLOOKUP('Données projet'!$B$10,Paramètres!$A$1:$I$89,3,0)*0.475*44/12</f>
        <v>2.3936629275758227E-15</v>
      </c>
      <c r="AX171" s="21">
        <f t="shared" si="166"/>
        <v>19.453637395187194</v>
      </c>
      <c r="AY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6.2527760746888816E-13</v>
      </c>
      <c r="BE171" s="13">
        <f>BD171*VLOOKUP('Données projet'!$B$11,Paramètres!$A$1:$I$89,3,0)*VLOOKUP('Données projet'!$B$11,Paramètres!$A$1:$I$89,5,0)</f>
        <v>5.3648818720830608E-13</v>
      </c>
      <c r="BF171" s="13">
        <f t="shared" si="167"/>
        <v>6.6281362235424649E-12</v>
      </c>
      <c r="BG171" s="20">
        <f t="shared" si="168"/>
        <v>1.2478387515390925E-11</v>
      </c>
      <c r="BH171" s="59">
        <f t="shared" si="116"/>
        <v>293.33333333334582</v>
      </c>
      <c r="BI171" s="59">
        <f ca="1">AVERAGE(OFFSET($BH$3,0,0,'Données projet'!$E$11+1,1))-AVERAGE(OFFSET($H$3,0,0,'Données projet'!$E$11+1,1))</f>
        <v>312.89478437044261</v>
      </c>
      <c r="BJ171" s="59">
        <f t="shared" si="146"/>
        <v>276.16555507854571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>
        <f>EXP(-LN(2)/35)*BP170+(1-EXP(-LN(2)/35))/(LN(2)/35)*BL171*BM171*VLOOKUP('Données projet'!$B$11,Paramètres!$A$1:$I$89,3,0)*0.475*44/12</f>
        <v>69.488898213602099</v>
      </c>
      <c r="BQ171" s="21">
        <f>EXP(-LN(2)/25)*BQ170+(1-EXP(-LN(2)/25))/(LN(2)/25)*Calculateur!BL171*Calculateur!BN171*VLOOKUP('Données projet'!$B$11,Paramètres!$A$1:$I$89,3,0)*0.475*44/12</f>
        <v>13.947881148955505</v>
      </c>
      <c r="BR171" s="21">
        <f>EXP(-LN(2)/2)*BR170+(1-EXP(-LN(2)/2))/(LN(2)/2)*BL171*BO171*VLOOKUP('Données projet'!$B$11,Paramètres!$A$1:$I$89,3,0)*0.475*44/12</f>
        <v>1.1872162999482779E-3</v>
      </c>
      <c r="BS171" s="22">
        <f t="shared" si="169"/>
        <v>83.437966578857555</v>
      </c>
      <c r="BT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0</v>
      </c>
      <c r="BZ171" s="13" t="e">
        <f>BY171*VLOOKUP('Données projet'!$B$12,Paramètres!$A$1:$I$89,3,0)*VLOOKUP('Données projet'!$B$12,Paramètres!$A$1:$I$89,5,0)</f>
        <v>#N/A</v>
      </c>
      <c r="CA171" s="13" t="e">
        <f t="shared" si="170"/>
        <v>#N/A</v>
      </c>
      <c r="CB171" s="20" t="e">
        <f t="shared" si="171"/>
        <v>#N/A</v>
      </c>
      <c r="CC171" s="59" t="e">
        <f t="shared" si="119"/>
        <v>#N/A</v>
      </c>
      <c r="CD171" s="59" t="e">
        <f ca="1">AVERAGE(OFFSET($CC$3,0,0,'Données projet'!$E$12+1,1))-AVERAGE(OFFSET($H$3,0,0,'Données projet'!$E$12+1,1))</f>
        <v>#N/A</v>
      </c>
      <c r="CE171" s="59" t="e">
        <f t="shared" si="148"/>
        <v>#N/A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 t="e">
        <f>EXP(-LN(2)/35)*CK170+(1-EXP(-LN(2)/35))/(LN(2)/35)*CG171*CH171*VLOOKUP('Données projet'!$B$12,Paramètres!$A$1:$I$89,3,0)*0.475*44/12</f>
        <v>#N/A</v>
      </c>
      <c r="CL171" s="21" t="e">
        <f>EXP(-LN(2)/25)*CL170+(1-EXP(-LN(2)/25))/(LN(2)/25)*Calculateur!CG171*Calculateur!CI171*VLOOKUP('Données projet'!$B$12,Paramètres!$A$1:$I$89,3,0)*0.475*44/12</f>
        <v>#N/A</v>
      </c>
      <c r="CM171" s="21" t="e">
        <f>EXP(-LN(2)/2)*CM170+(1-EXP(-LN(2)/2))/(LN(2)/2)*CG171*CJ171*VLOOKUP('Données projet'!$B$12,Paramètres!$A$1:$I$89,3,0)*0.475*44/12</f>
        <v>#N/A</v>
      </c>
      <c r="CN171" s="22" t="e">
        <f t="shared" si="172"/>
        <v>#N/A</v>
      </c>
      <c r="CO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0</v>
      </c>
      <c r="CU171" s="17" t="e">
        <f>CT171*VLOOKUP('Données projet'!$B$13,Paramètres!$A$1:$I$89,3,0)*VLOOKUP('Données projet'!$B$13,Paramètres!$A$1:$I$89,5,0)</f>
        <v>#N/A</v>
      </c>
      <c r="CV171" s="13" t="e">
        <f t="shared" si="173"/>
        <v>#N/A</v>
      </c>
      <c r="CW171" s="20" t="e">
        <f t="shared" si="174"/>
        <v>#N/A</v>
      </c>
      <c r="CX171" s="59" t="e">
        <f t="shared" si="122"/>
        <v>#N/A</v>
      </c>
      <c r="CY171" s="59" t="e">
        <f ca="1">AVERAGE(OFFSET($CX$3,0,0,'Données projet'!$E$13+1,1))-AVERAGE(OFFSET($H$3,0,0,'Données projet'!$E$13+1,1))</f>
        <v>#N/A</v>
      </c>
      <c r="CZ171" s="59" t="e">
        <f t="shared" si="150"/>
        <v>#N/A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 t="e">
        <f>EXP(-LN(2)/35)*DF170+(1-EXP(-LN(2)/35))/(LN(2)/35)*DB171*DC171*VLOOKUP('Données projet'!$B$13,Paramètres!$A$1:$I$89,3,0)*0.475*44/12</f>
        <v>#N/A</v>
      </c>
      <c r="DG171" s="21" t="e">
        <f>EXP(-LN(2)/25)*DG170+(1-EXP(-LN(2)/25))/(LN(2)/25)*Calculateur!DB171*Calculateur!DD171*VLOOKUP('Données projet'!$B$13,Paramètres!$A$1:$I$89,3,0)*0.475*44/12</f>
        <v>#N/A</v>
      </c>
      <c r="DH171" s="21" t="e">
        <f>EXP(-LN(2)/2)*DH170+(1-EXP(-LN(2)/2))/(LN(2)/2)*DB171*DE171*VLOOKUP('Données projet'!$B$13,Paramètres!$A$1:$I$89,3,0)*0.475*44/12</f>
        <v>#N/A</v>
      </c>
      <c r="DI171" s="22" t="e">
        <f t="shared" si="175"/>
        <v>#N/A</v>
      </c>
      <c r="DJ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0</v>
      </c>
      <c r="DP171" s="17" t="e">
        <f>DO171*VLOOKUP('Données projet'!$B$14,Paramètres!$A$1:$I$89,3,0)*VLOOKUP('Données projet'!$B$14,Paramètres!$A$1:$I$89,5,0)</f>
        <v>#N/A</v>
      </c>
      <c r="DQ171" s="13" t="e">
        <f t="shared" si="176"/>
        <v>#N/A</v>
      </c>
      <c r="DR171" s="20" t="e">
        <f t="shared" si="177"/>
        <v>#N/A</v>
      </c>
      <c r="DS171" s="59" t="e">
        <f t="shared" si="125"/>
        <v>#N/A</v>
      </c>
      <c r="DT171" s="59" t="e">
        <f ca="1">AVERAGE(OFFSET($DS$3,0,0,'Données projet'!$E$14+1,1))-AVERAGE(OFFSET($H$3,0,0,'Données projet'!$E$14+1,1))</f>
        <v>#N/A</v>
      </c>
      <c r="DU171" s="59" t="e">
        <f t="shared" si="152"/>
        <v>#N/A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 t="e">
        <f>EXP(-LN(2)/35)*EA170+(1-EXP(-LN(2)/35))/(LN(2)/35)*DW171*DX171*VLOOKUP('Données projet'!$B$14,Paramètres!$A$1:$I$89,3,0)*0.475*44/12</f>
        <v>#N/A</v>
      </c>
      <c r="EB171" s="21" t="e">
        <f>EXP(-LN(2)/25)*EB170+(1-EXP(-LN(2)/25))/(LN(2)/25)*Calculateur!DW171*Calculateur!DY171*VLOOKUP('Données projet'!$B$14,Paramètres!$A$1:$I$89,3,0)*0.475*44/12</f>
        <v>#N/A</v>
      </c>
      <c r="EC171" s="21" t="e">
        <f>EXP(-LN(2)/2)*EC170+(1-EXP(-LN(2)/2))/(LN(2)/2)*DW171*DZ171*VLOOKUP('Données projet'!$B$14,Paramètres!$A$1:$I$89,3,0)*0.475*44/12</f>
        <v>#N/A</v>
      </c>
      <c r="ED171" s="22" t="e">
        <f t="shared" si="178"/>
        <v>#N/A</v>
      </c>
      <c r="EE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0</v>
      </c>
      <c r="EK171" s="17" t="e">
        <f>EJ171*VLOOKUP('Données projet'!$B$15,Paramètres!$A$1:$I$89,3,0)*VLOOKUP('Données projet'!$B$15,Paramètres!$A$1:$I$89,5,0)</f>
        <v>#N/A</v>
      </c>
      <c r="EL171" s="13" t="e">
        <f t="shared" si="179"/>
        <v>#N/A</v>
      </c>
      <c r="EM171" s="20" t="e">
        <f t="shared" si="180"/>
        <v>#N/A</v>
      </c>
      <c r="EN171" s="59" t="e">
        <f t="shared" si="128"/>
        <v>#N/A</v>
      </c>
      <c r="EO171" s="59" t="e">
        <f ca="1">AVERAGE(OFFSET($EN$3,0,0,'Données projet'!$E$15+1,1))-AVERAGE(OFFSET($H$3,0,0,'Données projet'!$E$15+1,1))</f>
        <v>#N/A</v>
      </c>
      <c r="EP171" s="59" t="e">
        <f t="shared" si="154"/>
        <v>#N/A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 t="e">
        <f>EXP(-LN(2)/35)*EV170+(1-EXP(-LN(2)/35))/(LN(2)/35)*ER171*ES171*VLOOKUP('Données projet'!$B$15,Paramètres!$A$1:$I$89,3,0)*0.475*44/12</f>
        <v>#N/A</v>
      </c>
      <c r="EW171" s="21" t="e">
        <f>EXP(-LN(2)/25)*EW170+(1-EXP(-LN(2)/25))/(LN(2)/25)*Calculateur!ER171*Calculateur!ET171*VLOOKUP('Données projet'!$B$15,Paramètres!$A$1:$I$89,3,0)*0.475*44/12</f>
        <v>#N/A</v>
      </c>
      <c r="EX171" s="21" t="e">
        <f>EXP(-LN(2)/2)*EX170+(1-EXP(-LN(2)/2))/(LN(2)/2)*ER171*EU171*VLOOKUP('Données projet'!$B$15,Paramètres!$A$1:$I$89,3,0)*0.475*44/12</f>
        <v>#N/A</v>
      </c>
      <c r="EY171" s="22" t="e">
        <f t="shared" si="181"/>
        <v>#N/A</v>
      </c>
      <c r="EZ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9" t="e">
        <f t="shared" si="131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45">
      <c r="A172" s="10">
        <f t="shared" si="161"/>
        <v>169</v>
      </c>
      <c r="B172" s="73">
        <f>'Scénario référence'!$B$16*5+'Scénario référence'!$B$17*0+'Scénario référence'!$B$18*5</f>
        <v>0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150.27479999999994</v>
      </c>
      <c r="D172" s="11">
        <f t="shared" si="140"/>
        <v>38.641028252978323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">
        <f>IF(OR('Scénario référence'!$F$8&gt;0,'Scénario référence'!$F$9&gt;0),('Scénario référence'!$F$8+'Scénario référence'!$F$9)*10,0)</f>
        <v>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1458.2976216019376</v>
      </c>
      <c r="H172" s="67">
        <f t="shared" si="110"/>
        <v>585.69506754060376</v>
      </c>
      <c r="I172" s="7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1.7053025658242404E-13</v>
      </c>
      <c r="O172" s="13">
        <f>N172*VLOOKUP('Données projet'!$B$9,Paramètres!$A$1:$I$89,3,0)*VLOOKUP('Données projet'!$B$9,Paramètres!$A$1:$I$89,5,0)</f>
        <v>9.5326413429575044E-14</v>
      </c>
      <c r="P172" s="13">
        <f t="shared" si="141"/>
        <v>1.4400742856080346E-12</v>
      </c>
      <c r="Q172" s="20">
        <f t="shared" si="162"/>
        <v>2.6741562174905032E-12</v>
      </c>
      <c r="R172" s="59">
        <f t="shared" si="109"/>
        <v>293.33333333333599</v>
      </c>
      <c r="S172" s="59">
        <f ca="1">AVERAGE(OFFSET($R$3,0,0,'Données projet'!$E$9+1,1))-AVERAGE(OFFSET($H$3,0,0,'Données projet'!$E$9+1,1))</f>
        <v>280.69347314340195</v>
      </c>
      <c r="T172" s="59">
        <f t="shared" si="142"/>
        <v>152.40533828556482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64.663026355287897</v>
      </c>
      <c r="AA172" s="21">
        <f>EXP(-LN(2)/25)*AA171+(1-EXP(-LN(2)/25))/(LN(2)/25)*Calculateur!V172*Calculateur!X172*VLOOKUP('Données projet'!$B$9,Paramètres!$A$1:$I$89,3,0)*0.475*44/12</f>
        <v>14.036708067054192</v>
      </c>
      <c r="AB172" s="21">
        <f>EXP(-LN(2)/2)*AB171+(1-EXP(-LN(2)/2))/(LN(2)/2)*V172*Y172*VLOOKUP('Données projet'!$B$9,Paramètres!$A$1:$I$89,3,0)*0.475*44/12</f>
        <v>2.6187222559086122E-6</v>
      </c>
      <c r="AC172" s="22">
        <f t="shared" si="163"/>
        <v>78.699737041064338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0</v>
      </c>
      <c r="AJ172" s="13">
        <f>AI172*VLOOKUP('Données projet'!$B$10,Paramètres!$A$1:$I$89,3,0)*VLOOKUP('Données projet'!$B$10,Paramètres!$A$1:$I$89,5,0)</f>
        <v>0</v>
      </c>
      <c r="AK172" s="13" t="e">
        <f t="shared" si="164"/>
        <v>#NUM!</v>
      </c>
      <c r="AL172" s="20" t="e">
        <f t="shared" si="165"/>
        <v>#NUM!</v>
      </c>
      <c r="AM172" s="59" t="e">
        <f t="shared" si="113"/>
        <v>#NUM!</v>
      </c>
      <c r="AN172" s="59">
        <f ca="1">AVERAGE(OFFSET($AM$3,0,0,'Données projet'!$E$10+1,1))-AVERAGE(OFFSET($H$3,0,0,'Données projet'!$E$10+1,1))</f>
        <v>179.4725256147085</v>
      </c>
      <c r="AO172" s="59">
        <f t="shared" si="144"/>
        <v>282.16750121151176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16.67372254918423</v>
      </c>
      <c r="AV172" s="21">
        <f>EXP(-LN(2)/25)*AV171+(1-EXP(-LN(2)/25))/(LN(2)/25)*Calculateur!AQ172*Calculateur!AS172*VLOOKUP('Données projet'!$B$10,Paramètres!$A$1:$I$89,3,0)*0.475*44/12</f>
        <v>2.3795162525278739</v>
      </c>
      <c r="AW172" s="21">
        <f>EXP(-LN(2)/2)*AW171+(1-EXP(-LN(2)/2))/(LN(2)/2)*AQ172*AT172*VLOOKUP('Données projet'!$B$10,Paramètres!$A$1:$I$89,3,0)*0.475*44/12</f>
        <v>1.6925752879637081E-15</v>
      </c>
      <c r="AX172" s="21">
        <f t="shared" si="166"/>
        <v>19.053238801712105</v>
      </c>
      <c r="AY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6.2527760746888816E-13</v>
      </c>
      <c r="BE172" s="13">
        <f>BD172*VLOOKUP('Données projet'!$B$11,Paramètres!$A$1:$I$89,3,0)*VLOOKUP('Données projet'!$B$11,Paramètres!$A$1:$I$89,5,0)</f>
        <v>5.3648818720830608E-13</v>
      </c>
      <c r="BF172" s="13">
        <f t="shared" si="167"/>
        <v>6.6281362235424649E-12</v>
      </c>
      <c r="BG172" s="20">
        <f t="shared" si="168"/>
        <v>1.2478387515390925E-11</v>
      </c>
      <c r="BH172" s="59">
        <f t="shared" si="116"/>
        <v>293.33333333334582</v>
      </c>
      <c r="BI172" s="59">
        <f ca="1">AVERAGE(OFFSET($BH$3,0,0,'Données projet'!$E$11+1,1))-AVERAGE(OFFSET($H$3,0,0,'Données projet'!$E$11+1,1))</f>
        <v>312.89478437044261</v>
      </c>
      <c r="BJ172" s="59">
        <f t="shared" si="146"/>
        <v>276.16555507854571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>
        <f>EXP(-LN(2)/35)*BP171+(1-EXP(-LN(2)/35))/(LN(2)/35)*BL172*BM172*VLOOKUP('Données projet'!$B$11,Paramètres!$A$1:$I$89,3,0)*0.475*44/12</f>
        <v>68.126263303676197</v>
      </c>
      <c r="BQ172" s="21">
        <f>EXP(-LN(2)/25)*BQ171+(1-EXP(-LN(2)/25))/(LN(2)/25)*Calculateur!BL172*Calculateur!BN172*VLOOKUP('Données projet'!$B$11,Paramètres!$A$1:$I$89,3,0)*0.475*44/12</f>
        <v>13.566475605450124</v>
      </c>
      <c r="BR172" s="21">
        <f>EXP(-LN(2)/2)*BR171+(1-EXP(-LN(2)/2))/(LN(2)/2)*BL172*BO172*VLOOKUP('Données projet'!$B$11,Paramètres!$A$1:$I$89,3,0)*0.475*44/12</f>
        <v>8.394886964286295E-4</v>
      </c>
      <c r="BS172" s="22">
        <f t="shared" si="169"/>
        <v>81.693578397822748</v>
      </c>
      <c r="BT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0</v>
      </c>
      <c r="BZ172" s="13" t="e">
        <f>BY172*VLOOKUP('Données projet'!$B$12,Paramètres!$A$1:$I$89,3,0)*VLOOKUP('Données projet'!$B$12,Paramètres!$A$1:$I$89,5,0)</f>
        <v>#N/A</v>
      </c>
      <c r="CA172" s="13" t="e">
        <f t="shared" si="170"/>
        <v>#N/A</v>
      </c>
      <c r="CB172" s="20" t="e">
        <f t="shared" si="171"/>
        <v>#N/A</v>
      </c>
      <c r="CC172" s="59" t="e">
        <f t="shared" si="119"/>
        <v>#N/A</v>
      </c>
      <c r="CD172" s="59" t="e">
        <f ca="1">AVERAGE(OFFSET($CC$3,0,0,'Données projet'!$E$12+1,1))-AVERAGE(OFFSET($H$3,0,0,'Données projet'!$E$12+1,1))</f>
        <v>#N/A</v>
      </c>
      <c r="CE172" s="59" t="e">
        <f t="shared" si="148"/>
        <v>#N/A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 t="e">
        <f>EXP(-LN(2)/35)*CK171+(1-EXP(-LN(2)/35))/(LN(2)/35)*CG172*CH172*VLOOKUP('Données projet'!$B$12,Paramètres!$A$1:$I$89,3,0)*0.475*44/12</f>
        <v>#N/A</v>
      </c>
      <c r="CL172" s="21" t="e">
        <f>EXP(-LN(2)/25)*CL171+(1-EXP(-LN(2)/25))/(LN(2)/25)*Calculateur!CG172*Calculateur!CI172*VLOOKUP('Données projet'!$B$12,Paramètres!$A$1:$I$89,3,0)*0.475*44/12</f>
        <v>#N/A</v>
      </c>
      <c r="CM172" s="21" t="e">
        <f>EXP(-LN(2)/2)*CM171+(1-EXP(-LN(2)/2))/(LN(2)/2)*CG172*CJ172*VLOOKUP('Données projet'!$B$12,Paramètres!$A$1:$I$89,3,0)*0.475*44/12</f>
        <v>#N/A</v>
      </c>
      <c r="CN172" s="22" t="e">
        <f t="shared" si="172"/>
        <v>#N/A</v>
      </c>
      <c r="CO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0</v>
      </c>
      <c r="CU172" s="17" t="e">
        <f>CT172*VLOOKUP('Données projet'!$B$13,Paramètres!$A$1:$I$89,3,0)*VLOOKUP('Données projet'!$B$13,Paramètres!$A$1:$I$89,5,0)</f>
        <v>#N/A</v>
      </c>
      <c r="CV172" s="13" t="e">
        <f t="shared" si="173"/>
        <v>#N/A</v>
      </c>
      <c r="CW172" s="20" t="e">
        <f t="shared" si="174"/>
        <v>#N/A</v>
      </c>
      <c r="CX172" s="59" t="e">
        <f t="shared" si="122"/>
        <v>#N/A</v>
      </c>
      <c r="CY172" s="59" t="e">
        <f ca="1">AVERAGE(OFFSET($CX$3,0,0,'Données projet'!$E$13+1,1))-AVERAGE(OFFSET($H$3,0,0,'Données projet'!$E$13+1,1))</f>
        <v>#N/A</v>
      </c>
      <c r="CZ172" s="59" t="e">
        <f t="shared" si="150"/>
        <v>#N/A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 t="e">
        <f>EXP(-LN(2)/35)*DF171+(1-EXP(-LN(2)/35))/(LN(2)/35)*DB172*DC172*VLOOKUP('Données projet'!$B$13,Paramètres!$A$1:$I$89,3,0)*0.475*44/12</f>
        <v>#N/A</v>
      </c>
      <c r="DG172" s="21" t="e">
        <f>EXP(-LN(2)/25)*DG171+(1-EXP(-LN(2)/25))/(LN(2)/25)*Calculateur!DB172*Calculateur!DD172*VLOOKUP('Données projet'!$B$13,Paramètres!$A$1:$I$89,3,0)*0.475*44/12</f>
        <v>#N/A</v>
      </c>
      <c r="DH172" s="21" t="e">
        <f>EXP(-LN(2)/2)*DH171+(1-EXP(-LN(2)/2))/(LN(2)/2)*DB172*DE172*VLOOKUP('Données projet'!$B$13,Paramètres!$A$1:$I$89,3,0)*0.475*44/12</f>
        <v>#N/A</v>
      </c>
      <c r="DI172" s="22" t="e">
        <f t="shared" si="175"/>
        <v>#N/A</v>
      </c>
      <c r="DJ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0</v>
      </c>
      <c r="DP172" s="17" t="e">
        <f>DO172*VLOOKUP('Données projet'!$B$14,Paramètres!$A$1:$I$89,3,0)*VLOOKUP('Données projet'!$B$14,Paramètres!$A$1:$I$89,5,0)</f>
        <v>#N/A</v>
      </c>
      <c r="DQ172" s="13" t="e">
        <f t="shared" si="176"/>
        <v>#N/A</v>
      </c>
      <c r="DR172" s="20" t="e">
        <f t="shared" si="177"/>
        <v>#N/A</v>
      </c>
      <c r="DS172" s="59" t="e">
        <f t="shared" si="125"/>
        <v>#N/A</v>
      </c>
      <c r="DT172" s="59" t="e">
        <f ca="1">AVERAGE(OFFSET($DS$3,0,0,'Données projet'!$E$14+1,1))-AVERAGE(OFFSET($H$3,0,0,'Données projet'!$E$14+1,1))</f>
        <v>#N/A</v>
      </c>
      <c r="DU172" s="59" t="e">
        <f t="shared" si="152"/>
        <v>#N/A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 t="e">
        <f>EXP(-LN(2)/35)*EA171+(1-EXP(-LN(2)/35))/(LN(2)/35)*DW172*DX172*VLOOKUP('Données projet'!$B$14,Paramètres!$A$1:$I$89,3,0)*0.475*44/12</f>
        <v>#N/A</v>
      </c>
      <c r="EB172" s="21" t="e">
        <f>EXP(-LN(2)/25)*EB171+(1-EXP(-LN(2)/25))/(LN(2)/25)*Calculateur!DW172*Calculateur!DY172*VLOOKUP('Données projet'!$B$14,Paramètres!$A$1:$I$89,3,0)*0.475*44/12</f>
        <v>#N/A</v>
      </c>
      <c r="EC172" s="21" t="e">
        <f>EXP(-LN(2)/2)*EC171+(1-EXP(-LN(2)/2))/(LN(2)/2)*DW172*DZ172*VLOOKUP('Données projet'!$B$14,Paramètres!$A$1:$I$89,3,0)*0.475*44/12</f>
        <v>#N/A</v>
      </c>
      <c r="ED172" s="22" t="e">
        <f t="shared" si="178"/>
        <v>#N/A</v>
      </c>
      <c r="EE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0</v>
      </c>
      <c r="EK172" s="17" t="e">
        <f>EJ172*VLOOKUP('Données projet'!$B$15,Paramètres!$A$1:$I$89,3,0)*VLOOKUP('Données projet'!$B$15,Paramètres!$A$1:$I$89,5,0)</f>
        <v>#N/A</v>
      </c>
      <c r="EL172" s="13" t="e">
        <f t="shared" si="179"/>
        <v>#N/A</v>
      </c>
      <c r="EM172" s="20" t="e">
        <f t="shared" si="180"/>
        <v>#N/A</v>
      </c>
      <c r="EN172" s="59" t="e">
        <f t="shared" si="128"/>
        <v>#N/A</v>
      </c>
      <c r="EO172" s="59" t="e">
        <f ca="1">AVERAGE(OFFSET($EN$3,0,0,'Données projet'!$E$15+1,1))-AVERAGE(OFFSET($H$3,0,0,'Données projet'!$E$15+1,1))</f>
        <v>#N/A</v>
      </c>
      <c r="EP172" s="59" t="e">
        <f t="shared" si="154"/>
        <v>#N/A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 t="e">
        <f>EXP(-LN(2)/35)*EV171+(1-EXP(-LN(2)/35))/(LN(2)/35)*ER172*ES172*VLOOKUP('Données projet'!$B$15,Paramètres!$A$1:$I$89,3,0)*0.475*44/12</f>
        <v>#N/A</v>
      </c>
      <c r="EW172" s="21" t="e">
        <f>EXP(-LN(2)/25)*EW171+(1-EXP(-LN(2)/25))/(LN(2)/25)*Calculateur!ER172*Calculateur!ET172*VLOOKUP('Données projet'!$B$15,Paramètres!$A$1:$I$89,3,0)*0.475*44/12</f>
        <v>#N/A</v>
      </c>
      <c r="EX172" s="21" t="e">
        <f>EXP(-LN(2)/2)*EX171+(1-EXP(-LN(2)/2))/(LN(2)/2)*ER172*EU172*VLOOKUP('Données projet'!$B$15,Paramètres!$A$1:$I$89,3,0)*0.475*44/12</f>
        <v>#N/A</v>
      </c>
      <c r="EY172" s="22" t="e">
        <f t="shared" si="181"/>
        <v>#N/A</v>
      </c>
      <c r="EZ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9" t="e">
        <f t="shared" si="131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45">
      <c r="A173" s="10">
        <f t="shared" si="161"/>
        <v>170</v>
      </c>
      <c r="B173" s="73">
        <f>'Scénario référence'!$B$16*5+'Scénario référence'!$B$17*0+'Scénario référence'!$B$18*5</f>
        <v>0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151.16399999999993</v>
      </c>
      <c r="D173" s="11">
        <f t="shared" si="140"/>
        <v>38.842989674159945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">
        <f>IF(OR('Scénario référence'!$F$8&gt;0,'Scénario référence'!$F$9&gt;0),('Scénario référence'!$F$8+'Scénario référence'!$F$9)*10,0)</f>
        <v>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1466.7206220461464</v>
      </c>
      <c r="H173" s="67">
        <f t="shared" si="110"/>
        <v>587.5955070158285</v>
      </c>
      <c r="I173" s="7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1.7053025658242404E-13</v>
      </c>
      <c r="O173" s="13">
        <f>N173*VLOOKUP('Données projet'!$B$9,Paramètres!$A$1:$I$89,3,0)*VLOOKUP('Données projet'!$B$9,Paramètres!$A$1:$I$89,5,0)</f>
        <v>9.5326413429575044E-14</v>
      </c>
      <c r="P173" s="13">
        <f t="shared" si="141"/>
        <v>1.4400742856080346E-12</v>
      </c>
      <c r="Q173" s="20">
        <f t="shared" si="162"/>
        <v>2.6741562174905032E-12</v>
      </c>
      <c r="R173" s="59">
        <f t="shared" si="109"/>
        <v>293.33333333333599</v>
      </c>
      <c r="S173" s="59">
        <f ca="1">AVERAGE(OFFSET($R$3,0,0,'Données projet'!$E$9+1,1))-AVERAGE(OFFSET($H$3,0,0,'Données projet'!$E$9+1,1))</f>
        <v>280.69347314340195</v>
      </c>
      <c r="T173" s="59">
        <f t="shared" si="142"/>
        <v>152.40533828556482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63.395023849012347</v>
      </c>
      <c r="AA173" s="21">
        <f>EXP(-LN(2)/25)*AA172+(1-EXP(-LN(2)/25))/(LN(2)/25)*Calculateur!V173*Calculateur!X173*VLOOKUP('Données projet'!$B$9,Paramètres!$A$1:$I$89,3,0)*0.475*44/12</f>
        <v>13.6528735468022</v>
      </c>
      <c r="AB173" s="21">
        <f>EXP(-LN(2)/2)*AB172+(1-EXP(-LN(2)/2))/(LN(2)/2)*V173*Y173*VLOOKUP('Données projet'!$B$9,Paramètres!$A$1:$I$89,3,0)*0.475*44/12</f>
        <v>1.8517162651971133E-6</v>
      </c>
      <c r="AC173" s="22">
        <f t="shared" si="163"/>
        <v>77.047899247530808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0</v>
      </c>
      <c r="AJ173" s="13">
        <f>AI173*VLOOKUP('Données projet'!$B$10,Paramètres!$A$1:$I$89,3,0)*VLOOKUP('Données projet'!$B$10,Paramètres!$A$1:$I$89,5,0)</f>
        <v>0</v>
      </c>
      <c r="AK173" s="13" t="e">
        <f t="shared" si="164"/>
        <v>#NUM!</v>
      </c>
      <c r="AL173" s="20" t="e">
        <f t="shared" si="165"/>
        <v>#NUM!</v>
      </c>
      <c r="AM173" s="59" t="e">
        <f t="shared" si="113"/>
        <v>#NUM!</v>
      </c>
      <c r="AN173" s="59">
        <f ca="1">AVERAGE(OFFSET($AM$3,0,0,'Données projet'!$E$10+1,1))-AVERAGE(OFFSET($H$3,0,0,'Données projet'!$E$10+1,1))</f>
        <v>179.4725256147085</v>
      </c>
      <c r="AO173" s="59">
        <f t="shared" si="144"/>
        <v>282.16750121151176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16.346761019961281</v>
      </c>
      <c r="AV173" s="21">
        <f>EXP(-LN(2)/25)*AV172+(1-EXP(-LN(2)/25))/(LN(2)/25)*Calculateur!AQ173*Calculateur!AS173*VLOOKUP('Données projet'!$B$10,Paramètres!$A$1:$I$89,3,0)*0.475*44/12</f>
        <v>2.3144482554691779</v>
      </c>
      <c r="AW173" s="21">
        <f>EXP(-LN(2)/2)*AW172+(1-EXP(-LN(2)/2))/(LN(2)/2)*AQ173*AT173*VLOOKUP('Données projet'!$B$10,Paramètres!$A$1:$I$89,3,0)*0.475*44/12</f>
        <v>1.1968314637879114E-15</v>
      </c>
      <c r="AX173" s="21">
        <f t="shared" si="166"/>
        <v>18.661209275430458</v>
      </c>
      <c r="AY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6.2527760746888816E-13</v>
      </c>
      <c r="BE173" s="13">
        <f>BD173*VLOOKUP('Données projet'!$B$11,Paramètres!$A$1:$I$89,3,0)*VLOOKUP('Données projet'!$B$11,Paramètres!$A$1:$I$89,5,0)</f>
        <v>5.3648818720830608E-13</v>
      </c>
      <c r="BF173" s="13">
        <f t="shared" si="167"/>
        <v>6.6281362235424649E-12</v>
      </c>
      <c r="BG173" s="20">
        <f t="shared" si="168"/>
        <v>1.2478387515390925E-11</v>
      </c>
      <c r="BH173" s="59">
        <f t="shared" si="116"/>
        <v>293.33333333334582</v>
      </c>
      <c r="BI173" s="59">
        <f ca="1">AVERAGE(OFFSET($BH$3,0,0,'Données projet'!$E$11+1,1))-AVERAGE(OFFSET($H$3,0,0,'Données projet'!$E$11+1,1))</f>
        <v>312.89478437044261</v>
      </c>
      <c r="BJ173" s="59">
        <f t="shared" si="146"/>
        <v>276.16555507854571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>
        <f>EXP(-LN(2)/35)*BP172+(1-EXP(-LN(2)/35))/(LN(2)/35)*BL173*BM173*VLOOKUP('Données projet'!$B$11,Paramètres!$A$1:$I$89,3,0)*0.475*44/12</f>
        <v>66.790348833208711</v>
      </c>
      <c r="BQ173" s="21">
        <f>EXP(-LN(2)/25)*BQ172+(1-EXP(-LN(2)/25))/(LN(2)/25)*Calculateur!BL173*Calculateur!BN173*VLOOKUP('Données projet'!$B$11,Paramètres!$A$1:$I$89,3,0)*0.475*44/12</f>
        <v>13.195499616589146</v>
      </c>
      <c r="BR173" s="21">
        <f>EXP(-LN(2)/2)*BR172+(1-EXP(-LN(2)/2))/(LN(2)/2)*BL173*BO173*VLOOKUP('Données projet'!$B$11,Paramètres!$A$1:$I$89,3,0)*0.475*44/12</f>
        <v>5.9360814997413893E-4</v>
      </c>
      <c r="BS173" s="22">
        <f t="shared" si="169"/>
        <v>79.986442057947826</v>
      </c>
      <c r="BT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0</v>
      </c>
      <c r="BZ173" s="13" t="e">
        <f>BY173*VLOOKUP('Données projet'!$B$12,Paramètres!$A$1:$I$89,3,0)*VLOOKUP('Données projet'!$B$12,Paramètres!$A$1:$I$89,5,0)</f>
        <v>#N/A</v>
      </c>
      <c r="CA173" s="13" t="e">
        <f t="shared" si="170"/>
        <v>#N/A</v>
      </c>
      <c r="CB173" s="20" t="e">
        <f t="shared" si="171"/>
        <v>#N/A</v>
      </c>
      <c r="CC173" s="59" t="e">
        <f t="shared" si="119"/>
        <v>#N/A</v>
      </c>
      <c r="CD173" s="59" t="e">
        <f ca="1">AVERAGE(OFFSET($CC$3,0,0,'Données projet'!$E$12+1,1))-AVERAGE(OFFSET($H$3,0,0,'Données projet'!$E$12+1,1))</f>
        <v>#N/A</v>
      </c>
      <c r="CE173" s="59" t="e">
        <f t="shared" si="148"/>
        <v>#N/A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 t="e">
        <f>EXP(-LN(2)/35)*CK172+(1-EXP(-LN(2)/35))/(LN(2)/35)*CG173*CH173*VLOOKUP('Données projet'!$B$12,Paramètres!$A$1:$I$89,3,0)*0.475*44/12</f>
        <v>#N/A</v>
      </c>
      <c r="CL173" s="21" t="e">
        <f>EXP(-LN(2)/25)*CL172+(1-EXP(-LN(2)/25))/(LN(2)/25)*Calculateur!CG173*Calculateur!CI173*VLOOKUP('Données projet'!$B$12,Paramètres!$A$1:$I$89,3,0)*0.475*44/12</f>
        <v>#N/A</v>
      </c>
      <c r="CM173" s="21" t="e">
        <f>EXP(-LN(2)/2)*CM172+(1-EXP(-LN(2)/2))/(LN(2)/2)*CG173*CJ173*VLOOKUP('Données projet'!$B$12,Paramètres!$A$1:$I$89,3,0)*0.475*44/12</f>
        <v>#N/A</v>
      </c>
      <c r="CN173" s="22" t="e">
        <f t="shared" si="172"/>
        <v>#N/A</v>
      </c>
      <c r="CO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0</v>
      </c>
      <c r="CU173" s="17" t="e">
        <f>CT173*VLOOKUP('Données projet'!$B$13,Paramètres!$A$1:$I$89,3,0)*VLOOKUP('Données projet'!$B$13,Paramètres!$A$1:$I$89,5,0)</f>
        <v>#N/A</v>
      </c>
      <c r="CV173" s="13" t="e">
        <f t="shared" si="173"/>
        <v>#N/A</v>
      </c>
      <c r="CW173" s="20" t="e">
        <f t="shared" si="174"/>
        <v>#N/A</v>
      </c>
      <c r="CX173" s="59" t="e">
        <f t="shared" si="122"/>
        <v>#N/A</v>
      </c>
      <c r="CY173" s="59" t="e">
        <f ca="1">AVERAGE(OFFSET($CX$3,0,0,'Données projet'!$E$13+1,1))-AVERAGE(OFFSET($H$3,0,0,'Données projet'!$E$13+1,1))</f>
        <v>#N/A</v>
      </c>
      <c r="CZ173" s="59" t="e">
        <f t="shared" si="150"/>
        <v>#N/A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 t="e">
        <f>EXP(-LN(2)/35)*DF172+(1-EXP(-LN(2)/35))/(LN(2)/35)*DB173*DC173*VLOOKUP('Données projet'!$B$13,Paramètres!$A$1:$I$89,3,0)*0.475*44/12</f>
        <v>#N/A</v>
      </c>
      <c r="DG173" s="21" t="e">
        <f>EXP(-LN(2)/25)*DG172+(1-EXP(-LN(2)/25))/(LN(2)/25)*Calculateur!DB173*Calculateur!DD173*VLOOKUP('Données projet'!$B$13,Paramètres!$A$1:$I$89,3,0)*0.475*44/12</f>
        <v>#N/A</v>
      </c>
      <c r="DH173" s="21" t="e">
        <f>EXP(-LN(2)/2)*DH172+(1-EXP(-LN(2)/2))/(LN(2)/2)*DB173*DE173*VLOOKUP('Données projet'!$B$13,Paramètres!$A$1:$I$89,3,0)*0.475*44/12</f>
        <v>#N/A</v>
      </c>
      <c r="DI173" s="22" t="e">
        <f t="shared" si="175"/>
        <v>#N/A</v>
      </c>
      <c r="DJ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0</v>
      </c>
      <c r="DP173" s="17" t="e">
        <f>DO173*VLOOKUP('Données projet'!$B$14,Paramètres!$A$1:$I$89,3,0)*VLOOKUP('Données projet'!$B$14,Paramètres!$A$1:$I$89,5,0)</f>
        <v>#N/A</v>
      </c>
      <c r="DQ173" s="13" t="e">
        <f t="shared" si="176"/>
        <v>#N/A</v>
      </c>
      <c r="DR173" s="20" t="e">
        <f t="shared" si="177"/>
        <v>#N/A</v>
      </c>
      <c r="DS173" s="59" t="e">
        <f t="shared" si="125"/>
        <v>#N/A</v>
      </c>
      <c r="DT173" s="59" t="e">
        <f ca="1">AVERAGE(OFFSET($DS$3,0,0,'Données projet'!$E$14+1,1))-AVERAGE(OFFSET($H$3,0,0,'Données projet'!$E$14+1,1))</f>
        <v>#N/A</v>
      </c>
      <c r="DU173" s="59" t="e">
        <f t="shared" si="152"/>
        <v>#N/A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 t="e">
        <f>EXP(-LN(2)/35)*EA172+(1-EXP(-LN(2)/35))/(LN(2)/35)*DW173*DX173*VLOOKUP('Données projet'!$B$14,Paramètres!$A$1:$I$89,3,0)*0.475*44/12</f>
        <v>#N/A</v>
      </c>
      <c r="EB173" s="21" t="e">
        <f>EXP(-LN(2)/25)*EB172+(1-EXP(-LN(2)/25))/(LN(2)/25)*Calculateur!DW173*Calculateur!DY173*VLOOKUP('Données projet'!$B$14,Paramètres!$A$1:$I$89,3,0)*0.475*44/12</f>
        <v>#N/A</v>
      </c>
      <c r="EC173" s="21" t="e">
        <f>EXP(-LN(2)/2)*EC172+(1-EXP(-LN(2)/2))/(LN(2)/2)*DW173*DZ173*VLOOKUP('Données projet'!$B$14,Paramètres!$A$1:$I$89,3,0)*0.475*44/12</f>
        <v>#N/A</v>
      </c>
      <c r="ED173" s="22" t="e">
        <f t="shared" si="178"/>
        <v>#N/A</v>
      </c>
      <c r="EE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0</v>
      </c>
      <c r="EK173" s="17" t="e">
        <f>EJ173*VLOOKUP('Données projet'!$B$15,Paramètres!$A$1:$I$89,3,0)*VLOOKUP('Données projet'!$B$15,Paramètres!$A$1:$I$89,5,0)</f>
        <v>#N/A</v>
      </c>
      <c r="EL173" s="13" t="e">
        <f t="shared" si="179"/>
        <v>#N/A</v>
      </c>
      <c r="EM173" s="20" t="e">
        <f t="shared" si="180"/>
        <v>#N/A</v>
      </c>
      <c r="EN173" s="59" t="e">
        <f t="shared" si="128"/>
        <v>#N/A</v>
      </c>
      <c r="EO173" s="59" t="e">
        <f ca="1">AVERAGE(OFFSET($EN$3,0,0,'Données projet'!$E$15+1,1))-AVERAGE(OFFSET($H$3,0,0,'Données projet'!$E$15+1,1))</f>
        <v>#N/A</v>
      </c>
      <c r="EP173" s="59" t="e">
        <f t="shared" si="154"/>
        <v>#N/A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 t="e">
        <f>EXP(-LN(2)/35)*EV172+(1-EXP(-LN(2)/35))/(LN(2)/35)*ER173*ES173*VLOOKUP('Données projet'!$B$15,Paramètres!$A$1:$I$89,3,0)*0.475*44/12</f>
        <v>#N/A</v>
      </c>
      <c r="EW173" s="21" t="e">
        <f>EXP(-LN(2)/25)*EW172+(1-EXP(-LN(2)/25))/(LN(2)/25)*Calculateur!ER173*Calculateur!ET173*VLOOKUP('Données projet'!$B$15,Paramètres!$A$1:$I$89,3,0)*0.475*44/12</f>
        <v>#N/A</v>
      </c>
      <c r="EX173" s="21" t="e">
        <f>EXP(-LN(2)/2)*EX172+(1-EXP(-LN(2)/2))/(LN(2)/2)*ER173*EU173*VLOOKUP('Données projet'!$B$15,Paramètres!$A$1:$I$89,3,0)*0.475*44/12</f>
        <v>#N/A</v>
      </c>
      <c r="EY173" s="22" t="e">
        <f t="shared" si="181"/>
        <v>#N/A</v>
      </c>
      <c r="EZ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9" t="e">
        <f t="shared" si="131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45">
      <c r="A174" s="10">
        <f t="shared" si="161"/>
        <v>171</v>
      </c>
      <c r="B174" s="73">
        <f>'Scénario référence'!$B$16*5+'Scénario référence'!$B$17*0+'Scénario référence'!$B$18*5</f>
        <v>0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152.05319999999992</v>
      </c>
      <c r="D174" s="11">
        <f t="shared" si="140"/>
        <v>39.044812857656339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">
        <f>IF(OR('Scénario référence'!$F$8&gt;0,'Scénario référence'!$F$9&gt;0),('Scénario référence'!$F$8+'Scénario référence'!$F$9)*10,0)</f>
        <v>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1475.1425553924346</v>
      </c>
      <c r="H174" s="67">
        <f t="shared" si="110"/>
        <v>589.49570572708467</v>
      </c>
      <c r="I174" s="7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1.7053025658242404E-13</v>
      </c>
      <c r="O174" s="13">
        <f>N174*VLOOKUP('Données projet'!$B$9,Paramètres!$A$1:$I$89,3,0)*VLOOKUP('Données projet'!$B$9,Paramètres!$A$1:$I$89,5,0)</f>
        <v>9.5326413429575044E-14</v>
      </c>
      <c r="P174" s="13">
        <f t="shared" si="141"/>
        <v>1.4400742856080346E-12</v>
      </c>
      <c r="Q174" s="20">
        <f t="shared" si="162"/>
        <v>2.6741562174905032E-12</v>
      </c>
      <c r="R174" s="59">
        <f t="shared" si="109"/>
        <v>293.33333333333599</v>
      </c>
      <c r="S174" s="59">
        <f ca="1">AVERAGE(OFFSET($R$3,0,0,'Données projet'!$E$9+1,1))-AVERAGE(OFFSET($H$3,0,0,'Données projet'!$E$9+1,1))</f>
        <v>280.69347314340195</v>
      </c>
      <c r="T174" s="59">
        <f t="shared" si="142"/>
        <v>152.40533828556482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62.1518860984797</v>
      </c>
      <c r="AA174" s="21">
        <f>EXP(-LN(2)/25)*AA173+(1-EXP(-LN(2)/25))/(LN(2)/25)*Calculateur!V174*Calculateur!X174*VLOOKUP('Données projet'!$B$9,Paramètres!$A$1:$I$89,3,0)*0.475*44/12</f>
        <v>13.279535001691478</v>
      </c>
      <c r="AB174" s="21">
        <f>EXP(-LN(2)/2)*AB173+(1-EXP(-LN(2)/2))/(LN(2)/2)*V174*Y174*VLOOKUP('Données projet'!$B$9,Paramètres!$A$1:$I$89,3,0)*0.475*44/12</f>
        <v>1.3093611279543063E-6</v>
      </c>
      <c r="AC174" s="22">
        <f t="shared" si="163"/>
        <v>75.431422409532303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0</v>
      </c>
      <c r="AJ174" s="13">
        <f>AI174*VLOOKUP('Données projet'!$B$10,Paramètres!$A$1:$I$89,3,0)*VLOOKUP('Données projet'!$B$10,Paramètres!$A$1:$I$89,5,0)</f>
        <v>0</v>
      </c>
      <c r="AK174" s="13" t="e">
        <f t="shared" si="164"/>
        <v>#NUM!</v>
      </c>
      <c r="AL174" s="20" t="e">
        <f t="shared" si="165"/>
        <v>#NUM!</v>
      </c>
      <c r="AM174" s="59" t="e">
        <f t="shared" si="113"/>
        <v>#NUM!</v>
      </c>
      <c r="AN174" s="59">
        <f ca="1">AVERAGE(OFFSET($AM$3,0,0,'Données projet'!$E$10+1,1))-AVERAGE(OFFSET($H$3,0,0,'Données projet'!$E$10+1,1))</f>
        <v>179.4725256147085</v>
      </c>
      <c r="AO174" s="59">
        <f t="shared" si="144"/>
        <v>282.16750121151176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16.026211006899555</v>
      </c>
      <c r="AV174" s="21">
        <f>EXP(-LN(2)/25)*AV173+(1-EXP(-LN(2)/25))/(LN(2)/25)*Calculateur!AQ174*Calculateur!AS174*VLOOKUP('Données projet'!$B$10,Paramètres!$A$1:$I$89,3,0)*0.475*44/12</f>
        <v>2.251159546211829</v>
      </c>
      <c r="AW174" s="21">
        <f>EXP(-LN(2)/2)*AW173+(1-EXP(-LN(2)/2))/(LN(2)/2)*AQ174*AT174*VLOOKUP('Données projet'!$B$10,Paramètres!$A$1:$I$89,3,0)*0.475*44/12</f>
        <v>8.4628764398185403E-16</v>
      </c>
      <c r="AX174" s="21">
        <f t="shared" si="166"/>
        <v>18.277370553111382</v>
      </c>
      <c r="AY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6.2527760746888816E-13</v>
      </c>
      <c r="BE174" s="13">
        <f>BD174*VLOOKUP('Données projet'!$B$11,Paramètres!$A$1:$I$89,3,0)*VLOOKUP('Données projet'!$B$11,Paramètres!$A$1:$I$89,5,0)</f>
        <v>5.3648818720830608E-13</v>
      </c>
      <c r="BF174" s="13">
        <f t="shared" si="167"/>
        <v>6.6281362235424649E-12</v>
      </c>
      <c r="BG174" s="20">
        <f t="shared" si="168"/>
        <v>1.2478387515390925E-11</v>
      </c>
      <c r="BH174" s="59">
        <f t="shared" si="116"/>
        <v>293.33333333334582</v>
      </c>
      <c r="BI174" s="59">
        <f ca="1">AVERAGE(OFFSET($BH$3,0,0,'Données projet'!$E$11+1,1))-AVERAGE(OFFSET($H$3,0,0,'Données projet'!$E$11+1,1))</f>
        <v>312.89478437044261</v>
      </c>
      <c r="BJ174" s="59">
        <f t="shared" si="146"/>
        <v>276.16555507854571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>
        <f>EXP(-LN(2)/35)*BP173+(1-EXP(-LN(2)/35))/(LN(2)/35)*BL174*BM174*VLOOKUP('Données projet'!$B$11,Paramètres!$A$1:$I$89,3,0)*0.475*44/12</f>
        <v>65.480630830679729</v>
      </c>
      <c r="BQ174" s="21">
        <f>EXP(-LN(2)/25)*BQ173+(1-EXP(-LN(2)/25))/(LN(2)/25)*Calculateur!BL174*Calculateur!BN174*VLOOKUP('Données projet'!$B$11,Paramètres!$A$1:$I$89,3,0)*0.475*44/12</f>
        <v>12.834667985652349</v>
      </c>
      <c r="BR174" s="21">
        <f>EXP(-LN(2)/2)*BR173+(1-EXP(-LN(2)/2))/(LN(2)/2)*BL174*BO174*VLOOKUP('Données projet'!$B$11,Paramètres!$A$1:$I$89,3,0)*0.475*44/12</f>
        <v>4.1974434821431475E-4</v>
      </c>
      <c r="BS174" s="22">
        <f t="shared" si="169"/>
        <v>78.315718560680295</v>
      </c>
      <c r="BT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0</v>
      </c>
      <c r="BZ174" s="13" t="e">
        <f>BY174*VLOOKUP('Données projet'!$B$12,Paramètres!$A$1:$I$89,3,0)*VLOOKUP('Données projet'!$B$12,Paramètres!$A$1:$I$89,5,0)</f>
        <v>#N/A</v>
      </c>
      <c r="CA174" s="13" t="e">
        <f t="shared" si="170"/>
        <v>#N/A</v>
      </c>
      <c r="CB174" s="20" t="e">
        <f t="shared" si="171"/>
        <v>#N/A</v>
      </c>
      <c r="CC174" s="59" t="e">
        <f t="shared" si="119"/>
        <v>#N/A</v>
      </c>
      <c r="CD174" s="59" t="e">
        <f ca="1">AVERAGE(OFFSET($CC$3,0,0,'Données projet'!$E$12+1,1))-AVERAGE(OFFSET($H$3,0,0,'Données projet'!$E$12+1,1))</f>
        <v>#N/A</v>
      </c>
      <c r="CE174" s="59" t="e">
        <f t="shared" si="148"/>
        <v>#N/A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 t="e">
        <f>EXP(-LN(2)/35)*CK173+(1-EXP(-LN(2)/35))/(LN(2)/35)*CG174*CH174*VLOOKUP('Données projet'!$B$12,Paramètres!$A$1:$I$89,3,0)*0.475*44/12</f>
        <v>#N/A</v>
      </c>
      <c r="CL174" s="21" t="e">
        <f>EXP(-LN(2)/25)*CL173+(1-EXP(-LN(2)/25))/(LN(2)/25)*Calculateur!CG174*Calculateur!CI174*VLOOKUP('Données projet'!$B$12,Paramètres!$A$1:$I$89,3,0)*0.475*44/12</f>
        <v>#N/A</v>
      </c>
      <c r="CM174" s="21" t="e">
        <f>EXP(-LN(2)/2)*CM173+(1-EXP(-LN(2)/2))/(LN(2)/2)*CG174*CJ174*VLOOKUP('Données projet'!$B$12,Paramètres!$A$1:$I$89,3,0)*0.475*44/12</f>
        <v>#N/A</v>
      </c>
      <c r="CN174" s="22" t="e">
        <f t="shared" si="172"/>
        <v>#N/A</v>
      </c>
      <c r="CO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0</v>
      </c>
      <c r="CU174" s="17" t="e">
        <f>CT174*VLOOKUP('Données projet'!$B$13,Paramètres!$A$1:$I$89,3,0)*VLOOKUP('Données projet'!$B$13,Paramètres!$A$1:$I$89,5,0)</f>
        <v>#N/A</v>
      </c>
      <c r="CV174" s="13" t="e">
        <f t="shared" si="173"/>
        <v>#N/A</v>
      </c>
      <c r="CW174" s="20" t="e">
        <f t="shared" si="174"/>
        <v>#N/A</v>
      </c>
      <c r="CX174" s="59" t="e">
        <f t="shared" si="122"/>
        <v>#N/A</v>
      </c>
      <c r="CY174" s="59" t="e">
        <f ca="1">AVERAGE(OFFSET($CX$3,0,0,'Données projet'!$E$13+1,1))-AVERAGE(OFFSET($H$3,0,0,'Données projet'!$E$13+1,1))</f>
        <v>#N/A</v>
      </c>
      <c r="CZ174" s="59" t="e">
        <f t="shared" si="150"/>
        <v>#N/A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 t="e">
        <f>EXP(-LN(2)/35)*DF173+(1-EXP(-LN(2)/35))/(LN(2)/35)*DB174*DC174*VLOOKUP('Données projet'!$B$13,Paramètres!$A$1:$I$89,3,0)*0.475*44/12</f>
        <v>#N/A</v>
      </c>
      <c r="DG174" s="21" t="e">
        <f>EXP(-LN(2)/25)*DG173+(1-EXP(-LN(2)/25))/(LN(2)/25)*Calculateur!DB174*Calculateur!DD174*VLOOKUP('Données projet'!$B$13,Paramètres!$A$1:$I$89,3,0)*0.475*44/12</f>
        <v>#N/A</v>
      </c>
      <c r="DH174" s="21" t="e">
        <f>EXP(-LN(2)/2)*DH173+(1-EXP(-LN(2)/2))/(LN(2)/2)*DB174*DE174*VLOOKUP('Données projet'!$B$13,Paramètres!$A$1:$I$89,3,0)*0.475*44/12</f>
        <v>#N/A</v>
      </c>
      <c r="DI174" s="22" t="e">
        <f t="shared" si="175"/>
        <v>#N/A</v>
      </c>
      <c r="DJ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0</v>
      </c>
      <c r="DP174" s="17" t="e">
        <f>DO174*VLOOKUP('Données projet'!$B$14,Paramètres!$A$1:$I$89,3,0)*VLOOKUP('Données projet'!$B$14,Paramètres!$A$1:$I$89,5,0)</f>
        <v>#N/A</v>
      </c>
      <c r="DQ174" s="13" t="e">
        <f t="shared" si="176"/>
        <v>#N/A</v>
      </c>
      <c r="DR174" s="20" t="e">
        <f t="shared" si="177"/>
        <v>#N/A</v>
      </c>
      <c r="DS174" s="59" t="e">
        <f t="shared" si="125"/>
        <v>#N/A</v>
      </c>
      <c r="DT174" s="59" t="e">
        <f ca="1">AVERAGE(OFFSET($DS$3,0,0,'Données projet'!$E$14+1,1))-AVERAGE(OFFSET($H$3,0,0,'Données projet'!$E$14+1,1))</f>
        <v>#N/A</v>
      </c>
      <c r="DU174" s="59" t="e">
        <f t="shared" si="152"/>
        <v>#N/A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 t="e">
        <f>EXP(-LN(2)/35)*EA173+(1-EXP(-LN(2)/35))/(LN(2)/35)*DW174*DX174*VLOOKUP('Données projet'!$B$14,Paramètres!$A$1:$I$89,3,0)*0.475*44/12</f>
        <v>#N/A</v>
      </c>
      <c r="EB174" s="21" t="e">
        <f>EXP(-LN(2)/25)*EB173+(1-EXP(-LN(2)/25))/(LN(2)/25)*Calculateur!DW174*Calculateur!DY174*VLOOKUP('Données projet'!$B$14,Paramètres!$A$1:$I$89,3,0)*0.475*44/12</f>
        <v>#N/A</v>
      </c>
      <c r="EC174" s="21" t="e">
        <f>EXP(-LN(2)/2)*EC173+(1-EXP(-LN(2)/2))/(LN(2)/2)*DW174*DZ174*VLOOKUP('Données projet'!$B$14,Paramètres!$A$1:$I$89,3,0)*0.475*44/12</f>
        <v>#N/A</v>
      </c>
      <c r="ED174" s="22" t="e">
        <f t="shared" si="178"/>
        <v>#N/A</v>
      </c>
      <c r="EE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0</v>
      </c>
      <c r="EK174" s="17" t="e">
        <f>EJ174*VLOOKUP('Données projet'!$B$15,Paramètres!$A$1:$I$89,3,0)*VLOOKUP('Données projet'!$B$15,Paramètres!$A$1:$I$89,5,0)</f>
        <v>#N/A</v>
      </c>
      <c r="EL174" s="13" t="e">
        <f t="shared" si="179"/>
        <v>#N/A</v>
      </c>
      <c r="EM174" s="20" t="e">
        <f t="shared" si="180"/>
        <v>#N/A</v>
      </c>
      <c r="EN174" s="59" t="e">
        <f t="shared" si="128"/>
        <v>#N/A</v>
      </c>
      <c r="EO174" s="59" t="e">
        <f ca="1">AVERAGE(OFFSET($EN$3,0,0,'Données projet'!$E$15+1,1))-AVERAGE(OFFSET($H$3,0,0,'Données projet'!$E$15+1,1))</f>
        <v>#N/A</v>
      </c>
      <c r="EP174" s="59" t="e">
        <f t="shared" si="154"/>
        <v>#N/A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 t="e">
        <f>EXP(-LN(2)/35)*EV173+(1-EXP(-LN(2)/35))/(LN(2)/35)*ER174*ES174*VLOOKUP('Données projet'!$B$15,Paramètres!$A$1:$I$89,3,0)*0.475*44/12</f>
        <v>#N/A</v>
      </c>
      <c r="EW174" s="21" t="e">
        <f>EXP(-LN(2)/25)*EW173+(1-EXP(-LN(2)/25))/(LN(2)/25)*Calculateur!ER174*Calculateur!ET174*VLOOKUP('Données projet'!$B$15,Paramètres!$A$1:$I$89,3,0)*0.475*44/12</f>
        <v>#N/A</v>
      </c>
      <c r="EX174" s="21" t="e">
        <f>EXP(-LN(2)/2)*EX173+(1-EXP(-LN(2)/2))/(LN(2)/2)*ER174*EU174*VLOOKUP('Données projet'!$B$15,Paramètres!$A$1:$I$89,3,0)*0.475*44/12</f>
        <v>#N/A</v>
      </c>
      <c r="EY174" s="22" t="e">
        <f t="shared" si="181"/>
        <v>#N/A</v>
      </c>
      <c r="EZ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9" t="e">
        <f t="shared" si="131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45">
      <c r="A175" s="10">
        <f t="shared" si="161"/>
        <v>172</v>
      </c>
      <c r="B175" s="73">
        <f>'Scénario référence'!$B$16*5+'Scénario référence'!$B$17*0+'Scénario référence'!$B$18*5</f>
        <v>0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152.94239999999991</v>
      </c>
      <c r="D175" s="11">
        <f t="shared" si="140"/>
        <v>39.246498705676842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">
        <f>IF(OR('Scénario référence'!$F$8&gt;0,'Scénario référence'!$F$9&gt;0),('Scénario référence'!$F$8+'Scénario référence'!$F$9)*10,0)</f>
        <v>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1483.5634286052243</v>
      </c>
      <c r="H175" s="67">
        <f t="shared" si="110"/>
        <v>591.39566524572035</v>
      </c>
      <c r="I175" s="7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1.7053025658242404E-13</v>
      </c>
      <c r="O175" s="13">
        <f>N175*VLOOKUP('Données projet'!$B$9,Paramètres!$A$1:$I$89,3,0)*VLOOKUP('Données projet'!$B$9,Paramètres!$A$1:$I$89,5,0)</f>
        <v>9.5326413429575044E-14</v>
      </c>
      <c r="P175" s="13">
        <f t="shared" si="141"/>
        <v>1.4400742856080346E-12</v>
      </c>
      <c r="Q175" s="20">
        <f t="shared" si="162"/>
        <v>2.6741562174905032E-12</v>
      </c>
      <c r="R175" s="59">
        <f t="shared" si="109"/>
        <v>293.33333333333599</v>
      </c>
      <c r="S175" s="59">
        <f ca="1">AVERAGE(OFFSET($R$3,0,0,'Données projet'!$E$9+1,1))-AVERAGE(OFFSET($H$3,0,0,'Données projet'!$E$9+1,1))</f>
        <v>280.69347314340195</v>
      </c>
      <c r="T175" s="59">
        <f t="shared" si="142"/>
        <v>152.40533828556482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60.933125520995837</v>
      </c>
      <c r="AA175" s="21">
        <f>EXP(-LN(2)/25)*AA174+(1-EXP(-LN(2)/25))/(LN(2)/25)*Calculateur!V175*Calculateur!X175*VLOOKUP('Données projet'!$B$9,Paramètres!$A$1:$I$89,3,0)*0.475*44/12</f>
        <v>12.916405418729831</v>
      </c>
      <c r="AB175" s="21">
        <f>EXP(-LN(2)/2)*AB174+(1-EXP(-LN(2)/2))/(LN(2)/2)*V175*Y175*VLOOKUP('Données projet'!$B$9,Paramètres!$A$1:$I$89,3,0)*0.475*44/12</f>
        <v>9.2585813259855685E-7</v>
      </c>
      <c r="AC175" s="22">
        <f t="shared" si="163"/>
        <v>73.849531865583799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0</v>
      </c>
      <c r="AJ175" s="13">
        <f>AI175*VLOOKUP('Données projet'!$B$10,Paramètres!$A$1:$I$89,3,0)*VLOOKUP('Données projet'!$B$10,Paramètres!$A$1:$I$89,5,0)</f>
        <v>0</v>
      </c>
      <c r="AK175" s="13" t="e">
        <f t="shared" si="164"/>
        <v>#NUM!</v>
      </c>
      <c r="AL175" s="20" t="e">
        <f t="shared" si="165"/>
        <v>#NUM!</v>
      </c>
      <c r="AM175" s="59" t="e">
        <f t="shared" si="113"/>
        <v>#NUM!</v>
      </c>
      <c r="AN175" s="59">
        <f ca="1">AVERAGE(OFFSET($AM$3,0,0,'Données projet'!$E$10+1,1))-AVERAGE(OFFSET($H$3,0,0,'Données projet'!$E$10+1,1))</f>
        <v>179.4725256147085</v>
      </c>
      <c r="AO175" s="59">
        <f t="shared" si="144"/>
        <v>282.16750121151176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15.711946784077766</v>
      </c>
      <c r="AV175" s="21">
        <f>EXP(-LN(2)/25)*AV174+(1-EXP(-LN(2)/25))/(LN(2)/25)*Calculateur!AQ175*Calculateur!AS175*VLOOKUP('Données projet'!$B$10,Paramètres!$A$1:$I$89,3,0)*0.475*44/12</f>
        <v>2.189601470037331</v>
      </c>
      <c r="AW175" s="21">
        <f>EXP(-LN(2)/2)*AW174+(1-EXP(-LN(2)/2))/(LN(2)/2)*AQ175*AT175*VLOOKUP('Données projet'!$B$10,Paramètres!$A$1:$I$89,3,0)*0.475*44/12</f>
        <v>5.9841573189395569E-16</v>
      </c>
      <c r="AX175" s="21">
        <f t="shared" si="166"/>
        <v>17.901548254115095</v>
      </c>
      <c r="AY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6.2527760746888816E-13</v>
      </c>
      <c r="BE175" s="13">
        <f>BD175*VLOOKUP('Données projet'!$B$11,Paramètres!$A$1:$I$89,3,0)*VLOOKUP('Données projet'!$B$11,Paramètres!$A$1:$I$89,5,0)</f>
        <v>5.3648818720830608E-13</v>
      </c>
      <c r="BF175" s="13">
        <f t="shared" si="167"/>
        <v>6.6281362235424649E-12</v>
      </c>
      <c r="BG175" s="20">
        <f t="shared" si="168"/>
        <v>1.2478387515390925E-11</v>
      </c>
      <c r="BH175" s="59">
        <f t="shared" si="116"/>
        <v>293.33333333334582</v>
      </c>
      <c r="BI175" s="59">
        <f ca="1">AVERAGE(OFFSET($BH$3,0,0,'Données projet'!$E$11+1,1))-AVERAGE(OFFSET($H$3,0,0,'Données projet'!$E$11+1,1))</f>
        <v>312.89478437044261</v>
      </c>
      <c r="BJ175" s="59">
        <f t="shared" si="146"/>
        <v>276.16555507854571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>
        <f>EXP(-LN(2)/35)*BP174+(1-EXP(-LN(2)/35))/(LN(2)/35)*BL175*BM175*VLOOKUP('Données projet'!$B$11,Paramètres!$A$1:$I$89,3,0)*0.475*44/12</f>
        <v>64.196595599331232</v>
      </c>
      <c r="BQ175" s="21">
        <f>EXP(-LN(2)/25)*BQ174+(1-EXP(-LN(2)/25))/(LN(2)/25)*Calculateur!BL175*Calculateur!BN175*VLOOKUP('Données projet'!$B$11,Paramètres!$A$1:$I$89,3,0)*0.475*44/12</f>
        <v>12.483703314638829</v>
      </c>
      <c r="BR175" s="21">
        <f>EXP(-LN(2)/2)*BR174+(1-EXP(-LN(2)/2))/(LN(2)/2)*BL175*BO175*VLOOKUP('Données projet'!$B$11,Paramètres!$A$1:$I$89,3,0)*0.475*44/12</f>
        <v>2.9680407498706946E-4</v>
      </c>
      <c r="BS175" s="22">
        <f t="shared" si="169"/>
        <v>76.680595718045055</v>
      </c>
      <c r="BT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0</v>
      </c>
      <c r="BZ175" s="13" t="e">
        <f>BY175*VLOOKUP('Données projet'!$B$12,Paramètres!$A$1:$I$89,3,0)*VLOOKUP('Données projet'!$B$12,Paramètres!$A$1:$I$89,5,0)</f>
        <v>#N/A</v>
      </c>
      <c r="CA175" s="13" t="e">
        <f t="shared" si="170"/>
        <v>#N/A</v>
      </c>
      <c r="CB175" s="20" t="e">
        <f t="shared" si="171"/>
        <v>#N/A</v>
      </c>
      <c r="CC175" s="59" t="e">
        <f t="shared" si="119"/>
        <v>#N/A</v>
      </c>
      <c r="CD175" s="59" t="e">
        <f ca="1">AVERAGE(OFFSET($CC$3,0,0,'Données projet'!$E$12+1,1))-AVERAGE(OFFSET($H$3,0,0,'Données projet'!$E$12+1,1))</f>
        <v>#N/A</v>
      </c>
      <c r="CE175" s="59" t="e">
        <f t="shared" si="148"/>
        <v>#N/A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 t="e">
        <f>EXP(-LN(2)/35)*CK174+(1-EXP(-LN(2)/35))/(LN(2)/35)*CG175*CH175*VLOOKUP('Données projet'!$B$12,Paramètres!$A$1:$I$89,3,0)*0.475*44/12</f>
        <v>#N/A</v>
      </c>
      <c r="CL175" s="21" t="e">
        <f>EXP(-LN(2)/25)*CL174+(1-EXP(-LN(2)/25))/(LN(2)/25)*Calculateur!CG175*Calculateur!CI175*VLOOKUP('Données projet'!$B$12,Paramètres!$A$1:$I$89,3,0)*0.475*44/12</f>
        <v>#N/A</v>
      </c>
      <c r="CM175" s="21" t="e">
        <f>EXP(-LN(2)/2)*CM174+(1-EXP(-LN(2)/2))/(LN(2)/2)*CG175*CJ175*VLOOKUP('Données projet'!$B$12,Paramètres!$A$1:$I$89,3,0)*0.475*44/12</f>
        <v>#N/A</v>
      </c>
      <c r="CN175" s="22" t="e">
        <f t="shared" si="172"/>
        <v>#N/A</v>
      </c>
      <c r="CO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0</v>
      </c>
      <c r="CU175" s="17" t="e">
        <f>CT175*VLOOKUP('Données projet'!$B$13,Paramètres!$A$1:$I$89,3,0)*VLOOKUP('Données projet'!$B$13,Paramètres!$A$1:$I$89,5,0)</f>
        <v>#N/A</v>
      </c>
      <c r="CV175" s="13" t="e">
        <f t="shared" si="173"/>
        <v>#N/A</v>
      </c>
      <c r="CW175" s="20" t="e">
        <f t="shared" si="174"/>
        <v>#N/A</v>
      </c>
      <c r="CX175" s="59" t="e">
        <f t="shared" si="122"/>
        <v>#N/A</v>
      </c>
      <c r="CY175" s="59" t="e">
        <f ca="1">AVERAGE(OFFSET($CX$3,0,0,'Données projet'!$E$13+1,1))-AVERAGE(OFFSET($H$3,0,0,'Données projet'!$E$13+1,1))</f>
        <v>#N/A</v>
      </c>
      <c r="CZ175" s="59" t="e">
        <f t="shared" si="150"/>
        <v>#N/A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 t="e">
        <f>EXP(-LN(2)/35)*DF174+(1-EXP(-LN(2)/35))/(LN(2)/35)*DB175*DC175*VLOOKUP('Données projet'!$B$13,Paramètres!$A$1:$I$89,3,0)*0.475*44/12</f>
        <v>#N/A</v>
      </c>
      <c r="DG175" s="21" t="e">
        <f>EXP(-LN(2)/25)*DG174+(1-EXP(-LN(2)/25))/(LN(2)/25)*Calculateur!DB175*Calculateur!DD175*VLOOKUP('Données projet'!$B$13,Paramètres!$A$1:$I$89,3,0)*0.475*44/12</f>
        <v>#N/A</v>
      </c>
      <c r="DH175" s="21" t="e">
        <f>EXP(-LN(2)/2)*DH174+(1-EXP(-LN(2)/2))/(LN(2)/2)*DB175*DE175*VLOOKUP('Données projet'!$B$13,Paramètres!$A$1:$I$89,3,0)*0.475*44/12</f>
        <v>#N/A</v>
      </c>
      <c r="DI175" s="22" t="e">
        <f t="shared" si="175"/>
        <v>#N/A</v>
      </c>
      <c r="DJ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0</v>
      </c>
      <c r="DP175" s="17" t="e">
        <f>DO175*VLOOKUP('Données projet'!$B$14,Paramètres!$A$1:$I$89,3,0)*VLOOKUP('Données projet'!$B$14,Paramètres!$A$1:$I$89,5,0)</f>
        <v>#N/A</v>
      </c>
      <c r="DQ175" s="13" t="e">
        <f t="shared" si="176"/>
        <v>#N/A</v>
      </c>
      <c r="DR175" s="20" t="e">
        <f t="shared" si="177"/>
        <v>#N/A</v>
      </c>
      <c r="DS175" s="59" t="e">
        <f t="shared" si="125"/>
        <v>#N/A</v>
      </c>
      <c r="DT175" s="59" t="e">
        <f ca="1">AVERAGE(OFFSET($DS$3,0,0,'Données projet'!$E$14+1,1))-AVERAGE(OFFSET($H$3,0,0,'Données projet'!$E$14+1,1))</f>
        <v>#N/A</v>
      </c>
      <c r="DU175" s="59" t="e">
        <f t="shared" si="152"/>
        <v>#N/A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 t="e">
        <f>EXP(-LN(2)/35)*EA174+(1-EXP(-LN(2)/35))/(LN(2)/35)*DW175*DX175*VLOOKUP('Données projet'!$B$14,Paramètres!$A$1:$I$89,3,0)*0.475*44/12</f>
        <v>#N/A</v>
      </c>
      <c r="EB175" s="21" t="e">
        <f>EXP(-LN(2)/25)*EB174+(1-EXP(-LN(2)/25))/(LN(2)/25)*Calculateur!DW175*Calculateur!DY175*VLOOKUP('Données projet'!$B$14,Paramètres!$A$1:$I$89,3,0)*0.475*44/12</f>
        <v>#N/A</v>
      </c>
      <c r="EC175" s="21" t="e">
        <f>EXP(-LN(2)/2)*EC174+(1-EXP(-LN(2)/2))/(LN(2)/2)*DW175*DZ175*VLOOKUP('Données projet'!$B$14,Paramètres!$A$1:$I$89,3,0)*0.475*44/12</f>
        <v>#N/A</v>
      </c>
      <c r="ED175" s="22" t="e">
        <f t="shared" si="178"/>
        <v>#N/A</v>
      </c>
      <c r="EE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0</v>
      </c>
      <c r="EK175" s="17" t="e">
        <f>EJ175*VLOOKUP('Données projet'!$B$15,Paramètres!$A$1:$I$89,3,0)*VLOOKUP('Données projet'!$B$15,Paramètres!$A$1:$I$89,5,0)</f>
        <v>#N/A</v>
      </c>
      <c r="EL175" s="13" t="e">
        <f t="shared" si="179"/>
        <v>#N/A</v>
      </c>
      <c r="EM175" s="20" t="e">
        <f t="shared" si="180"/>
        <v>#N/A</v>
      </c>
      <c r="EN175" s="59" t="e">
        <f t="shared" si="128"/>
        <v>#N/A</v>
      </c>
      <c r="EO175" s="59" t="e">
        <f ca="1">AVERAGE(OFFSET($EN$3,0,0,'Données projet'!$E$15+1,1))-AVERAGE(OFFSET($H$3,0,0,'Données projet'!$E$15+1,1))</f>
        <v>#N/A</v>
      </c>
      <c r="EP175" s="59" t="e">
        <f t="shared" si="154"/>
        <v>#N/A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 t="e">
        <f>EXP(-LN(2)/35)*EV174+(1-EXP(-LN(2)/35))/(LN(2)/35)*ER175*ES175*VLOOKUP('Données projet'!$B$15,Paramètres!$A$1:$I$89,3,0)*0.475*44/12</f>
        <v>#N/A</v>
      </c>
      <c r="EW175" s="21" t="e">
        <f>EXP(-LN(2)/25)*EW174+(1-EXP(-LN(2)/25))/(LN(2)/25)*Calculateur!ER175*Calculateur!ET175*VLOOKUP('Données projet'!$B$15,Paramètres!$A$1:$I$89,3,0)*0.475*44/12</f>
        <v>#N/A</v>
      </c>
      <c r="EX175" s="21" t="e">
        <f>EXP(-LN(2)/2)*EX174+(1-EXP(-LN(2)/2))/(LN(2)/2)*ER175*EU175*VLOOKUP('Données projet'!$B$15,Paramètres!$A$1:$I$89,3,0)*0.475*44/12</f>
        <v>#N/A</v>
      </c>
      <c r="EY175" s="22" t="e">
        <f t="shared" si="181"/>
        <v>#N/A</v>
      </c>
      <c r="EZ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9" t="e">
        <f t="shared" si="131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45">
      <c r="A176" s="10">
        <f t="shared" si="161"/>
        <v>173</v>
      </c>
      <c r="B176" s="73">
        <f>'Scénario référence'!$B$16*5+'Scénario référence'!$B$17*0+'Scénario référence'!$B$18*5</f>
        <v>0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153.8315999999999</v>
      </c>
      <c r="D176" s="11">
        <f t="shared" si="140"/>
        <v>39.448048109333072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">
        <f>IF(OR('Scénario référence'!$F$8&gt;0,'Scénario référence'!$F$9&gt;0),('Scénario référence'!$F$8+'Scénario référence'!$F$9)*10,0)</f>
        <v>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1491.9832485632724</v>
      </c>
      <c r="H176" s="67">
        <f t="shared" si="110"/>
        <v>593.29538712375495</v>
      </c>
      <c r="I176" s="7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1.7053025658242404E-13</v>
      </c>
      <c r="O176" s="13">
        <f>N176*VLOOKUP('Données projet'!$B$9,Paramètres!$A$1:$I$89,3,0)*VLOOKUP('Données projet'!$B$9,Paramètres!$A$1:$I$89,5,0)</f>
        <v>9.5326413429575044E-14</v>
      </c>
      <c r="P176" s="13">
        <f t="shared" si="141"/>
        <v>1.4400742856080346E-12</v>
      </c>
      <c r="Q176" s="20">
        <f t="shared" si="162"/>
        <v>2.6741562174905032E-12</v>
      </c>
      <c r="R176" s="59">
        <f t="shared" si="109"/>
        <v>293.33333333333599</v>
      </c>
      <c r="S176" s="59">
        <f ca="1">AVERAGE(OFFSET($R$3,0,0,'Données projet'!$E$9+1,1))-AVERAGE(OFFSET($H$3,0,0,'Données projet'!$E$9+1,1))</f>
        <v>280.69347314340195</v>
      </c>
      <c r="T176" s="59">
        <f t="shared" si="142"/>
        <v>152.40533828556482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59.738264095065887</v>
      </c>
      <c r="AA176" s="21">
        <f>EXP(-LN(2)/25)*AA175+(1-EXP(-LN(2)/25))/(LN(2)/25)*Calculateur!V176*Calculateur!X176*VLOOKUP('Données projet'!$B$9,Paramètres!$A$1:$I$89,3,0)*0.475*44/12</f>
        <v>12.563205633310423</v>
      </c>
      <c r="AB176" s="21">
        <f>EXP(-LN(2)/2)*AB175+(1-EXP(-LN(2)/2))/(LN(2)/2)*V176*Y176*VLOOKUP('Données projet'!$B$9,Paramètres!$A$1:$I$89,3,0)*0.475*44/12</f>
        <v>6.5468056397715326E-7</v>
      </c>
      <c r="AC176" s="22">
        <f t="shared" si="163"/>
        <v>72.301470383056866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0</v>
      </c>
      <c r="AJ176" s="13">
        <f>AI176*VLOOKUP('Données projet'!$B$10,Paramètres!$A$1:$I$89,3,0)*VLOOKUP('Données projet'!$B$10,Paramètres!$A$1:$I$89,5,0)</f>
        <v>0</v>
      </c>
      <c r="AK176" s="13" t="e">
        <f t="shared" si="164"/>
        <v>#NUM!</v>
      </c>
      <c r="AL176" s="20" t="e">
        <f t="shared" si="165"/>
        <v>#NUM!</v>
      </c>
      <c r="AM176" s="59" t="e">
        <f t="shared" si="113"/>
        <v>#NUM!</v>
      </c>
      <c r="AN176" s="59">
        <f ca="1">AVERAGE(OFFSET($AM$3,0,0,'Données projet'!$E$10+1,1))-AVERAGE(OFFSET($H$3,0,0,'Données projet'!$E$10+1,1))</f>
        <v>179.4725256147085</v>
      </c>
      <c r="AO176" s="59">
        <f t="shared" si="144"/>
        <v>282.16750121151176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15.403845090983262</v>
      </c>
      <c r="AV176" s="21">
        <f>EXP(-LN(2)/25)*AV175+(1-EXP(-LN(2)/25))/(LN(2)/25)*Calculateur!AQ176*Calculateur!AS176*VLOOKUP('Données projet'!$B$10,Paramètres!$A$1:$I$89,3,0)*0.475*44/12</f>
        <v>2.1297267026930231</v>
      </c>
      <c r="AW176" s="21">
        <f>EXP(-LN(2)/2)*AW175+(1-EXP(-LN(2)/2))/(LN(2)/2)*AQ176*AT176*VLOOKUP('Données projet'!$B$10,Paramètres!$A$1:$I$89,3,0)*0.475*44/12</f>
        <v>4.2314382199092702E-16</v>
      </c>
      <c r="AX176" s="21">
        <f t="shared" si="166"/>
        <v>17.533571793676284</v>
      </c>
      <c r="AY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6.2527760746888816E-13</v>
      </c>
      <c r="BE176" s="13">
        <f>BD176*VLOOKUP('Données projet'!$B$11,Paramètres!$A$1:$I$89,3,0)*VLOOKUP('Données projet'!$B$11,Paramètres!$A$1:$I$89,5,0)</f>
        <v>5.3648818720830608E-13</v>
      </c>
      <c r="BF176" s="13">
        <f t="shared" si="167"/>
        <v>6.6281362235424649E-12</v>
      </c>
      <c r="BG176" s="20">
        <f t="shared" si="168"/>
        <v>1.2478387515390925E-11</v>
      </c>
      <c r="BH176" s="59">
        <f t="shared" si="116"/>
        <v>293.33333333334582</v>
      </c>
      <c r="BI176" s="59">
        <f ca="1">AVERAGE(OFFSET($BH$3,0,0,'Données projet'!$E$11+1,1))-AVERAGE(OFFSET($H$3,0,0,'Données projet'!$E$11+1,1))</f>
        <v>312.89478437044261</v>
      </c>
      <c r="BJ176" s="59">
        <f t="shared" si="146"/>
        <v>276.16555507854571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>
        <f>EXP(-LN(2)/35)*BP175+(1-EXP(-LN(2)/35))/(LN(2)/35)*BL176*BM176*VLOOKUP('Données projet'!$B$11,Paramètres!$A$1:$I$89,3,0)*0.475*44/12</f>
        <v>62.937739515685323</v>
      </c>
      <c r="BQ176" s="21">
        <f>EXP(-LN(2)/25)*BQ175+(1-EXP(-LN(2)/25))/(LN(2)/25)*Calculateur!BL176*Calculateur!BN176*VLOOKUP('Données projet'!$B$11,Paramètres!$A$1:$I$89,3,0)*0.475*44/12</f>
        <v>12.142335791010606</v>
      </c>
      <c r="BR176" s="21">
        <f>EXP(-LN(2)/2)*BR175+(1-EXP(-LN(2)/2))/(LN(2)/2)*BL176*BO176*VLOOKUP('Données projet'!$B$11,Paramètres!$A$1:$I$89,3,0)*0.475*44/12</f>
        <v>2.0987217410715737E-4</v>
      </c>
      <c r="BS176" s="22">
        <f t="shared" si="169"/>
        <v>75.080285178870042</v>
      </c>
      <c r="BT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0</v>
      </c>
      <c r="BZ176" s="13" t="e">
        <f>BY176*VLOOKUP('Données projet'!$B$12,Paramètres!$A$1:$I$89,3,0)*VLOOKUP('Données projet'!$B$12,Paramètres!$A$1:$I$89,5,0)</f>
        <v>#N/A</v>
      </c>
      <c r="CA176" s="13" t="e">
        <f t="shared" si="170"/>
        <v>#N/A</v>
      </c>
      <c r="CB176" s="20" t="e">
        <f t="shared" si="171"/>
        <v>#N/A</v>
      </c>
      <c r="CC176" s="59" t="e">
        <f t="shared" si="119"/>
        <v>#N/A</v>
      </c>
      <c r="CD176" s="59" t="e">
        <f ca="1">AVERAGE(OFFSET($CC$3,0,0,'Données projet'!$E$12+1,1))-AVERAGE(OFFSET($H$3,0,0,'Données projet'!$E$12+1,1))</f>
        <v>#N/A</v>
      </c>
      <c r="CE176" s="59" t="e">
        <f t="shared" si="148"/>
        <v>#N/A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 t="e">
        <f>EXP(-LN(2)/35)*CK175+(1-EXP(-LN(2)/35))/(LN(2)/35)*CG176*CH176*VLOOKUP('Données projet'!$B$12,Paramètres!$A$1:$I$89,3,0)*0.475*44/12</f>
        <v>#N/A</v>
      </c>
      <c r="CL176" s="21" t="e">
        <f>EXP(-LN(2)/25)*CL175+(1-EXP(-LN(2)/25))/(LN(2)/25)*Calculateur!CG176*Calculateur!CI176*VLOOKUP('Données projet'!$B$12,Paramètres!$A$1:$I$89,3,0)*0.475*44/12</f>
        <v>#N/A</v>
      </c>
      <c r="CM176" s="21" t="e">
        <f>EXP(-LN(2)/2)*CM175+(1-EXP(-LN(2)/2))/(LN(2)/2)*CG176*CJ176*VLOOKUP('Données projet'!$B$12,Paramètres!$A$1:$I$89,3,0)*0.475*44/12</f>
        <v>#N/A</v>
      </c>
      <c r="CN176" s="22" t="e">
        <f t="shared" si="172"/>
        <v>#N/A</v>
      </c>
      <c r="CO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0</v>
      </c>
      <c r="CU176" s="17" t="e">
        <f>CT176*VLOOKUP('Données projet'!$B$13,Paramètres!$A$1:$I$89,3,0)*VLOOKUP('Données projet'!$B$13,Paramètres!$A$1:$I$89,5,0)</f>
        <v>#N/A</v>
      </c>
      <c r="CV176" s="13" t="e">
        <f t="shared" si="173"/>
        <v>#N/A</v>
      </c>
      <c r="CW176" s="20" t="e">
        <f t="shared" si="174"/>
        <v>#N/A</v>
      </c>
      <c r="CX176" s="59" t="e">
        <f t="shared" si="122"/>
        <v>#N/A</v>
      </c>
      <c r="CY176" s="59" t="e">
        <f ca="1">AVERAGE(OFFSET($CX$3,0,0,'Données projet'!$E$13+1,1))-AVERAGE(OFFSET($H$3,0,0,'Données projet'!$E$13+1,1))</f>
        <v>#N/A</v>
      </c>
      <c r="CZ176" s="59" t="e">
        <f t="shared" si="150"/>
        <v>#N/A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 t="e">
        <f>EXP(-LN(2)/35)*DF175+(1-EXP(-LN(2)/35))/(LN(2)/35)*DB176*DC176*VLOOKUP('Données projet'!$B$13,Paramètres!$A$1:$I$89,3,0)*0.475*44/12</f>
        <v>#N/A</v>
      </c>
      <c r="DG176" s="21" t="e">
        <f>EXP(-LN(2)/25)*DG175+(1-EXP(-LN(2)/25))/(LN(2)/25)*Calculateur!DB176*Calculateur!DD176*VLOOKUP('Données projet'!$B$13,Paramètres!$A$1:$I$89,3,0)*0.475*44/12</f>
        <v>#N/A</v>
      </c>
      <c r="DH176" s="21" t="e">
        <f>EXP(-LN(2)/2)*DH175+(1-EXP(-LN(2)/2))/(LN(2)/2)*DB176*DE176*VLOOKUP('Données projet'!$B$13,Paramètres!$A$1:$I$89,3,0)*0.475*44/12</f>
        <v>#N/A</v>
      </c>
      <c r="DI176" s="22" t="e">
        <f t="shared" si="175"/>
        <v>#N/A</v>
      </c>
      <c r="DJ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0</v>
      </c>
      <c r="DP176" s="17" t="e">
        <f>DO176*VLOOKUP('Données projet'!$B$14,Paramètres!$A$1:$I$89,3,0)*VLOOKUP('Données projet'!$B$14,Paramètres!$A$1:$I$89,5,0)</f>
        <v>#N/A</v>
      </c>
      <c r="DQ176" s="13" t="e">
        <f t="shared" si="176"/>
        <v>#N/A</v>
      </c>
      <c r="DR176" s="20" t="e">
        <f t="shared" si="177"/>
        <v>#N/A</v>
      </c>
      <c r="DS176" s="59" t="e">
        <f t="shared" si="125"/>
        <v>#N/A</v>
      </c>
      <c r="DT176" s="59" t="e">
        <f ca="1">AVERAGE(OFFSET($DS$3,0,0,'Données projet'!$E$14+1,1))-AVERAGE(OFFSET($H$3,0,0,'Données projet'!$E$14+1,1))</f>
        <v>#N/A</v>
      </c>
      <c r="DU176" s="59" t="e">
        <f t="shared" si="152"/>
        <v>#N/A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 t="e">
        <f>EXP(-LN(2)/35)*EA175+(1-EXP(-LN(2)/35))/(LN(2)/35)*DW176*DX176*VLOOKUP('Données projet'!$B$14,Paramètres!$A$1:$I$89,3,0)*0.475*44/12</f>
        <v>#N/A</v>
      </c>
      <c r="EB176" s="21" t="e">
        <f>EXP(-LN(2)/25)*EB175+(1-EXP(-LN(2)/25))/(LN(2)/25)*Calculateur!DW176*Calculateur!DY176*VLOOKUP('Données projet'!$B$14,Paramètres!$A$1:$I$89,3,0)*0.475*44/12</f>
        <v>#N/A</v>
      </c>
      <c r="EC176" s="21" t="e">
        <f>EXP(-LN(2)/2)*EC175+(1-EXP(-LN(2)/2))/(LN(2)/2)*DW176*DZ176*VLOOKUP('Données projet'!$B$14,Paramètres!$A$1:$I$89,3,0)*0.475*44/12</f>
        <v>#N/A</v>
      </c>
      <c r="ED176" s="22" t="e">
        <f t="shared" si="178"/>
        <v>#N/A</v>
      </c>
      <c r="EE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0</v>
      </c>
      <c r="EK176" s="17" t="e">
        <f>EJ176*VLOOKUP('Données projet'!$B$15,Paramètres!$A$1:$I$89,3,0)*VLOOKUP('Données projet'!$B$15,Paramètres!$A$1:$I$89,5,0)</f>
        <v>#N/A</v>
      </c>
      <c r="EL176" s="13" t="e">
        <f t="shared" si="179"/>
        <v>#N/A</v>
      </c>
      <c r="EM176" s="20" t="e">
        <f t="shared" si="180"/>
        <v>#N/A</v>
      </c>
      <c r="EN176" s="59" t="e">
        <f t="shared" si="128"/>
        <v>#N/A</v>
      </c>
      <c r="EO176" s="59" t="e">
        <f ca="1">AVERAGE(OFFSET($EN$3,0,0,'Données projet'!$E$15+1,1))-AVERAGE(OFFSET($H$3,0,0,'Données projet'!$E$15+1,1))</f>
        <v>#N/A</v>
      </c>
      <c r="EP176" s="59" t="e">
        <f t="shared" si="154"/>
        <v>#N/A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 t="e">
        <f>EXP(-LN(2)/35)*EV175+(1-EXP(-LN(2)/35))/(LN(2)/35)*ER176*ES176*VLOOKUP('Données projet'!$B$15,Paramètres!$A$1:$I$89,3,0)*0.475*44/12</f>
        <v>#N/A</v>
      </c>
      <c r="EW176" s="21" t="e">
        <f>EXP(-LN(2)/25)*EW175+(1-EXP(-LN(2)/25))/(LN(2)/25)*Calculateur!ER176*Calculateur!ET176*VLOOKUP('Données projet'!$B$15,Paramètres!$A$1:$I$89,3,0)*0.475*44/12</f>
        <v>#N/A</v>
      </c>
      <c r="EX176" s="21" t="e">
        <f>EXP(-LN(2)/2)*EX175+(1-EXP(-LN(2)/2))/(LN(2)/2)*ER176*EU176*VLOOKUP('Données projet'!$B$15,Paramètres!$A$1:$I$89,3,0)*0.475*44/12</f>
        <v>#N/A</v>
      </c>
      <c r="EY176" s="22" t="e">
        <f t="shared" si="181"/>
        <v>#N/A</v>
      </c>
      <c r="EZ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9" t="e">
        <f t="shared" si="131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45">
      <c r="A177" s="10">
        <f t="shared" si="161"/>
        <v>174</v>
      </c>
      <c r="B177" s="73">
        <f>'Scénario référence'!$B$16*5+'Scénario référence'!$B$17*0+'Scénario référence'!$B$18*5</f>
        <v>0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154.72079999999988</v>
      </c>
      <c r="D177" s="11">
        <f t="shared" si="140"/>
        <v>39.649461948838557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">
        <f>IF(OR('Scénario référence'!$F$8&gt;0,'Scénario référence'!$F$9&gt;0),('Scénario référence'!$F$8+'Scénario référence'!$F$9)*10,0)</f>
        <v>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1500.4020220612092</v>
      </c>
      <c r="H177" s="67">
        <f t="shared" si="110"/>
        <v>595.19487289422705</v>
      </c>
      <c r="I177" s="7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1.7053025658242404E-13</v>
      </c>
      <c r="O177" s="13">
        <f>N177*VLOOKUP('Données projet'!$B$9,Paramètres!$A$1:$I$89,3,0)*VLOOKUP('Données projet'!$B$9,Paramètres!$A$1:$I$89,5,0)</f>
        <v>9.5326413429575044E-14</v>
      </c>
      <c r="P177" s="13">
        <f t="shared" si="141"/>
        <v>1.4400742856080346E-12</v>
      </c>
      <c r="Q177" s="20">
        <f t="shared" si="162"/>
        <v>2.6741562174905032E-12</v>
      </c>
      <c r="R177" s="59">
        <f t="shared" si="109"/>
        <v>293.33333333333599</v>
      </c>
      <c r="S177" s="59">
        <f ca="1">AVERAGE(OFFSET($R$3,0,0,'Données projet'!$E$9+1,1))-AVERAGE(OFFSET($H$3,0,0,'Données projet'!$E$9+1,1))</f>
        <v>280.69347314340195</v>
      </c>
      <c r="T177" s="59">
        <f t="shared" si="142"/>
        <v>152.40533828556482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58.566833172904914</v>
      </c>
      <c r="AA177" s="21">
        <f>EXP(-LN(2)/25)*AA176+(1-EXP(-LN(2)/25))/(LN(2)/25)*Calculateur!V177*Calculateur!X177*VLOOKUP('Données projet'!$B$9,Paramètres!$A$1:$I$89,3,0)*0.475*44/12</f>
        <v>12.219664114597279</v>
      </c>
      <c r="AB177" s="21">
        <f>EXP(-LN(2)/2)*AB176+(1-EXP(-LN(2)/2))/(LN(2)/2)*V177*Y177*VLOOKUP('Données projet'!$B$9,Paramètres!$A$1:$I$89,3,0)*0.475*44/12</f>
        <v>4.6292906629927848E-7</v>
      </c>
      <c r="AC177" s="22">
        <f t="shared" si="163"/>
        <v>70.786497750431252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0</v>
      </c>
      <c r="AJ177" s="13">
        <f>AI177*VLOOKUP('Données projet'!$B$10,Paramètres!$A$1:$I$89,3,0)*VLOOKUP('Données projet'!$B$10,Paramètres!$A$1:$I$89,5,0)</f>
        <v>0</v>
      </c>
      <c r="AK177" s="13" t="e">
        <f t="shared" si="164"/>
        <v>#NUM!</v>
      </c>
      <c r="AL177" s="20" t="e">
        <f t="shared" si="165"/>
        <v>#NUM!</v>
      </c>
      <c r="AM177" s="59" t="e">
        <f t="shared" si="113"/>
        <v>#NUM!</v>
      </c>
      <c r="AN177" s="59">
        <f ca="1">AVERAGE(OFFSET($AM$3,0,0,'Données projet'!$E$10+1,1))-AVERAGE(OFFSET($H$3,0,0,'Données projet'!$E$10+1,1))</f>
        <v>179.4725256147085</v>
      </c>
      <c r="AO177" s="59">
        <f t="shared" si="144"/>
        <v>282.16750121151176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15.101785084166865</v>
      </c>
      <c r="AV177" s="21">
        <f>EXP(-LN(2)/25)*AV176+(1-EXP(-LN(2)/25))/(LN(2)/25)*Calculateur!AQ177*Calculateur!AS177*VLOOKUP('Données projet'!$B$10,Paramètres!$A$1:$I$89,3,0)*0.475*44/12</f>
        <v>2.0714892140104229</v>
      </c>
      <c r="AW177" s="21">
        <f>EXP(-LN(2)/2)*AW176+(1-EXP(-LN(2)/2))/(LN(2)/2)*AQ177*AT177*VLOOKUP('Données projet'!$B$10,Paramètres!$A$1:$I$89,3,0)*0.475*44/12</f>
        <v>2.9920786594697784E-16</v>
      </c>
      <c r="AX177" s="21">
        <f t="shared" si="166"/>
        <v>17.173274298177287</v>
      </c>
      <c r="AY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6.2527760746888816E-13</v>
      </c>
      <c r="BE177" s="13">
        <f>BD177*VLOOKUP('Données projet'!$B$11,Paramètres!$A$1:$I$89,3,0)*VLOOKUP('Données projet'!$B$11,Paramètres!$A$1:$I$89,5,0)</f>
        <v>5.3648818720830608E-13</v>
      </c>
      <c r="BF177" s="13">
        <f t="shared" si="167"/>
        <v>6.6281362235424649E-12</v>
      </c>
      <c r="BG177" s="20">
        <f t="shared" si="168"/>
        <v>1.2478387515390925E-11</v>
      </c>
      <c r="BH177" s="59">
        <f t="shared" si="116"/>
        <v>293.33333333334582</v>
      </c>
      <c r="BI177" s="59">
        <f ca="1">AVERAGE(OFFSET($BH$3,0,0,'Données projet'!$E$11+1,1))-AVERAGE(OFFSET($H$3,0,0,'Données projet'!$E$11+1,1))</f>
        <v>312.89478437044261</v>
      </c>
      <c r="BJ177" s="59">
        <f t="shared" si="146"/>
        <v>276.16555507854571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>
        <f>EXP(-LN(2)/35)*BP176+(1-EXP(-LN(2)/35))/(LN(2)/35)*BL177*BM177*VLOOKUP('Données projet'!$B$11,Paramètres!$A$1:$I$89,3,0)*0.475*44/12</f>
        <v>61.703568832013318</v>
      </c>
      <c r="BQ177" s="21">
        <f>EXP(-LN(2)/25)*BQ176+(1-EXP(-LN(2)/25))/(LN(2)/25)*Calculateur!BL177*Calculateur!BN177*VLOOKUP('Données projet'!$B$11,Paramètres!$A$1:$I$89,3,0)*0.475*44/12</f>
        <v>11.810302980267734</v>
      </c>
      <c r="BR177" s="21">
        <f>EXP(-LN(2)/2)*BR176+(1-EXP(-LN(2)/2))/(LN(2)/2)*BL177*BO177*VLOOKUP('Données projet'!$B$11,Paramètres!$A$1:$I$89,3,0)*0.475*44/12</f>
        <v>1.4840203749353473E-4</v>
      </c>
      <c r="BS177" s="22">
        <f t="shared" si="169"/>
        <v>73.514020214318549</v>
      </c>
      <c r="BT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0</v>
      </c>
      <c r="BZ177" s="13" t="e">
        <f>BY177*VLOOKUP('Données projet'!$B$12,Paramètres!$A$1:$I$89,3,0)*VLOOKUP('Données projet'!$B$12,Paramètres!$A$1:$I$89,5,0)</f>
        <v>#N/A</v>
      </c>
      <c r="CA177" s="13" t="e">
        <f t="shared" si="170"/>
        <v>#N/A</v>
      </c>
      <c r="CB177" s="20" t="e">
        <f t="shared" si="171"/>
        <v>#N/A</v>
      </c>
      <c r="CC177" s="59" t="e">
        <f t="shared" si="119"/>
        <v>#N/A</v>
      </c>
      <c r="CD177" s="59" t="e">
        <f ca="1">AVERAGE(OFFSET($CC$3,0,0,'Données projet'!$E$12+1,1))-AVERAGE(OFFSET($H$3,0,0,'Données projet'!$E$12+1,1))</f>
        <v>#N/A</v>
      </c>
      <c r="CE177" s="59" t="e">
        <f t="shared" si="148"/>
        <v>#N/A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 t="e">
        <f>EXP(-LN(2)/35)*CK176+(1-EXP(-LN(2)/35))/(LN(2)/35)*CG177*CH177*VLOOKUP('Données projet'!$B$12,Paramètres!$A$1:$I$89,3,0)*0.475*44/12</f>
        <v>#N/A</v>
      </c>
      <c r="CL177" s="21" t="e">
        <f>EXP(-LN(2)/25)*CL176+(1-EXP(-LN(2)/25))/(LN(2)/25)*Calculateur!CG177*Calculateur!CI177*VLOOKUP('Données projet'!$B$12,Paramètres!$A$1:$I$89,3,0)*0.475*44/12</f>
        <v>#N/A</v>
      </c>
      <c r="CM177" s="21" t="e">
        <f>EXP(-LN(2)/2)*CM176+(1-EXP(-LN(2)/2))/(LN(2)/2)*CG177*CJ177*VLOOKUP('Données projet'!$B$12,Paramètres!$A$1:$I$89,3,0)*0.475*44/12</f>
        <v>#N/A</v>
      </c>
      <c r="CN177" s="22" t="e">
        <f t="shared" si="172"/>
        <v>#N/A</v>
      </c>
      <c r="CO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0</v>
      </c>
      <c r="CU177" s="17" t="e">
        <f>CT177*VLOOKUP('Données projet'!$B$13,Paramètres!$A$1:$I$89,3,0)*VLOOKUP('Données projet'!$B$13,Paramètres!$A$1:$I$89,5,0)</f>
        <v>#N/A</v>
      </c>
      <c r="CV177" s="13" t="e">
        <f t="shared" si="173"/>
        <v>#N/A</v>
      </c>
      <c r="CW177" s="20" t="e">
        <f t="shared" si="174"/>
        <v>#N/A</v>
      </c>
      <c r="CX177" s="59" t="e">
        <f t="shared" si="122"/>
        <v>#N/A</v>
      </c>
      <c r="CY177" s="59" t="e">
        <f ca="1">AVERAGE(OFFSET($CX$3,0,0,'Données projet'!$E$13+1,1))-AVERAGE(OFFSET($H$3,0,0,'Données projet'!$E$13+1,1))</f>
        <v>#N/A</v>
      </c>
      <c r="CZ177" s="59" t="e">
        <f t="shared" si="150"/>
        <v>#N/A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 t="e">
        <f>EXP(-LN(2)/35)*DF176+(1-EXP(-LN(2)/35))/(LN(2)/35)*DB177*DC177*VLOOKUP('Données projet'!$B$13,Paramètres!$A$1:$I$89,3,0)*0.475*44/12</f>
        <v>#N/A</v>
      </c>
      <c r="DG177" s="21" t="e">
        <f>EXP(-LN(2)/25)*DG176+(1-EXP(-LN(2)/25))/(LN(2)/25)*Calculateur!DB177*Calculateur!DD177*VLOOKUP('Données projet'!$B$13,Paramètres!$A$1:$I$89,3,0)*0.475*44/12</f>
        <v>#N/A</v>
      </c>
      <c r="DH177" s="21" t="e">
        <f>EXP(-LN(2)/2)*DH176+(1-EXP(-LN(2)/2))/(LN(2)/2)*DB177*DE177*VLOOKUP('Données projet'!$B$13,Paramètres!$A$1:$I$89,3,0)*0.475*44/12</f>
        <v>#N/A</v>
      </c>
      <c r="DI177" s="22" t="e">
        <f t="shared" si="175"/>
        <v>#N/A</v>
      </c>
      <c r="DJ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0</v>
      </c>
      <c r="DP177" s="17" t="e">
        <f>DO177*VLOOKUP('Données projet'!$B$14,Paramètres!$A$1:$I$89,3,0)*VLOOKUP('Données projet'!$B$14,Paramètres!$A$1:$I$89,5,0)</f>
        <v>#N/A</v>
      </c>
      <c r="DQ177" s="13" t="e">
        <f t="shared" si="176"/>
        <v>#N/A</v>
      </c>
      <c r="DR177" s="20" t="e">
        <f t="shared" si="177"/>
        <v>#N/A</v>
      </c>
      <c r="DS177" s="59" t="e">
        <f t="shared" si="125"/>
        <v>#N/A</v>
      </c>
      <c r="DT177" s="59" t="e">
        <f ca="1">AVERAGE(OFFSET($DS$3,0,0,'Données projet'!$E$14+1,1))-AVERAGE(OFFSET($H$3,0,0,'Données projet'!$E$14+1,1))</f>
        <v>#N/A</v>
      </c>
      <c r="DU177" s="59" t="e">
        <f t="shared" si="152"/>
        <v>#N/A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 t="e">
        <f>EXP(-LN(2)/35)*EA176+(1-EXP(-LN(2)/35))/(LN(2)/35)*DW177*DX177*VLOOKUP('Données projet'!$B$14,Paramètres!$A$1:$I$89,3,0)*0.475*44/12</f>
        <v>#N/A</v>
      </c>
      <c r="EB177" s="21" t="e">
        <f>EXP(-LN(2)/25)*EB176+(1-EXP(-LN(2)/25))/(LN(2)/25)*Calculateur!DW177*Calculateur!DY177*VLOOKUP('Données projet'!$B$14,Paramètres!$A$1:$I$89,3,0)*0.475*44/12</f>
        <v>#N/A</v>
      </c>
      <c r="EC177" s="21" t="e">
        <f>EXP(-LN(2)/2)*EC176+(1-EXP(-LN(2)/2))/(LN(2)/2)*DW177*DZ177*VLOOKUP('Données projet'!$B$14,Paramètres!$A$1:$I$89,3,0)*0.475*44/12</f>
        <v>#N/A</v>
      </c>
      <c r="ED177" s="22" t="e">
        <f t="shared" si="178"/>
        <v>#N/A</v>
      </c>
      <c r="EE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0</v>
      </c>
      <c r="EK177" s="17" t="e">
        <f>EJ177*VLOOKUP('Données projet'!$B$15,Paramètres!$A$1:$I$89,3,0)*VLOOKUP('Données projet'!$B$15,Paramètres!$A$1:$I$89,5,0)</f>
        <v>#N/A</v>
      </c>
      <c r="EL177" s="13" t="e">
        <f t="shared" si="179"/>
        <v>#N/A</v>
      </c>
      <c r="EM177" s="20" t="e">
        <f t="shared" si="180"/>
        <v>#N/A</v>
      </c>
      <c r="EN177" s="59" t="e">
        <f t="shared" si="128"/>
        <v>#N/A</v>
      </c>
      <c r="EO177" s="59" t="e">
        <f ca="1">AVERAGE(OFFSET($EN$3,0,0,'Données projet'!$E$15+1,1))-AVERAGE(OFFSET($H$3,0,0,'Données projet'!$E$15+1,1))</f>
        <v>#N/A</v>
      </c>
      <c r="EP177" s="59" t="e">
        <f t="shared" si="154"/>
        <v>#N/A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 t="e">
        <f>EXP(-LN(2)/35)*EV176+(1-EXP(-LN(2)/35))/(LN(2)/35)*ER177*ES177*VLOOKUP('Données projet'!$B$15,Paramètres!$A$1:$I$89,3,0)*0.475*44/12</f>
        <v>#N/A</v>
      </c>
      <c r="EW177" s="21" t="e">
        <f>EXP(-LN(2)/25)*EW176+(1-EXP(-LN(2)/25))/(LN(2)/25)*Calculateur!ER177*Calculateur!ET177*VLOOKUP('Données projet'!$B$15,Paramètres!$A$1:$I$89,3,0)*0.475*44/12</f>
        <v>#N/A</v>
      </c>
      <c r="EX177" s="21" t="e">
        <f>EXP(-LN(2)/2)*EX176+(1-EXP(-LN(2)/2))/(LN(2)/2)*ER177*EU177*VLOOKUP('Données projet'!$B$15,Paramètres!$A$1:$I$89,3,0)*0.475*44/12</f>
        <v>#N/A</v>
      </c>
      <c r="EY177" s="22" t="e">
        <f t="shared" si="181"/>
        <v>#N/A</v>
      </c>
      <c r="EZ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9" t="e">
        <f t="shared" si="131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45">
      <c r="A178" s="10">
        <f t="shared" si="161"/>
        <v>175</v>
      </c>
      <c r="B178" s="73">
        <f>'Scénario référence'!$B$16*5+'Scénario référence'!$B$17*0+'Scénario référence'!$B$18*5</f>
        <v>0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155.60999999999987</v>
      </c>
      <c r="D178" s="11">
        <f t="shared" si="140"/>
        <v>39.850741093704151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">
        <f>IF(OR('Scénario référence'!$F$8&gt;0,'Scénario référence'!$F$9&gt;0),('Scénario référence'!$F$8+'Scénario référence'!$F$9)*10,0)</f>
        <v>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1508.8197558110487</v>
      </c>
      <c r="H178" s="67">
        <f t="shared" si="110"/>
        <v>597.09412407153457</v>
      </c>
      <c r="I178" s="7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1.7053025658242404E-13</v>
      </c>
      <c r="O178" s="13">
        <f>N178*VLOOKUP('Données projet'!$B$9,Paramètres!$A$1:$I$89,3,0)*VLOOKUP('Données projet'!$B$9,Paramètres!$A$1:$I$89,5,0)</f>
        <v>9.5326413429575044E-14</v>
      </c>
      <c r="P178" s="13">
        <f t="shared" si="141"/>
        <v>1.4400742856080346E-12</v>
      </c>
      <c r="Q178" s="20">
        <f t="shared" si="162"/>
        <v>2.6741562174905032E-12</v>
      </c>
      <c r="R178" s="59">
        <f t="shared" si="109"/>
        <v>293.33333333333599</v>
      </c>
      <c r="S178" s="59">
        <f ca="1">AVERAGE(OFFSET($R$3,0,0,'Données projet'!$E$9+1,1))-AVERAGE(OFFSET($H$3,0,0,'Données projet'!$E$9+1,1))</f>
        <v>280.69347314340195</v>
      </c>
      <c r="T178" s="59">
        <f t="shared" si="142"/>
        <v>152.40533828556482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57.418373296625205</v>
      </c>
      <c r="AA178" s="21">
        <f>EXP(-LN(2)/25)*AA177+(1-EXP(-LN(2)/25))/(LN(2)/25)*Calculateur!V178*Calculateur!X178*VLOOKUP('Données projet'!$B$9,Paramètres!$A$1:$I$89,3,0)*0.475*44/12</f>
        <v>11.88551675677941</v>
      </c>
      <c r="AB178" s="21">
        <f>EXP(-LN(2)/2)*AB177+(1-EXP(-LN(2)/2))/(LN(2)/2)*V178*Y178*VLOOKUP('Données projet'!$B$9,Paramètres!$A$1:$I$89,3,0)*0.475*44/12</f>
        <v>3.2734028198857668E-7</v>
      </c>
      <c r="AC178" s="22">
        <f t="shared" si="163"/>
        <v>69.303890380744903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0</v>
      </c>
      <c r="AJ178" s="13">
        <f>AI178*VLOOKUP('Données projet'!$B$10,Paramètres!$A$1:$I$89,3,0)*VLOOKUP('Données projet'!$B$10,Paramètres!$A$1:$I$89,5,0)</f>
        <v>0</v>
      </c>
      <c r="AK178" s="13" t="e">
        <f t="shared" si="164"/>
        <v>#NUM!</v>
      </c>
      <c r="AL178" s="20" t="e">
        <f t="shared" si="165"/>
        <v>#NUM!</v>
      </c>
      <c r="AM178" s="59" t="e">
        <f t="shared" si="113"/>
        <v>#NUM!</v>
      </c>
      <c r="AN178" s="59">
        <f ca="1">AVERAGE(OFFSET($AM$3,0,0,'Données projet'!$E$10+1,1))-AVERAGE(OFFSET($H$3,0,0,'Données projet'!$E$10+1,1))</f>
        <v>179.4725256147085</v>
      </c>
      <c r="AO178" s="59">
        <f t="shared" si="144"/>
        <v>282.16750121151176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14.805648289845726</v>
      </c>
      <c r="AV178" s="21">
        <f>EXP(-LN(2)/25)*AV177+(1-EXP(-LN(2)/25))/(LN(2)/25)*Calculateur!AQ178*Calculateur!AS178*VLOOKUP('Données projet'!$B$10,Paramètres!$A$1:$I$89,3,0)*0.475*44/12</f>
        <v>2.0148442325184246</v>
      </c>
      <c r="AW178" s="21">
        <f>EXP(-LN(2)/2)*AW177+(1-EXP(-LN(2)/2))/(LN(2)/2)*AQ178*AT178*VLOOKUP('Données projet'!$B$10,Paramètres!$A$1:$I$89,3,0)*0.475*44/12</f>
        <v>2.1157191099546351E-16</v>
      </c>
      <c r="AX178" s="21">
        <f t="shared" si="166"/>
        <v>16.820492522364152</v>
      </c>
      <c r="AY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6.2527760746888816E-13</v>
      </c>
      <c r="BE178" s="13">
        <f>BD178*VLOOKUP('Données projet'!$B$11,Paramètres!$A$1:$I$89,3,0)*VLOOKUP('Données projet'!$B$11,Paramètres!$A$1:$I$89,5,0)</f>
        <v>5.3648818720830608E-13</v>
      </c>
      <c r="BF178" s="13">
        <f t="shared" si="167"/>
        <v>6.6281362235424649E-12</v>
      </c>
      <c r="BG178" s="20">
        <f t="shared" si="168"/>
        <v>1.2478387515390925E-11</v>
      </c>
      <c r="BH178" s="59">
        <f t="shared" si="116"/>
        <v>293.33333333334582</v>
      </c>
      <c r="BI178" s="59">
        <f ca="1">AVERAGE(OFFSET($BH$3,0,0,'Données projet'!$E$11+1,1))-AVERAGE(OFFSET($H$3,0,0,'Données projet'!$E$11+1,1))</f>
        <v>312.89478437044261</v>
      </c>
      <c r="BJ178" s="59">
        <f t="shared" si="146"/>
        <v>276.16555507854571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>
        <f>EXP(-LN(2)/35)*BP177+(1-EXP(-LN(2)/35))/(LN(2)/35)*BL178*BM178*VLOOKUP('Données projet'!$B$11,Paramètres!$A$1:$I$89,3,0)*0.475*44/12</f>
        <v>60.493599482678334</v>
      </c>
      <c r="BQ178" s="21">
        <f>EXP(-LN(2)/25)*BQ177+(1-EXP(-LN(2)/25))/(LN(2)/25)*Calculateur!BL178*Calculateur!BN178*VLOOKUP('Données projet'!$B$11,Paramètres!$A$1:$I$89,3,0)*0.475*44/12</f>
        <v>11.487349624195472</v>
      </c>
      <c r="BR178" s="21">
        <f>EXP(-LN(2)/2)*BR177+(1-EXP(-LN(2)/2))/(LN(2)/2)*BL178*BO178*VLOOKUP('Données projet'!$B$11,Paramètres!$A$1:$I$89,3,0)*0.475*44/12</f>
        <v>1.0493608705357869E-4</v>
      </c>
      <c r="BS178" s="22">
        <f t="shared" si="169"/>
        <v>71.981054042960864</v>
      </c>
      <c r="BT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0</v>
      </c>
      <c r="BZ178" s="13" t="e">
        <f>BY178*VLOOKUP('Données projet'!$B$12,Paramètres!$A$1:$I$89,3,0)*VLOOKUP('Données projet'!$B$12,Paramètres!$A$1:$I$89,5,0)</f>
        <v>#N/A</v>
      </c>
      <c r="CA178" s="13" t="e">
        <f t="shared" si="170"/>
        <v>#N/A</v>
      </c>
      <c r="CB178" s="20" t="e">
        <f t="shared" si="171"/>
        <v>#N/A</v>
      </c>
      <c r="CC178" s="59" t="e">
        <f t="shared" si="119"/>
        <v>#N/A</v>
      </c>
      <c r="CD178" s="59" t="e">
        <f ca="1">AVERAGE(OFFSET($CC$3,0,0,'Données projet'!$E$12+1,1))-AVERAGE(OFFSET($H$3,0,0,'Données projet'!$E$12+1,1))</f>
        <v>#N/A</v>
      </c>
      <c r="CE178" s="59" t="e">
        <f t="shared" si="148"/>
        <v>#N/A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 t="e">
        <f>EXP(-LN(2)/35)*CK177+(1-EXP(-LN(2)/35))/(LN(2)/35)*CG178*CH178*VLOOKUP('Données projet'!$B$12,Paramètres!$A$1:$I$89,3,0)*0.475*44/12</f>
        <v>#N/A</v>
      </c>
      <c r="CL178" s="21" t="e">
        <f>EXP(-LN(2)/25)*CL177+(1-EXP(-LN(2)/25))/(LN(2)/25)*Calculateur!CG178*Calculateur!CI178*VLOOKUP('Données projet'!$B$12,Paramètres!$A$1:$I$89,3,0)*0.475*44/12</f>
        <v>#N/A</v>
      </c>
      <c r="CM178" s="21" t="e">
        <f>EXP(-LN(2)/2)*CM177+(1-EXP(-LN(2)/2))/(LN(2)/2)*CG178*CJ178*VLOOKUP('Données projet'!$B$12,Paramètres!$A$1:$I$89,3,0)*0.475*44/12</f>
        <v>#N/A</v>
      </c>
      <c r="CN178" s="22" t="e">
        <f t="shared" si="172"/>
        <v>#N/A</v>
      </c>
      <c r="CO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0</v>
      </c>
      <c r="CU178" s="17" t="e">
        <f>CT178*VLOOKUP('Données projet'!$B$13,Paramètres!$A$1:$I$89,3,0)*VLOOKUP('Données projet'!$B$13,Paramètres!$A$1:$I$89,5,0)</f>
        <v>#N/A</v>
      </c>
      <c r="CV178" s="13" t="e">
        <f t="shared" si="173"/>
        <v>#N/A</v>
      </c>
      <c r="CW178" s="20" t="e">
        <f t="shared" si="174"/>
        <v>#N/A</v>
      </c>
      <c r="CX178" s="59" t="e">
        <f t="shared" si="122"/>
        <v>#N/A</v>
      </c>
      <c r="CY178" s="59" t="e">
        <f ca="1">AVERAGE(OFFSET($CX$3,0,0,'Données projet'!$E$13+1,1))-AVERAGE(OFFSET($H$3,0,0,'Données projet'!$E$13+1,1))</f>
        <v>#N/A</v>
      </c>
      <c r="CZ178" s="59" t="e">
        <f t="shared" si="150"/>
        <v>#N/A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 t="e">
        <f>EXP(-LN(2)/35)*DF177+(1-EXP(-LN(2)/35))/(LN(2)/35)*DB178*DC178*VLOOKUP('Données projet'!$B$13,Paramètres!$A$1:$I$89,3,0)*0.475*44/12</f>
        <v>#N/A</v>
      </c>
      <c r="DG178" s="21" t="e">
        <f>EXP(-LN(2)/25)*DG177+(1-EXP(-LN(2)/25))/(LN(2)/25)*Calculateur!DB178*Calculateur!DD178*VLOOKUP('Données projet'!$B$13,Paramètres!$A$1:$I$89,3,0)*0.475*44/12</f>
        <v>#N/A</v>
      </c>
      <c r="DH178" s="21" t="e">
        <f>EXP(-LN(2)/2)*DH177+(1-EXP(-LN(2)/2))/(LN(2)/2)*DB178*DE178*VLOOKUP('Données projet'!$B$13,Paramètres!$A$1:$I$89,3,0)*0.475*44/12</f>
        <v>#N/A</v>
      </c>
      <c r="DI178" s="22" t="e">
        <f t="shared" si="175"/>
        <v>#N/A</v>
      </c>
      <c r="DJ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0</v>
      </c>
      <c r="DP178" s="17" t="e">
        <f>DO178*VLOOKUP('Données projet'!$B$14,Paramètres!$A$1:$I$89,3,0)*VLOOKUP('Données projet'!$B$14,Paramètres!$A$1:$I$89,5,0)</f>
        <v>#N/A</v>
      </c>
      <c r="DQ178" s="13" t="e">
        <f t="shared" si="176"/>
        <v>#N/A</v>
      </c>
      <c r="DR178" s="20" t="e">
        <f t="shared" si="177"/>
        <v>#N/A</v>
      </c>
      <c r="DS178" s="59" t="e">
        <f t="shared" si="125"/>
        <v>#N/A</v>
      </c>
      <c r="DT178" s="59" t="e">
        <f ca="1">AVERAGE(OFFSET($DS$3,0,0,'Données projet'!$E$14+1,1))-AVERAGE(OFFSET($H$3,0,0,'Données projet'!$E$14+1,1))</f>
        <v>#N/A</v>
      </c>
      <c r="DU178" s="59" t="e">
        <f t="shared" si="152"/>
        <v>#N/A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 t="e">
        <f>EXP(-LN(2)/35)*EA177+(1-EXP(-LN(2)/35))/(LN(2)/35)*DW178*DX178*VLOOKUP('Données projet'!$B$14,Paramètres!$A$1:$I$89,3,0)*0.475*44/12</f>
        <v>#N/A</v>
      </c>
      <c r="EB178" s="21" t="e">
        <f>EXP(-LN(2)/25)*EB177+(1-EXP(-LN(2)/25))/(LN(2)/25)*Calculateur!DW178*Calculateur!DY178*VLOOKUP('Données projet'!$B$14,Paramètres!$A$1:$I$89,3,0)*0.475*44/12</f>
        <v>#N/A</v>
      </c>
      <c r="EC178" s="21" t="e">
        <f>EXP(-LN(2)/2)*EC177+(1-EXP(-LN(2)/2))/(LN(2)/2)*DW178*DZ178*VLOOKUP('Données projet'!$B$14,Paramètres!$A$1:$I$89,3,0)*0.475*44/12</f>
        <v>#N/A</v>
      </c>
      <c r="ED178" s="22" t="e">
        <f t="shared" si="178"/>
        <v>#N/A</v>
      </c>
      <c r="EE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0</v>
      </c>
      <c r="EK178" s="17" t="e">
        <f>EJ178*VLOOKUP('Données projet'!$B$15,Paramètres!$A$1:$I$89,3,0)*VLOOKUP('Données projet'!$B$15,Paramètres!$A$1:$I$89,5,0)</f>
        <v>#N/A</v>
      </c>
      <c r="EL178" s="13" t="e">
        <f t="shared" si="179"/>
        <v>#N/A</v>
      </c>
      <c r="EM178" s="20" t="e">
        <f t="shared" si="180"/>
        <v>#N/A</v>
      </c>
      <c r="EN178" s="59" t="e">
        <f t="shared" si="128"/>
        <v>#N/A</v>
      </c>
      <c r="EO178" s="59" t="e">
        <f ca="1">AVERAGE(OFFSET($EN$3,0,0,'Données projet'!$E$15+1,1))-AVERAGE(OFFSET($H$3,0,0,'Données projet'!$E$15+1,1))</f>
        <v>#N/A</v>
      </c>
      <c r="EP178" s="59" t="e">
        <f t="shared" si="154"/>
        <v>#N/A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 t="e">
        <f>EXP(-LN(2)/35)*EV177+(1-EXP(-LN(2)/35))/(LN(2)/35)*ER178*ES178*VLOOKUP('Données projet'!$B$15,Paramètres!$A$1:$I$89,3,0)*0.475*44/12</f>
        <v>#N/A</v>
      </c>
      <c r="EW178" s="21" t="e">
        <f>EXP(-LN(2)/25)*EW177+(1-EXP(-LN(2)/25))/(LN(2)/25)*Calculateur!ER178*Calculateur!ET178*VLOOKUP('Données projet'!$B$15,Paramètres!$A$1:$I$89,3,0)*0.475*44/12</f>
        <v>#N/A</v>
      </c>
      <c r="EX178" s="21" t="e">
        <f>EXP(-LN(2)/2)*EX177+(1-EXP(-LN(2)/2))/(LN(2)/2)*ER178*EU178*VLOOKUP('Données projet'!$B$15,Paramètres!$A$1:$I$89,3,0)*0.475*44/12</f>
        <v>#N/A</v>
      </c>
      <c r="EY178" s="22" t="e">
        <f t="shared" si="181"/>
        <v>#N/A</v>
      </c>
      <c r="EZ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9" t="e">
        <f t="shared" si="131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45">
      <c r="A179" s="10">
        <f t="shared" si="161"/>
        <v>176</v>
      </c>
      <c r="B179" s="73">
        <f>'Scénario référence'!$B$16*5+'Scénario référence'!$B$17*0+'Scénario référence'!$B$18*5</f>
        <v>0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156.49919999999986</v>
      </c>
      <c r="D179" s="11">
        <f t="shared" si="140"/>
        <v>40.051886402928353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">
        <f>IF(OR('Scénario référence'!$F$8&gt;0,'Scénario référence'!$F$9&gt;0),('Scénario référence'!$F$8+'Scénario référence'!$F$9)*10,0)</f>
        <v>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1517.2364564436564</v>
      </c>
      <c r="H179" s="67">
        <f t="shared" si="110"/>
        <v>598.99314215176662</v>
      </c>
      <c r="I179" s="7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1.7053025658242404E-13</v>
      </c>
      <c r="O179" s="13">
        <f>N179*VLOOKUP('Données projet'!$B$9,Paramètres!$A$1:$I$89,3,0)*VLOOKUP('Données projet'!$B$9,Paramètres!$A$1:$I$89,5,0)</f>
        <v>9.5326413429575044E-14</v>
      </c>
      <c r="P179" s="13">
        <f t="shared" si="141"/>
        <v>1.4400742856080346E-12</v>
      </c>
      <c r="Q179" s="20">
        <f t="shared" si="162"/>
        <v>2.6741562174905032E-12</v>
      </c>
      <c r="R179" s="59">
        <f t="shared" si="109"/>
        <v>293.33333333333599</v>
      </c>
      <c r="S179" s="59">
        <f ca="1">AVERAGE(OFFSET($R$3,0,0,'Données projet'!$E$9+1,1))-AVERAGE(OFFSET($H$3,0,0,'Données projet'!$E$9+1,1))</f>
        <v>280.69347314340195</v>
      </c>
      <c r="T179" s="59">
        <f t="shared" si="142"/>
        <v>152.40533828556482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56.292434018027983</v>
      </c>
      <c r="AA179" s="21">
        <f>EXP(-LN(2)/25)*AA178+(1-EXP(-LN(2)/25))/(LN(2)/25)*Calculateur!V179*Calculateur!X179*VLOOKUP('Données projet'!$B$9,Paramètres!$A$1:$I$89,3,0)*0.475*44/12</f>
        <v>11.560506676033116</v>
      </c>
      <c r="AB179" s="21">
        <f>EXP(-LN(2)/2)*AB178+(1-EXP(-LN(2)/2))/(LN(2)/2)*V179*Y179*VLOOKUP('Données projet'!$B$9,Paramètres!$A$1:$I$89,3,0)*0.475*44/12</f>
        <v>2.3146453314963926E-7</v>
      </c>
      <c r="AC179" s="22">
        <f t="shared" si="163"/>
        <v>67.852940925525644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0</v>
      </c>
      <c r="AJ179" s="13">
        <f>AI179*VLOOKUP('Données projet'!$B$10,Paramètres!$A$1:$I$89,3,0)*VLOOKUP('Données projet'!$B$10,Paramètres!$A$1:$I$89,5,0)</f>
        <v>0</v>
      </c>
      <c r="AK179" s="13" t="e">
        <f t="shared" si="164"/>
        <v>#NUM!</v>
      </c>
      <c r="AL179" s="20" t="e">
        <f t="shared" si="165"/>
        <v>#NUM!</v>
      </c>
      <c r="AM179" s="59" t="e">
        <f t="shared" si="113"/>
        <v>#NUM!</v>
      </c>
      <c r="AN179" s="59">
        <f ca="1">AVERAGE(OFFSET($AM$3,0,0,'Données projet'!$E$10+1,1))-AVERAGE(OFFSET($H$3,0,0,'Données projet'!$E$10+1,1))</f>
        <v>179.4725256147085</v>
      </c>
      <c r="AO179" s="59">
        <f t="shared" si="144"/>
        <v>282.16750121151176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14.515318557435615</v>
      </c>
      <c r="AV179" s="21">
        <f>EXP(-LN(2)/25)*AV178+(1-EXP(-LN(2)/25))/(LN(2)/25)*Calculateur!AQ179*Calculateur!AS179*VLOOKUP('Données projet'!$B$10,Paramètres!$A$1:$I$89,3,0)*0.475*44/12</f>
        <v>1.9597482110241551</v>
      </c>
      <c r="AW179" s="21">
        <f>EXP(-LN(2)/2)*AW178+(1-EXP(-LN(2)/2))/(LN(2)/2)*AQ179*AT179*VLOOKUP('Données projet'!$B$10,Paramètres!$A$1:$I$89,3,0)*0.475*44/12</f>
        <v>1.4960393297348892E-16</v>
      </c>
      <c r="AX179" s="21">
        <f t="shared" si="166"/>
        <v>16.475066768459769</v>
      </c>
      <c r="AY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6.2527760746888816E-13</v>
      </c>
      <c r="BE179" s="13">
        <f>BD179*VLOOKUP('Données projet'!$B$11,Paramètres!$A$1:$I$89,3,0)*VLOOKUP('Données projet'!$B$11,Paramètres!$A$1:$I$89,5,0)</f>
        <v>5.3648818720830608E-13</v>
      </c>
      <c r="BF179" s="13">
        <f t="shared" si="167"/>
        <v>6.6281362235424649E-12</v>
      </c>
      <c r="BG179" s="20">
        <f t="shared" si="168"/>
        <v>1.2478387515390925E-11</v>
      </c>
      <c r="BH179" s="59">
        <f t="shared" si="116"/>
        <v>293.33333333334582</v>
      </c>
      <c r="BI179" s="59">
        <f ca="1">AVERAGE(OFFSET($BH$3,0,0,'Données projet'!$E$11+1,1))-AVERAGE(OFFSET($H$3,0,0,'Données projet'!$E$11+1,1))</f>
        <v>312.89478437044261</v>
      </c>
      <c r="BJ179" s="59">
        <f t="shared" si="146"/>
        <v>276.16555507854571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>
        <f>EXP(-LN(2)/35)*BP178+(1-EXP(-LN(2)/35))/(LN(2)/35)*BL179*BM179*VLOOKUP('Données projet'!$B$11,Paramètres!$A$1:$I$89,3,0)*0.475*44/12</f>
        <v>59.307356894275372</v>
      </c>
      <c r="BQ179" s="21">
        <f>EXP(-LN(2)/25)*BQ178+(1-EXP(-LN(2)/25))/(LN(2)/25)*Calculateur!BL179*Calculateur!BN179*VLOOKUP('Données projet'!$B$11,Paramètres!$A$1:$I$89,3,0)*0.475*44/12</f>
        <v>11.173227444628385</v>
      </c>
      <c r="BR179" s="21">
        <f>EXP(-LN(2)/2)*BR178+(1-EXP(-LN(2)/2))/(LN(2)/2)*BL179*BO179*VLOOKUP('Données projet'!$B$11,Paramètres!$A$1:$I$89,3,0)*0.475*44/12</f>
        <v>7.4201018746767366E-5</v>
      </c>
      <c r="BS179" s="22">
        <f t="shared" si="169"/>
        <v>70.480658539922501</v>
      </c>
      <c r="BT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0</v>
      </c>
      <c r="BZ179" s="13" t="e">
        <f>BY179*VLOOKUP('Données projet'!$B$12,Paramètres!$A$1:$I$89,3,0)*VLOOKUP('Données projet'!$B$12,Paramètres!$A$1:$I$89,5,0)</f>
        <v>#N/A</v>
      </c>
      <c r="CA179" s="13" t="e">
        <f t="shared" si="170"/>
        <v>#N/A</v>
      </c>
      <c r="CB179" s="20" t="e">
        <f t="shared" si="171"/>
        <v>#N/A</v>
      </c>
      <c r="CC179" s="59" t="e">
        <f t="shared" si="119"/>
        <v>#N/A</v>
      </c>
      <c r="CD179" s="59" t="e">
        <f ca="1">AVERAGE(OFFSET($CC$3,0,0,'Données projet'!$E$12+1,1))-AVERAGE(OFFSET($H$3,0,0,'Données projet'!$E$12+1,1))</f>
        <v>#N/A</v>
      </c>
      <c r="CE179" s="59" t="e">
        <f t="shared" si="148"/>
        <v>#N/A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 t="e">
        <f>EXP(-LN(2)/35)*CK178+(1-EXP(-LN(2)/35))/(LN(2)/35)*CG179*CH179*VLOOKUP('Données projet'!$B$12,Paramètres!$A$1:$I$89,3,0)*0.475*44/12</f>
        <v>#N/A</v>
      </c>
      <c r="CL179" s="21" t="e">
        <f>EXP(-LN(2)/25)*CL178+(1-EXP(-LN(2)/25))/(LN(2)/25)*Calculateur!CG179*Calculateur!CI179*VLOOKUP('Données projet'!$B$12,Paramètres!$A$1:$I$89,3,0)*0.475*44/12</f>
        <v>#N/A</v>
      </c>
      <c r="CM179" s="21" t="e">
        <f>EXP(-LN(2)/2)*CM178+(1-EXP(-LN(2)/2))/(LN(2)/2)*CG179*CJ179*VLOOKUP('Données projet'!$B$12,Paramètres!$A$1:$I$89,3,0)*0.475*44/12</f>
        <v>#N/A</v>
      </c>
      <c r="CN179" s="22" t="e">
        <f t="shared" si="172"/>
        <v>#N/A</v>
      </c>
      <c r="CO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0</v>
      </c>
      <c r="CU179" s="17" t="e">
        <f>CT179*VLOOKUP('Données projet'!$B$13,Paramètres!$A$1:$I$89,3,0)*VLOOKUP('Données projet'!$B$13,Paramètres!$A$1:$I$89,5,0)</f>
        <v>#N/A</v>
      </c>
      <c r="CV179" s="13" t="e">
        <f t="shared" si="173"/>
        <v>#N/A</v>
      </c>
      <c r="CW179" s="20" t="e">
        <f t="shared" si="174"/>
        <v>#N/A</v>
      </c>
      <c r="CX179" s="59" t="e">
        <f t="shared" si="122"/>
        <v>#N/A</v>
      </c>
      <c r="CY179" s="59" t="e">
        <f ca="1">AVERAGE(OFFSET($CX$3,0,0,'Données projet'!$E$13+1,1))-AVERAGE(OFFSET($H$3,0,0,'Données projet'!$E$13+1,1))</f>
        <v>#N/A</v>
      </c>
      <c r="CZ179" s="59" t="e">
        <f t="shared" si="150"/>
        <v>#N/A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 t="e">
        <f>EXP(-LN(2)/35)*DF178+(1-EXP(-LN(2)/35))/(LN(2)/35)*DB179*DC179*VLOOKUP('Données projet'!$B$13,Paramètres!$A$1:$I$89,3,0)*0.475*44/12</f>
        <v>#N/A</v>
      </c>
      <c r="DG179" s="21" t="e">
        <f>EXP(-LN(2)/25)*DG178+(1-EXP(-LN(2)/25))/(LN(2)/25)*Calculateur!DB179*Calculateur!DD179*VLOOKUP('Données projet'!$B$13,Paramètres!$A$1:$I$89,3,0)*0.475*44/12</f>
        <v>#N/A</v>
      </c>
      <c r="DH179" s="21" t="e">
        <f>EXP(-LN(2)/2)*DH178+(1-EXP(-LN(2)/2))/(LN(2)/2)*DB179*DE179*VLOOKUP('Données projet'!$B$13,Paramètres!$A$1:$I$89,3,0)*0.475*44/12</f>
        <v>#N/A</v>
      </c>
      <c r="DI179" s="22" t="e">
        <f t="shared" si="175"/>
        <v>#N/A</v>
      </c>
      <c r="DJ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0</v>
      </c>
      <c r="DP179" s="17" t="e">
        <f>DO179*VLOOKUP('Données projet'!$B$14,Paramètres!$A$1:$I$89,3,0)*VLOOKUP('Données projet'!$B$14,Paramètres!$A$1:$I$89,5,0)</f>
        <v>#N/A</v>
      </c>
      <c r="DQ179" s="13" t="e">
        <f t="shared" si="176"/>
        <v>#N/A</v>
      </c>
      <c r="DR179" s="20" t="e">
        <f t="shared" si="177"/>
        <v>#N/A</v>
      </c>
      <c r="DS179" s="59" t="e">
        <f t="shared" si="125"/>
        <v>#N/A</v>
      </c>
      <c r="DT179" s="59" t="e">
        <f ca="1">AVERAGE(OFFSET($DS$3,0,0,'Données projet'!$E$14+1,1))-AVERAGE(OFFSET($H$3,0,0,'Données projet'!$E$14+1,1))</f>
        <v>#N/A</v>
      </c>
      <c r="DU179" s="59" t="e">
        <f t="shared" si="152"/>
        <v>#N/A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 t="e">
        <f>EXP(-LN(2)/35)*EA178+(1-EXP(-LN(2)/35))/(LN(2)/35)*DW179*DX179*VLOOKUP('Données projet'!$B$14,Paramètres!$A$1:$I$89,3,0)*0.475*44/12</f>
        <v>#N/A</v>
      </c>
      <c r="EB179" s="21" t="e">
        <f>EXP(-LN(2)/25)*EB178+(1-EXP(-LN(2)/25))/(LN(2)/25)*Calculateur!DW179*Calculateur!DY179*VLOOKUP('Données projet'!$B$14,Paramètres!$A$1:$I$89,3,0)*0.475*44/12</f>
        <v>#N/A</v>
      </c>
      <c r="EC179" s="21" t="e">
        <f>EXP(-LN(2)/2)*EC178+(1-EXP(-LN(2)/2))/(LN(2)/2)*DW179*DZ179*VLOOKUP('Données projet'!$B$14,Paramètres!$A$1:$I$89,3,0)*0.475*44/12</f>
        <v>#N/A</v>
      </c>
      <c r="ED179" s="22" t="e">
        <f t="shared" si="178"/>
        <v>#N/A</v>
      </c>
      <c r="EE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0</v>
      </c>
      <c r="EK179" s="17" t="e">
        <f>EJ179*VLOOKUP('Données projet'!$B$15,Paramètres!$A$1:$I$89,3,0)*VLOOKUP('Données projet'!$B$15,Paramètres!$A$1:$I$89,5,0)</f>
        <v>#N/A</v>
      </c>
      <c r="EL179" s="13" t="e">
        <f t="shared" si="179"/>
        <v>#N/A</v>
      </c>
      <c r="EM179" s="20" t="e">
        <f t="shared" si="180"/>
        <v>#N/A</v>
      </c>
      <c r="EN179" s="59" t="e">
        <f t="shared" si="128"/>
        <v>#N/A</v>
      </c>
      <c r="EO179" s="59" t="e">
        <f ca="1">AVERAGE(OFFSET($EN$3,0,0,'Données projet'!$E$15+1,1))-AVERAGE(OFFSET($H$3,0,0,'Données projet'!$E$15+1,1))</f>
        <v>#N/A</v>
      </c>
      <c r="EP179" s="59" t="e">
        <f t="shared" si="154"/>
        <v>#N/A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 t="e">
        <f>EXP(-LN(2)/35)*EV178+(1-EXP(-LN(2)/35))/(LN(2)/35)*ER179*ES179*VLOOKUP('Données projet'!$B$15,Paramètres!$A$1:$I$89,3,0)*0.475*44/12</f>
        <v>#N/A</v>
      </c>
      <c r="EW179" s="21" t="e">
        <f>EXP(-LN(2)/25)*EW178+(1-EXP(-LN(2)/25))/(LN(2)/25)*Calculateur!ER179*Calculateur!ET179*VLOOKUP('Données projet'!$B$15,Paramètres!$A$1:$I$89,3,0)*0.475*44/12</f>
        <v>#N/A</v>
      </c>
      <c r="EX179" s="21" t="e">
        <f>EXP(-LN(2)/2)*EX178+(1-EXP(-LN(2)/2))/(LN(2)/2)*ER179*EU179*VLOOKUP('Données projet'!$B$15,Paramètres!$A$1:$I$89,3,0)*0.475*44/12</f>
        <v>#N/A</v>
      </c>
      <c r="EY179" s="22" t="e">
        <f t="shared" si="181"/>
        <v>#N/A</v>
      </c>
      <c r="EZ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9" t="e">
        <f t="shared" si="131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45">
      <c r="A180" s="10">
        <f t="shared" si="161"/>
        <v>177</v>
      </c>
      <c r="B180" s="73">
        <f>'Scénario référence'!$B$16*5+'Scénario référence'!$B$17*0+'Scénario référence'!$B$18*5</f>
        <v>0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157.38839999999985</v>
      </c>
      <c r="D180" s="11">
        <f t="shared" si="140"/>
        <v>40.252898725183421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">
        <f>IF(OR('Scénario référence'!$F$8&gt;0,'Scénario référence'!$F$9&gt;0),('Scénario référence'!$F$8+'Scénario référence'!$F$9)*10,0)</f>
        <v>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1525.6521305101869</v>
      </c>
      <c r="H180" s="67">
        <f t="shared" si="110"/>
        <v>600.89192861302752</v>
      </c>
      <c r="I180" s="7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1.7053025658242404E-13</v>
      </c>
      <c r="O180" s="13">
        <f>N180*VLOOKUP('Données projet'!$B$9,Paramètres!$A$1:$I$89,3,0)*VLOOKUP('Données projet'!$B$9,Paramètres!$A$1:$I$89,5,0)</f>
        <v>9.5326413429575044E-14</v>
      </c>
      <c r="P180" s="13">
        <f t="shared" si="141"/>
        <v>1.4400742856080346E-12</v>
      </c>
      <c r="Q180" s="20">
        <f t="shared" si="162"/>
        <v>2.6741562174905032E-12</v>
      </c>
      <c r="R180" s="59">
        <f t="shared" si="109"/>
        <v>293.33333333333599</v>
      </c>
      <c r="S180" s="59">
        <f ca="1">AVERAGE(OFFSET($R$3,0,0,'Données projet'!$E$9+1,1))-AVERAGE(OFFSET($H$3,0,0,'Données projet'!$E$9+1,1))</f>
        <v>280.69347314340195</v>
      </c>
      <c r="T180" s="59">
        <f t="shared" si="142"/>
        <v>152.40533828556482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55.188573721928904</v>
      </c>
      <c r="AA180" s="21">
        <f>EXP(-LN(2)/25)*AA179+(1-EXP(-LN(2)/25))/(LN(2)/25)*Calculateur!V180*Calculateur!X180*VLOOKUP('Données projet'!$B$9,Paramètres!$A$1:$I$89,3,0)*0.475*44/12</f>
        <v>11.244384013036367</v>
      </c>
      <c r="AB180" s="21">
        <f>EXP(-LN(2)/2)*AB179+(1-EXP(-LN(2)/2))/(LN(2)/2)*V180*Y180*VLOOKUP('Données projet'!$B$9,Paramètres!$A$1:$I$89,3,0)*0.475*44/12</f>
        <v>1.6367014099428837E-7</v>
      </c>
      <c r="AC180" s="22">
        <f t="shared" si="163"/>
        <v>66.432957898635408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0</v>
      </c>
      <c r="AJ180" s="13">
        <f>AI180*VLOOKUP('Données projet'!$B$10,Paramètres!$A$1:$I$89,3,0)*VLOOKUP('Données projet'!$B$10,Paramètres!$A$1:$I$89,5,0)</f>
        <v>0</v>
      </c>
      <c r="AK180" s="13" t="e">
        <f t="shared" si="164"/>
        <v>#NUM!</v>
      </c>
      <c r="AL180" s="20" t="e">
        <f t="shared" si="165"/>
        <v>#NUM!</v>
      </c>
      <c r="AM180" s="59" t="e">
        <f t="shared" si="113"/>
        <v>#NUM!</v>
      </c>
      <c r="AN180" s="59">
        <f ca="1">AVERAGE(OFFSET($AM$3,0,0,'Données projet'!$E$10+1,1))-AVERAGE(OFFSET($H$3,0,0,'Données projet'!$E$10+1,1))</f>
        <v>179.4725256147085</v>
      </c>
      <c r="AO180" s="59">
        <f t="shared" si="144"/>
        <v>282.16750121151176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14.230682013994414</v>
      </c>
      <c r="AV180" s="21">
        <f>EXP(-LN(2)/25)*AV179+(1-EXP(-LN(2)/25))/(LN(2)/25)*Calculateur!AQ180*Calculateur!AS180*VLOOKUP('Données projet'!$B$10,Paramètres!$A$1:$I$89,3,0)*0.475*44/12</f>
        <v>1.9061587931350201</v>
      </c>
      <c r="AW180" s="21">
        <f>EXP(-LN(2)/2)*AW179+(1-EXP(-LN(2)/2))/(LN(2)/2)*AQ180*AT180*VLOOKUP('Données projet'!$B$10,Paramètres!$A$1:$I$89,3,0)*0.475*44/12</f>
        <v>1.0578595549773175E-16</v>
      </c>
      <c r="AX180" s="21">
        <f t="shared" si="166"/>
        <v>16.136840807129435</v>
      </c>
      <c r="AY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6.2527760746888816E-13</v>
      </c>
      <c r="BE180" s="13">
        <f>BD180*VLOOKUP('Données projet'!$B$11,Paramètres!$A$1:$I$89,3,0)*VLOOKUP('Données projet'!$B$11,Paramètres!$A$1:$I$89,5,0)</f>
        <v>5.3648818720830608E-13</v>
      </c>
      <c r="BF180" s="13">
        <f t="shared" si="167"/>
        <v>6.6281362235424649E-12</v>
      </c>
      <c r="BG180" s="20">
        <f t="shared" si="168"/>
        <v>1.2478387515390925E-11</v>
      </c>
      <c r="BH180" s="59">
        <f t="shared" si="116"/>
        <v>293.33333333334582</v>
      </c>
      <c r="BI180" s="59">
        <f ca="1">AVERAGE(OFFSET($BH$3,0,0,'Données projet'!$E$11+1,1))-AVERAGE(OFFSET($H$3,0,0,'Données projet'!$E$11+1,1))</f>
        <v>312.89478437044261</v>
      </c>
      <c r="BJ180" s="59">
        <f t="shared" si="146"/>
        <v>276.16555507854571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>
        <f>EXP(-LN(2)/35)*BP179+(1-EXP(-LN(2)/35))/(LN(2)/35)*BL180*BM180*VLOOKUP('Données projet'!$B$11,Paramètres!$A$1:$I$89,3,0)*0.475*44/12</f>
        <v>58.144375799494462</v>
      </c>
      <c r="BQ180" s="21">
        <f>EXP(-LN(2)/25)*BQ179+(1-EXP(-LN(2)/25))/(LN(2)/25)*Calculateur!BL180*Calculateur!BN180*VLOOKUP('Données projet'!$B$11,Paramètres!$A$1:$I$89,3,0)*0.475*44/12</f>
        <v>10.867694952580527</v>
      </c>
      <c r="BR180" s="21">
        <f>EXP(-LN(2)/2)*BR179+(1-EXP(-LN(2)/2))/(LN(2)/2)*BL180*BO180*VLOOKUP('Données projet'!$B$11,Paramètres!$A$1:$I$89,3,0)*0.475*44/12</f>
        <v>5.2468043526789344E-5</v>
      </c>
      <c r="BS180" s="22">
        <f t="shared" si="169"/>
        <v>69.012123220118511</v>
      </c>
      <c r="BT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0</v>
      </c>
      <c r="BZ180" s="13" t="e">
        <f>BY180*VLOOKUP('Données projet'!$B$12,Paramètres!$A$1:$I$89,3,0)*VLOOKUP('Données projet'!$B$12,Paramètres!$A$1:$I$89,5,0)</f>
        <v>#N/A</v>
      </c>
      <c r="CA180" s="13" t="e">
        <f t="shared" si="170"/>
        <v>#N/A</v>
      </c>
      <c r="CB180" s="20" t="e">
        <f t="shared" si="171"/>
        <v>#N/A</v>
      </c>
      <c r="CC180" s="59" t="e">
        <f t="shared" si="119"/>
        <v>#N/A</v>
      </c>
      <c r="CD180" s="59" t="e">
        <f ca="1">AVERAGE(OFFSET($CC$3,0,0,'Données projet'!$E$12+1,1))-AVERAGE(OFFSET($H$3,0,0,'Données projet'!$E$12+1,1))</f>
        <v>#N/A</v>
      </c>
      <c r="CE180" s="59" t="e">
        <f t="shared" si="148"/>
        <v>#N/A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 t="e">
        <f>EXP(-LN(2)/35)*CK179+(1-EXP(-LN(2)/35))/(LN(2)/35)*CG180*CH180*VLOOKUP('Données projet'!$B$12,Paramètres!$A$1:$I$89,3,0)*0.475*44/12</f>
        <v>#N/A</v>
      </c>
      <c r="CL180" s="21" t="e">
        <f>EXP(-LN(2)/25)*CL179+(1-EXP(-LN(2)/25))/(LN(2)/25)*Calculateur!CG180*Calculateur!CI180*VLOOKUP('Données projet'!$B$12,Paramètres!$A$1:$I$89,3,0)*0.475*44/12</f>
        <v>#N/A</v>
      </c>
      <c r="CM180" s="21" t="e">
        <f>EXP(-LN(2)/2)*CM179+(1-EXP(-LN(2)/2))/(LN(2)/2)*CG180*CJ180*VLOOKUP('Données projet'!$B$12,Paramètres!$A$1:$I$89,3,0)*0.475*44/12</f>
        <v>#N/A</v>
      </c>
      <c r="CN180" s="22" t="e">
        <f t="shared" si="172"/>
        <v>#N/A</v>
      </c>
      <c r="CO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0</v>
      </c>
      <c r="CU180" s="17" t="e">
        <f>CT180*VLOOKUP('Données projet'!$B$13,Paramètres!$A$1:$I$89,3,0)*VLOOKUP('Données projet'!$B$13,Paramètres!$A$1:$I$89,5,0)</f>
        <v>#N/A</v>
      </c>
      <c r="CV180" s="13" t="e">
        <f t="shared" si="173"/>
        <v>#N/A</v>
      </c>
      <c r="CW180" s="20" t="e">
        <f t="shared" si="174"/>
        <v>#N/A</v>
      </c>
      <c r="CX180" s="59" t="e">
        <f t="shared" si="122"/>
        <v>#N/A</v>
      </c>
      <c r="CY180" s="59" t="e">
        <f ca="1">AVERAGE(OFFSET($CX$3,0,0,'Données projet'!$E$13+1,1))-AVERAGE(OFFSET($H$3,0,0,'Données projet'!$E$13+1,1))</f>
        <v>#N/A</v>
      </c>
      <c r="CZ180" s="59" t="e">
        <f t="shared" si="150"/>
        <v>#N/A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 t="e">
        <f>EXP(-LN(2)/35)*DF179+(1-EXP(-LN(2)/35))/(LN(2)/35)*DB180*DC180*VLOOKUP('Données projet'!$B$13,Paramètres!$A$1:$I$89,3,0)*0.475*44/12</f>
        <v>#N/A</v>
      </c>
      <c r="DG180" s="21" t="e">
        <f>EXP(-LN(2)/25)*DG179+(1-EXP(-LN(2)/25))/(LN(2)/25)*Calculateur!DB180*Calculateur!DD180*VLOOKUP('Données projet'!$B$13,Paramètres!$A$1:$I$89,3,0)*0.475*44/12</f>
        <v>#N/A</v>
      </c>
      <c r="DH180" s="21" t="e">
        <f>EXP(-LN(2)/2)*DH179+(1-EXP(-LN(2)/2))/(LN(2)/2)*DB180*DE180*VLOOKUP('Données projet'!$B$13,Paramètres!$A$1:$I$89,3,0)*0.475*44/12</f>
        <v>#N/A</v>
      </c>
      <c r="DI180" s="22" t="e">
        <f t="shared" si="175"/>
        <v>#N/A</v>
      </c>
      <c r="DJ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0</v>
      </c>
      <c r="DP180" s="17" t="e">
        <f>DO180*VLOOKUP('Données projet'!$B$14,Paramètres!$A$1:$I$89,3,0)*VLOOKUP('Données projet'!$B$14,Paramètres!$A$1:$I$89,5,0)</f>
        <v>#N/A</v>
      </c>
      <c r="DQ180" s="13" t="e">
        <f t="shared" si="176"/>
        <v>#N/A</v>
      </c>
      <c r="DR180" s="20" t="e">
        <f t="shared" si="177"/>
        <v>#N/A</v>
      </c>
      <c r="DS180" s="59" t="e">
        <f t="shared" si="125"/>
        <v>#N/A</v>
      </c>
      <c r="DT180" s="59" t="e">
        <f ca="1">AVERAGE(OFFSET($DS$3,0,0,'Données projet'!$E$14+1,1))-AVERAGE(OFFSET($H$3,0,0,'Données projet'!$E$14+1,1))</f>
        <v>#N/A</v>
      </c>
      <c r="DU180" s="59" t="e">
        <f t="shared" si="152"/>
        <v>#N/A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 t="e">
        <f>EXP(-LN(2)/35)*EA179+(1-EXP(-LN(2)/35))/(LN(2)/35)*DW180*DX180*VLOOKUP('Données projet'!$B$14,Paramètres!$A$1:$I$89,3,0)*0.475*44/12</f>
        <v>#N/A</v>
      </c>
      <c r="EB180" s="21" t="e">
        <f>EXP(-LN(2)/25)*EB179+(1-EXP(-LN(2)/25))/(LN(2)/25)*Calculateur!DW180*Calculateur!DY180*VLOOKUP('Données projet'!$B$14,Paramètres!$A$1:$I$89,3,0)*0.475*44/12</f>
        <v>#N/A</v>
      </c>
      <c r="EC180" s="21" t="e">
        <f>EXP(-LN(2)/2)*EC179+(1-EXP(-LN(2)/2))/(LN(2)/2)*DW180*DZ180*VLOOKUP('Données projet'!$B$14,Paramètres!$A$1:$I$89,3,0)*0.475*44/12</f>
        <v>#N/A</v>
      </c>
      <c r="ED180" s="22" t="e">
        <f t="shared" si="178"/>
        <v>#N/A</v>
      </c>
      <c r="EE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0</v>
      </c>
      <c r="EK180" s="17" t="e">
        <f>EJ180*VLOOKUP('Données projet'!$B$15,Paramètres!$A$1:$I$89,3,0)*VLOOKUP('Données projet'!$B$15,Paramètres!$A$1:$I$89,5,0)</f>
        <v>#N/A</v>
      </c>
      <c r="EL180" s="13" t="e">
        <f t="shared" si="179"/>
        <v>#N/A</v>
      </c>
      <c r="EM180" s="20" t="e">
        <f t="shared" si="180"/>
        <v>#N/A</v>
      </c>
      <c r="EN180" s="59" t="e">
        <f t="shared" si="128"/>
        <v>#N/A</v>
      </c>
      <c r="EO180" s="59" t="e">
        <f ca="1">AVERAGE(OFFSET($EN$3,0,0,'Données projet'!$E$15+1,1))-AVERAGE(OFFSET($H$3,0,0,'Données projet'!$E$15+1,1))</f>
        <v>#N/A</v>
      </c>
      <c r="EP180" s="59" t="e">
        <f t="shared" si="154"/>
        <v>#N/A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 t="e">
        <f>EXP(-LN(2)/35)*EV179+(1-EXP(-LN(2)/35))/(LN(2)/35)*ER180*ES180*VLOOKUP('Données projet'!$B$15,Paramètres!$A$1:$I$89,3,0)*0.475*44/12</f>
        <v>#N/A</v>
      </c>
      <c r="EW180" s="21" t="e">
        <f>EXP(-LN(2)/25)*EW179+(1-EXP(-LN(2)/25))/(LN(2)/25)*Calculateur!ER180*Calculateur!ET180*VLOOKUP('Données projet'!$B$15,Paramètres!$A$1:$I$89,3,0)*0.475*44/12</f>
        <v>#N/A</v>
      </c>
      <c r="EX180" s="21" t="e">
        <f>EXP(-LN(2)/2)*EX179+(1-EXP(-LN(2)/2))/(LN(2)/2)*ER180*EU180*VLOOKUP('Données projet'!$B$15,Paramètres!$A$1:$I$89,3,0)*0.475*44/12</f>
        <v>#N/A</v>
      </c>
      <c r="EY180" s="22" t="e">
        <f t="shared" si="181"/>
        <v>#N/A</v>
      </c>
      <c r="EZ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9" t="e">
        <f t="shared" si="131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45">
      <c r="A181" s="10">
        <f t="shared" si="161"/>
        <v>178</v>
      </c>
      <c r="B181" s="73">
        <f>'Scénario référence'!$B$16*5+'Scénario référence'!$B$17*0+'Scénario référence'!$B$18*5</f>
        <v>0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158.27759999999984</v>
      </c>
      <c r="D181" s="11">
        <f t="shared" si="140"/>
        <v>40.45377889899725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">
        <f>IF(OR('Scénario référence'!$F$8&gt;0,'Scénario référence'!$F$9&gt;0),('Scénario référence'!$F$8+'Scénario référence'!$F$9)*10,0)</f>
        <v>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1534.0667844834863</v>
      </c>
      <c r="H181" s="67">
        <f t="shared" si="110"/>
        <v>602.79048491575327</v>
      </c>
      <c r="I181" s="7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1.7053025658242404E-13</v>
      </c>
      <c r="O181" s="13">
        <f>N181*VLOOKUP('Données projet'!$B$9,Paramètres!$A$1:$I$89,3,0)*VLOOKUP('Données projet'!$B$9,Paramètres!$A$1:$I$89,5,0)</f>
        <v>9.5326413429575044E-14</v>
      </c>
      <c r="P181" s="13">
        <f t="shared" si="141"/>
        <v>1.4400742856080346E-12</v>
      </c>
      <c r="Q181" s="20">
        <f t="shared" si="162"/>
        <v>2.6741562174905032E-12</v>
      </c>
      <c r="R181" s="59">
        <f t="shared" si="109"/>
        <v>293.33333333333599</v>
      </c>
      <c r="S181" s="59">
        <f ca="1">AVERAGE(OFFSET($R$3,0,0,'Données projet'!$E$9+1,1))-AVERAGE(OFFSET($H$3,0,0,'Données projet'!$E$9+1,1))</f>
        <v>280.69347314340195</v>
      </c>
      <c r="T181" s="59">
        <f t="shared" si="142"/>
        <v>152.40533828556482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54.106359452948034</v>
      </c>
      <c r="AA181" s="21">
        <f>EXP(-LN(2)/25)*AA180+(1-EXP(-LN(2)/25))/(LN(2)/25)*Calculateur!V181*Calculateur!X181*VLOOKUP('Données projet'!$B$9,Paramètres!$A$1:$I$89,3,0)*0.475*44/12</f>
        <v>10.936905740883432</v>
      </c>
      <c r="AB181" s="21">
        <f>EXP(-LN(2)/2)*AB180+(1-EXP(-LN(2)/2))/(LN(2)/2)*V181*Y181*VLOOKUP('Données projet'!$B$9,Paramètres!$A$1:$I$89,3,0)*0.475*44/12</f>
        <v>1.1573226657481966E-7</v>
      </c>
      <c r="AC181" s="22">
        <f t="shared" si="163"/>
        <v>65.043265309563736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0</v>
      </c>
      <c r="AJ181" s="13">
        <f>AI181*VLOOKUP('Données projet'!$B$10,Paramètres!$A$1:$I$89,3,0)*VLOOKUP('Données projet'!$B$10,Paramètres!$A$1:$I$89,5,0)</f>
        <v>0</v>
      </c>
      <c r="AK181" s="13" t="e">
        <f t="shared" si="164"/>
        <v>#NUM!</v>
      </c>
      <c r="AL181" s="20" t="e">
        <f t="shared" si="165"/>
        <v>#NUM!</v>
      </c>
      <c r="AM181" s="59" t="e">
        <f t="shared" si="113"/>
        <v>#NUM!</v>
      </c>
      <c r="AN181" s="59">
        <f ca="1">AVERAGE(OFFSET($AM$3,0,0,'Données projet'!$E$10+1,1))-AVERAGE(OFFSET($H$3,0,0,'Données projet'!$E$10+1,1))</f>
        <v>179.4725256147085</v>
      </c>
      <c r="AO181" s="59">
        <f t="shared" si="144"/>
        <v>282.16750121151176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13.951627019558947</v>
      </c>
      <c r="AV181" s="21">
        <f>EXP(-LN(2)/25)*AV180+(1-EXP(-LN(2)/25))/(LN(2)/25)*Calculateur!AQ181*Calculateur!AS181*VLOOKUP('Données projet'!$B$10,Paramètres!$A$1:$I$89,3,0)*0.475*44/12</f>
        <v>1.8540347806962088</v>
      </c>
      <c r="AW181" s="21">
        <f>EXP(-LN(2)/2)*AW180+(1-EXP(-LN(2)/2))/(LN(2)/2)*AQ181*AT181*VLOOKUP('Données projet'!$B$10,Paramètres!$A$1:$I$89,3,0)*0.475*44/12</f>
        <v>7.4801966486744461E-17</v>
      </c>
      <c r="AX181" s="21">
        <f t="shared" si="166"/>
        <v>15.805661800255155</v>
      </c>
      <c r="AY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6.2527760746888816E-13</v>
      </c>
      <c r="BE181" s="13">
        <f>BD181*VLOOKUP('Données projet'!$B$11,Paramètres!$A$1:$I$89,3,0)*VLOOKUP('Données projet'!$B$11,Paramètres!$A$1:$I$89,5,0)</f>
        <v>5.3648818720830608E-13</v>
      </c>
      <c r="BF181" s="13">
        <f t="shared" si="167"/>
        <v>6.6281362235424649E-12</v>
      </c>
      <c r="BG181" s="20">
        <f t="shared" si="168"/>
        <v>1.2478387515390925E-11</v>
      </c>
      <c r="BH181" s="59">
        <f t="shared" si="116"/>
        <v>293.33333333334582</v>
      </c>
      <c r="BI181" s="59">
        <f ca="1">AVERAGE(OFFSET($BH$3,0,0,'Données projet'!$E$11+1,1))-AVERAGE(OFFSET($H$3,0,0,'Données projet'!$E$11+1,1))</f>
        <v>312.89478437044261</v>
      </c>
      <c r="BJ181" s="59">
        <f t="shared" si="146"/>
        <v>276.16555507854571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>
        <f>EXP(-LN(2)/35)*BP180+(1-EXP(-LN(2)/35))/(LN(2)/35)*BL181*BM181*VLOOKUP('Données projet'!$B$11,Paramètres!$A$1:$I$89,3,0)*0.475*44/12</f>
        <v>57.004200054633777</v>
      </c>
      <c r="BQ181" s="21">
        <f>EXP(-LN(2)/25)*BQ180+(1-EXP(-LN(2)/25))/(LN(2)/25)*Calculateur!BL181*Calculateur!BN181*VLOOKUP('Données projet'!$B$11,Paramètres!$A$1:$I$89,3,0)*0.475*44/12</f>
        <v>10.570517262594974</v>
      </c>
      <c r="BR181" s="21">
        <f>EXP(-LN(2)/2)*BR180+(1-EXP(-LN(2)/2))/(LN(2)/2)*BL181*BO181*VLOOKUP('Données projet'!$B$11,Paramètres!$A$1:$I$89,3,0)*0.475*44/12</f>
        <v>3.7100509373383683E-5</v>
      </c>
      <c r="BS181" s="22">
        <f t="shared" si="169"/>
        <v>67.57475441773812</v>
      </c>
      <c r="BT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0</v>
      </c>
      <c r="BZ181" s="13" t="e">
        <f>BY181*VLOOKUP('Données projet'!$B$12,Paramètres!$A$1:$I$89,3,0)*VLOOKUP('Données projet'!$B$12,Paramètres!$A$1:$I$89,5,0)</f>
        <v>#N/A</v>
      </c>
      <c r="CA181" s="13" t="e">
        <f t="shared" si="170"/>
        <v>#N/A</v>
      </c>
      <c r="CB181" s="20" t="e">
        <f t="shared" si="171"/>
        <v>#N/A</v>
      </c>
      <c r="CC181" s="59" t="e">
        <f t="shared" si="119"/>
        <v>#N/A</v>
      </c>
      <c r="CD181" s="59" t="e">
        <f ca="1">AVERAGE(OFFSET($CC$3,0,0,'Données projet'!$E$12+1,1))-AVERAGE(OFFSET($H$3,0,0,'Données projet'!$E$12+1,1))</f>
        <v>#N/A</v>
      </c>
      <c r="CE181" s="59" t="e">
        <f t="shared" si="148"/>
        <v>#N/A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 t="e">
        <f>EXP(-LN(2)/35)*CK180+(1-EXP(-LN(2)/35))/(LN(2)/35)*CG181*CH181*VLOOKUP('Données projet'!$B$12,Paramètres!$A$1:$I$89,3,0)*0.475*44/12</f>
        <v>#N/A</v>
      </c>
      <c r="CL181" s="21" t="e">
        <f>EXP(-LN(2)/25)*CL180+(1-EXP(-LN(2)/25))/(LN(2)/25)*Calculateur!CG181*Calculateur!CI181*VLOOKUP('Données projet'!$B$12,Paramètres!$A$1:$I$89,3,0)*0.475*44/12</f>
        <v>#N/A</v>
      </c>
      <c r="CM181" s="21" t="e">
        <f>EXP(-LN(2)/2)*CM180+(1-EXP(-LN(2)/2))/(LN(2)/2)*CG181*CJ181*VLOOKUP('Données projet'!$B$12,Paramètres!$A$1:$I$89,3,0)*0.475*44/12</f>
        <v>#N/A</v>
      </c>
      <c r="CN181" s="22" t="e">
        <f t="shared" si="172"/>
        <v>#N/A</v>
      </c>
      <c r="CO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0</v>
      </c>
      <c r="CU181" s="17" t="e">
        <f>CT181*VLOOKUP('Données projet'!$B$13,Paramètres!$A$1:$I$89,3,0)*VLOOKUP('Données projet'!$B$13,Paramètres!$A$1:$I$89,5,0)</f>
        <v>#N/A</v>
      </c>
      <c r="CV181" s="13" t="e">
        <f t="shared" si="173"/>
        <v>#N/A</v>
      </c>
      <c r="CW181" s="20" t="e">
        <f t="shared" si="174"/>
        <v>#N/A</v>
      </c>
      <c r="CX181" s="59" t="e">
        <f t="shared" si="122"/>
        <v>#N/A</v>
      </c>
      <c r="CY181" s="59" t="e">
        <f ca="1">AVERAGE(OFFSET($CX$3,0,0,'Données projet'!$E$13+1,1))-AVERAGE(OFFSET($H$3,0,0,'Données projet'!$E$13+1,1))</f>
        <v>#N/A</v>
      </c>
      <c r="CZ181" s="59" t="e">
        <f t="shared" si="150"/>
        <v>#N/A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 t="e">
        <f>EXP(-LN(2)/35)*DF180+(1-EXP(-LN(2)/35))/(LN(2)/35)*DB181*DC181*VLOOKUP('Données projet'!$B$13,Paramètres!$A$1:$I$89,3,0)*0.475*44/12</f>
        <v>#N/A</v>
      </c>
      <c r="DG181" s="21" t="e">
        <f>EXP(-LN(2)/25)*DG180+(1-EXP(-LN(2)/25))/(LN(2)/25)*Calculateur!DB181*Calculateur!DD181*VLOOKUP('Données projet'!$B$13,Paramètres!$A$1:$I$89,3,0)*0.475*44/12</f>
        <v>#N/A</v>
      </c>
      <c r="DH181" s="21" t="e">
        <f>EXP(-LN(2)/2)*DH180+(1-EXP(-LN(2)/2))/(LN(2)/2)*DB181*DE181*VLOOKUP('Données projet'!$B$13,Paramètres!$A$1:$I$89,3,0)*0.475*44/12</f>
        <v>#N/A</v>
      </c>
      <c r="DI181" s="22" t="e">
        <f t="shared" si="175"/>
        <v>#N/A</v>
      </c>
      <c r="DJ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0</v>
      </c>
      <c r="DP181" s="17" t="e">
        <f>DO181*VLOOKUP('Données projet'!$B$14,Paramètres!$A$1:$I$89,3,0)*VLOOKUP('Données projet'!$B$14,Paramètres!$A$1:$I$89,5,0)</f>
        <v>#N/A</v>
      </c>
      <c r="DQ181" s="13" t="e">
        <f t="shared" si="176"/>
        <v>#N/A</v>
      </c>
      <c r="DR181" s="20" t="e">
        <f t="shared" si="177"/>
        <v>#N/A</v>
      </c>
      <c r="DS181" s="59" t="e">
        <f t="shared" si="125"/>
        <v>#N/A</v>
      </c>
      <c r="DT181" s="59" t="e">
        <f ca="1">AVERAGE(OFFSET($DS$3,0,0,'Données projet'!$E$14+1,1))-AVERAGE(OFFSET($H$3,0,0,'Données projet'!$E$14+1,1))</f>
        <v>#N/A</v>
      </c>
      <c r="DU181" s="59" t="e">
        <f t="shared" si="152"/>
        <v>#N/A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 t="e">
        <f>EXP(-LN(2)/35)*EA180+(1-EXP(-LN(2)/35))/(LN(2)/35)*DW181*DX181*VLOOKUP('Données projet'!$B$14,Paramètres!$A$1:$I$89,3,0)*0.475*44/12</f>
        <v>#N/A</v>
      </c>
      <c r="EB181" s="21" t="e">
        <f>EXP(-LN(2)/25)*EB180+(1-EXP(-LN(2)/25))/(LN(2)/25)*Calculateur!DW181*Calculateur!DY181*VLOOKUP('Données projet'!$B$14,Paramètres!$A$1:$I$89,3,0)*0.475*44/12</f>
        <v>#N/A</v>
      </c>
      <c r="EC181" s="21" t="e">
        <f>EXP(-LN(2)/2)*EC180+(1-EXP(-LN(2)/2))/(LN(2)/2)*DW181*DZ181*VLOOKUP('Données projet'!$B$14,Paramètres!$A$1:$I$89,3,0)*0.475*44/12</f>
        <v>#N/A</v>
      </c>
      <c r="ED181" s="22" t="e">
        <f t="shared" si="178"/>
        <v>#N/A</v>
      </c>
      <c r="EE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0</v>
      </c>
      <c r="EK181" s="17" t="e">
        <f>EJ181*VLOOKUP('Données projet'!$B$15,Paramètres!$A$1:$I$89,3,0)*VLOOKUP('Données projet'!$B$15,Paramètres!$A$1:$I$89,5,0)</f>
        <v>#N/A</v>
      </c>
      <c r="EL181" s="13" t="e">
        <f t="shared" si="179"/>
        <v>#N/A</v>
      </c>
      <c r="EM181" s="20" t="e">
        <f t="shared" si="180"/>
        <v>#N/A</v>
      </c>
      <c r="EN181" s="59" t="e">
        <f t="shared" si="128"/>
        <v>#N/A</v>
      </c>
      <c r="EO181" s="59" t="e">
        <f ca="1">AVERAGE(OFFSET($EN$3,0,0,'Données projet'!$E$15+1,1))-AVERAGE(OFFSET($H$3,0,0,'Données projet'!$E$15+1,1))</f>
        <v>#N/A</v>
      </c>
      <c r="EP181" s="59" t="e">
        <f t="shared" si="154"/>
        <v>#N/A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 t="e">
        <f>EXP(-LN(2)/35)*EV180+(1-EXP(-LN(2)/35))/(LN(2)/35)*ER181*ES181*VLOOKUP('Données projet'!$B$15,Paramètres!$A$1:$I$89,3,0)*0.475*44/12</f>
        <v>#N/A</v>
      </c>
      <c r="EW181" s="21" t="e">
        <f>EXP(-LN(2)/25)*EW180+(1-EXP(-LN(2)/25))/(LN(2)/25)*Calculateur!ER181*Calculateur!ET181*VLOOKUP('Données projet'!$B$15,Paramètres!$A$1:$I$89,3,0)*0.475*44/12</f>
        <v>#N/A</v>
      </c>
      <c r="EX181" s="21" t="e">
        <f>EXP(-LN(2)/2)*EX180+(1-EXP(-LN(2)/2))/(LN(2)/2)*ER181*EU181*VLOOKUP('Données projet'!$B$15,Paramètres!$A$1:$I$89,3,0)*0.475*44/12</f>
        <v>#N/A</v>
      </c>
      <c r="EY181" s="22" t="e">
        <f t="shared" si="181"/>
        <v>#N/A</v>
      </c>
      <c r="EZ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9" t="e">
        <f t="shared" si="131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45">
      <c r="A182" s="10">
        <f t="shared" si="161"/>
        <v>179</v>
      </c>
      <c r="B182" s="73">
        <f>'Scénario référence'!$B$16*5+'Scénario référence'!$B$17*0+'Scénario référence'!$B$18*5</f>
        <v>0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159.16679999999982</v>
      </c>
      <c r="D182" s="11">
        <f t="shared" si="140"/>
        <v>40.654527752930711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">
        <f>IF(OR('Scénario référence'!$F$8&gt;0,'Scénario référence'!$F$9&gt;0),('Scénario référence'!$F$8+'Scénario référence'!$F$9)*10,0)</f>
        <v>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1542.4804247594639</v>
      </c>
      <c r="H182" s="67">
        <f t="shared" si="110"/>
        <v>604.6888125030207</v>
      </c>
      <c r="I182" s="7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1.7053025658242404E-13</v>
      </c>
      <c r="O182" s="13">
        <f>N182*VLOOKUP('Données projet'!$B$9,Paramètres!$A$1:$I$89,3,0)*VLOOKUP('Données projet'!$B$9,Paramètres!$A$1:$I$89,5,0)</f>
        <v>9.5326413429575044E-14</v>
      </c>
      <c r="P182" s="13">
        <f t="shared" si="141"/>
        <v>1.4400742856080346E-12</v>
      </c>
      <c r="Q182" s="20">
        <f t="shared" si="162"/>
        <v>2.6741562174905032E-12</v>
      </c>
      <c r="R182" s="59">
        <f t="shared" si="109"/>
        <v>293.33333333333599</v>
      </c>
      <c r="S182" s="59">
        <f ca="1">AVERAGE(OFFSET($R$3,0,0,'Données projet'!$E$9+1,1))-AVERAGE(OFFSET($H$3,0,0,'Données projet'!$E$9+1,1))</f>
        <v>280.69347314340195</v>
      </c>
      <c r="T182" s="59">
        <f t="shared" si="142"/>
        <v>152.40533828556482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53.045366745696349</v>
      </c>
      <c r="AA182" s="21">
        <f>EXP(-LN(2)/25)*AA181+(1-EXP(-LN(2)/25))/(LN(2)/25)*Calculateur!V182*Calculateur!X182*VLOOKUP('Données projet'!$B$9,Paramètres!$A$1:$I$89,3,0)*0.475*44/12</f>
        <v>10.637835478252098</v>
      </c>
      <c r="AB182" s="21">
        <f>EXP(-LN(2)/2)*AB181+(1-EXP(-LN(2)/2))/(LN(2)/2)*V182*Y182*VLOOKUP('Données projet'!$B$9,Paramètres!$A$1:$I$89,3,0)*0.475*44/12</f>
        <v>8.1835070497144198E-8</v>
      </c>
      <c r="AC182" s="22">
        <f t="shared" si="163"/>
        <v>63.683202305783517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0</v>
      </c>
      <c r="AJ182" s="13">
        <f>AI182*VLOOKUP('Données projet'!$B$10,Paramètres!$A$1:$I$89,3,0)*VLOOKUP('Données projet'!$B$10,Paramètres!$A$1:$I$89,5,0)</f>
        <v>0</v>
      </c>
      <c r="AK182" s="13" t="e">
        <f t="shared" si="164"/>
        <v>#NUM!</v>
      </c>
      <c r="AL182" s="20" t="e">
        <f t="shared" si="165"/>
        <v>#NUM!</v>
      </c>
      <c r="AM182" s="59" t="e">
        <f t="shared" si="113"/>
        <v>#NUM!</v>
      </c>
      <c r="AN182" s="59">
        <f ca="1">AVERAGE(OFFSET($AM$3,0,0,'Données projet'!$E$10+1,1))-AVERAGE(OFFSET($H$3,0,0,'Données projet'!$E$10+1,1))</f>
        <v>179.4725256147085</v>
      </c>
      <c r="AO182" s="59">
        <f t="shared" si="144"/>
        <v>282.16750121151176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13.678044123357619</v>
      </c>
      <c r="AV182" s="21">
        <f>EXP(-LN(2)/25)*AV181+(1-EXP(-LN(2)/25))/(LN(2)/25)*Calculateur!AQ182*Calculateur!AS182*VLOOKUP('Données projet'!$B$10,Paramètres!$A$1:$I$89,3,0)*0.475*44/12</f>
        <v>1.8033361021186192</v>
      </c>
      <c r="AW182" s="21">
        <f>EXP(-LN(2)/2)*AW181+(1-EXP(-LN(2)/2))/(LN(2)/2)*AQ182*AT182*VLOOKUP('Données projet'!$B$10,Paramètres!$A$1:$I$89,3,0)*0.475*44/12</f>
        <v>5.2892977748865877E-17</v>
      </c>
      <c r="AX182" s="21">
        <f t="shared" si="166"/>
        <v>15.481380225476238</v>
      </c>
      <c r="AY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6.2527760746888816E-13</v>
      </c>
      <c r="BE182" s="13">
        <f>BD182*VLOOKUP('Données projet'!$B$11,Paramètres!$A$1:$I$89,3,0)*VLOOKUP('Données projet'!$B$11,Paramètres!$A$1:$I$89,5,0)</f>
        <v>5.3648818720830608E-13</v>
      </c>
      <c r="BF182" s="13">
        <f t="shared" si="167"/>
        <v>6.6281362235424649E-12</v>
      </c>
      <c r="BG182" s="20">
        <f t="shared" si="168"/>
        <v>1.2478387515390925E-11</v>
      </c>
      <c r="BH182" s="59">
        <f t="shared" si="116"/>
        <v>293.33333333334582</v>
      </c>
      <c r="BI182" s="59">
        <f ca="1">AVERAGE(OFFSET($BH$3,0,0,'Données projet'!$E$11+1,1))-AVERAGE(OFFSET($H$3,0,0,'Données projet'!$E$11+1,1))</f>
        <v>312.89478437044261</v>
      </c>
      <c r="BJ182" s="59">
        <f t="shared" si="146"/>
        <v>276.16555507854571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>
        <f>EXP(-LN(2)/35)*BP181+(1-EXP(-LN(2)/35))/(LN(2)/35)*BL182*BM182*VLOOKUP('Données projet'!$B$11,Paramètres!$A$1:$I$89,3,0)*0.475*44/12</f>
        <v>55.886382460691273</v>
      </c>
      <c r="BQ182" s="21">
        <f>EXP(-LN(2)/25)*BQ181+(1-EXP(-LN(2)/25))/(LN(2)/25)*Calculateur!BL182*Calculateur!BN182*VLOOKUP('Données projet'!$B$11,Paramètres!$A$1:$I$89,3,0)*0.475*44/12</f>
        <v>10.281465912169971</v>
      </c>
      <c r="BR182" s="21">
        <f>EXP(-LN(2)/2)*BR181+(1-EXP(-LN(2)/2))/(LN(2)/2)*BL182*BO182*VLOOKUP('Données projet'!$B$11,Paramètres!$A$1:$I$89,3,0)*0.475*44/12</f>
        <v>2.6234021763394672E-5</v>
      </c>
      <c r="BS182" s="22">
        <f t="shared" si="169"/>
        <v>66.167874606883004</v>
      </c>
      <c r="BT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0</v>
      </c>
      <c r="BZ182" s="13" t="e">
        <f>BY182*VLOOKUP('Données projet'!$B$12,Paramètres!$A$1:$I$89,3,0)*VLOOKUP('Données projet'!$B$12,Paramètres!$A$1:$I$89,5,0)</f>
        <v>#N/A</v>
      </c>
      <c r="CA182" s="13" t="e">
        <f t="shared" si="170"/>
        <v>#N/A</v>
      </c>
      <c r="CB182" s="20" t="e">
        <f t="shared" si="171"/>
        <v>#N/A</v>
      </c>
      <c r="CC182" s="59" t="e">
        <f t="shared" si="119"/>
        <v>#N/A</v>
      </c>
      <c r="CD182" s="59" t="e">
        <f ca="1">AVERAGE(OFFSET($CC$3,0,0,'Données projet'!$E$12+1,1))-AVERAGE(OFFSET($H$3,0,0,'Données projet'!$E$12+1,1))</f>
        <v>#N/A</v>
      </c>
      <c r="CE182" s="59" t="e">
        <f t="shared" si="148"/>
        <v>#N/A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 t="e">
        <f>EXP(-LN(2)/35)*CK181+(1-EXP(-LN(2)/35))/(LN(2)/35)*CG182*CH182*VLOOKUP('Données projet'!$B$12,Paramètres!$A$1:$I$89,3,0)*0.475*44/12</f>
        <v>#N/A</v>
      </c>
      <c r="CL182" s="21" t="e">
        <f>EXP(-LN(2)/25)*CL181+(1-EXP(-LN(2)/25))/(LN(2)/25)*Calculateur!CG182*Calculateur!CI182*VLOOKUP('Données projet'!$B$12,Paramètres!$A$1:$I$89,3,0)*0.475*44/12</f>
        <v>#N/A</v>
      </c>
      <c r="CM182" s="21" t="e">
        <f>EXP(-LN(2)/2)*CM181+(1-EXP(-LN(2)/2))/(LN(2)/2)*CG182*CJ182*VLOOKUP('Données projet'!$B$12,Paramètres!$A$1:$I$89,3,0)*0.475*44/12</f>
        <v>#N/A</v>
      </c>
      <c r="CN182" s="22" t="e">
        <f t="shared" si="172"/>
        <v>#N/A</v>
      </c>
      <c r="CO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0</v>
      </c>
      <c r="CU182" s="17" t="e">
        <f>CT182*VLOOKUP('Données projet'!$B$13,Paramètres!$A$1:$I$89,3,0)*VLOOKUP('Données projet'!$B$13,Paramètres!$A$1:$I$89,5,0)</f>
        <v>#N/A</v>
      </c>
      <c r="CV182" s="13" t="e">
        <f t="shared" si="173"/>
        <v>#N/A</v>
      </c>
      <c r="CW182" s="20" t="e">
        <f t="shared" si="174"/>
        <v>#N/A</v>
      </c>
      <c r="CX182" s="59" t="e">
        <f t="shared" si="122"/>
        <v>#N/A</v>
      </c>
      <c r="CY182" s="59" t="e">
        <f ca="1">AVERAGE(OFFSET($CX$3,0,0,'Données projet'!$E$13+1,1))-AVERAGE(OFFSET($H$3,0,0,'Données projet'!$E$13+1,1))</f>
        <v>#N/A</v>
      </c>
      <c r="CZ182" s="59" t="e">
        <f t="shared" si="150"/>
        <v>#N/A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 t="e">
        <f>EXP(-LN(2)/35)*DF181+(1-EXP(-LN(2)/35))/(LN(2)/35)*DB182*DC182*VLOOKUP('Données projet'!$B$13,Paramètres!$A$1:$I$89,3,0)*0.475*44/12</f>
        <v>#N/A</v>
      </c>
      <c r="DG182" s="21" t="e">
        <f>EXP(-LN(2)/25)*DG181+(1-EXP(-LN(2)/25))/(LN(2)/25)*Calculateur!DB182*Calculateur!DD182*VLOOKUP('Données projet'!$B$13,Paramètres!$A$1:$I$89,3,0)*0.475*44/12</f>
        <v>#N/A</v>
      </c>
      <c r="DH182" s="21" t="e">
        <f>EXP(-LN(2)/2)*DH181+(1-EXP(-LN(2)/2))/(LN(2)/2)*DB182*DE182*VLOOKUP('Données projet'!$B$13,Paramètres!$A$1:$I$89,3,0)*0.475*44/12</f>
        <v>#N/A</v>
      </c>
      <c r="DI182" s="22" t="e">
        <f t="shared" si="175"/>
        <v>#N/A</v>
      </c>
      <c r="DJ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0</v>
      </c>
      <c r="DP182" s="17" t="e">
        <f>DO182*VLOOKUP('Données projet'!$B$14,Paramètres!$A$1:$I$89,3,0)*VLOOKUP('Données projet'!$B$14,Paramètres!$A$1:$I$89,5,0)</f>
        <v>#N/A</v>
      </c>
      <c r="DQ182" s="13" t="e">
        <f t="shared" si="176"/>
        <v>#N/A</v>
      </c>
      <c r="DR182" s="20" t="e">
        <f t="shared" si="177"/>
        <v>#N/A</v>
      </c>
      <c r="DS182" s="59" t="e">
        <f t="shared" si="125"/>
        <v>#N/A</v>
      </c>
      <c r="DT182" s="59" t="e">
        <f ca="1">AVERAGE(OFFSET($DS$3,0,0,'Données projet'!$E$14+1,1))-AVERAGE(OFFSET($H$3,0,0,'Données projet'!$E$14+1,1))</f>
        <v>#N/A</v>
      </c>
      <c r="DU182" s="59" t="e">
        <f t="shared" si="152"/>
        <v>#N/A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 t="e">
        <f>EXP(-LN(2)/35)*EA181+(1-EXP(-LN(2)/35))/(LN(2)/35)*DW182*DX182*VLOOKUP('Données projet'!$B$14,Paramètres!$A$1:$I$89,3,0)*0.475*44/12</f>
        <v>#N/A</v>
      </c>
      <c r="EB182" s="21" t="e">
        <f>EXP(-LN(2)/25)*EB181+(1-EXP(-LN(2)/25))/(LN(2)/25)*Calculateur!DW182*Calculateur!DY182*VLOOKUP('Données projet'!$B$14,Paramètres!$A$1:$I$89,3,0)*0.475*44/12</f>
        <v>#N/A</v>
      </c>
      <c r="EC182" s="21" t="e">
        <f>EXP(-LN(2)/2)*EC181+(1-EXP(-LN(2)/2))/(LN(2)/2)*DW182*DZ182*VLOOKUP('Données projet'!$B$14,Paramètres!$A$1:$I$89,3,0)*0.475*44/12</f>
        <v>#N/A</v>
      </c>
      <c r="ED182" s="22" t="e">
        <f t="shared" si="178"/>
        <v>#N/A</v>
      </c>
      <c r="EE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0</v>
      </c>
      <c r="EK182" s="17" t="e">
        <f>EJ182*VLOOKUP('Données projet'!$B$15,Paramètres!$A$1:$I$89,3,0)*VLOOKUP('Données projet'!$B$15,Paramètres!$A$1:$I$89,5,0)</f>
        <v>#N/A</v>
      </c>
      <c r="EL182" s="13" t="e">
        <f t="shared" si="179"/>
        <v>#N/A</v>
      </c>
      <c r="EM182" s="20" t="e">
        <f t="shared" si="180"/>
        <v>#N/A</v>
      </c>
      <c r="EN182" s="59" t="e">
        <f t="shared" si="128"/>
        <v>#N/A</v>
      </c>
      <c r="EO182" s="59" t="e">
        <f ca="1">AVERAGE(OFFSET($EN$3,0,0,'Données projet'!$E$15+1,1))-AVERAGE(OFFSET($H$3,0,0,'Données projet'!$E$15+1,1))</f>
        <v>#N/A</v>
      </c>
      <c r="EP182" s="59" t="e">
        <f t="shared" si="154"/>
        <v>#N/A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 t="e">
        <f>EXP(-LN(2)/35)*EV181+(1-EXP(-LN(2)/35))/(LN(2)/35)*ER182*ES182*VLOOKUP('Données projet'!$B$15,Paramètres!$A$1:$I$89,3,0)*0.475*44/12</f>
        <v>#N/A</v>
      </c>
      <c r="EW182" s="21" t="e">
        <f>EXP(-LN(2)/25)*EW181+(1-EXP(-LN(2)/25))/(LN(2)/25)*Calculateur!ER182*Calculateur!ET182*VLOOKUP('Données projet'!$B$15,Paramètres!$A$1:$I$89,3,0)*0.475*44/12</f>
        <v>#N/A</v>
      </c>
      <c r="EX182" s="21" t="e">
        <f>EXP(-LN(2)/2)*EX181+(1-EXP(-LN(2)/2))/(LN(2)/2)*ER182*EU182*VLOOKUP('Données projet'!$B$15,Paramètres!$A$1:$I$89,3,0)*0.475*44/12</f>
        <v>#N/A</v>
      </c>
      <c r="EY182" s="22" t="e">
        <f t="shared" si="181"/>
        <v>#N/A</v>
      </c>
      <c r="EZ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9" t="e">
        <f t="shared" si="131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45">
      <c r="A183" s="10">
        <f t="shared" si="161"/>
        <v>180</v>
      </c>
      <c r="B183" s="73">
        <f>'Scénario référence'!$B$16*5+'Scénario référence'!$B$17*0+'Scénario référence'!$B$18*5</f>
        <v>0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160.05599999999981</v>
      </c>
      <c r="D183" s="11">
        <f t="shared" si="140"/>
        <v>40.855146105751388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">
        <f>IF(OR('Scénario référence'!$F$8&gt;0,'Scénario référence'!$F$9&gt;0),('Scénario référence'!$F$8+'Scénario référence'!$F$9)*10,0)</f>
        <v>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1550.8930576584305</v>
      </c>
      <c r="H183" s="67">
        <f t="shared" si="110"/>
        <v>606.58691280085009</v>
      </c>
      <c r="I183" s="7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1.7053025658242404E-13</v>
      </c>
      <c r="O183" s="13">
        <f>N183*VLOOKUP('Données projet'!$B$9,Paramètres!$A$1:$I$89,3,0)*VLOOKUP('Données projet'!$B$9,Paramètres!$A$1:$I$89,5,0)</f>
        <v>9.5326413429575044E-14</v>
      </c>
      <c r="P183" s="13">
        <f t="shared" si="141"/>
        <v>1.4400742856080346E-12</v>
      </c>
      <c r="Q183" s="20">
        <f t="shared" si="162"/>
        <v>2.6741562174905032E-12</v>
      </c>
      <c r="R183" s="59">
        <f t="shared" si="109"/>
        <v>293.33333333333599</v>
      </c>
      <c r="S183" s="59">
        <f ca="1">AVERAGE(OFFSET($R$3,0,0,'Données projet'!$E$9+1,1))-AVERAGE(OFFSET($H$3,0,0,'Données projet'!$E$9+1,1))</f>
        <v>280.69347314340195</v>
      </c>
      <c r="T183" s="59">
        <f t="shared" si="142"/>
        <v>152.40533828556482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52.005179458292218</v>
      </c>
      <c r="AA183" s="21">
        <f>EXP(-LN(2)/25)*AA182+(1-EXP(-LN(2)/25))/(LN(2)/25)*Calculateur!V183*Calculateur!X183*VLOOKUP('Données projet'!$B$9,Paramètres!$A$1:$I$89,3,0)*0.475*44/12</f>
        <v>10.34694330767984</v>
      </c>
      <c r="AB183" s="21">
        <f>EXP(-LN(2)/2)*AB182+(1-EXP(-LN(2)/2))/(LN(2)/2)*V183*Y183*VLOOKUP('Données projet'!$B$9,Paramètres!$A$1:$I$89,3,0)*0.475*44/12</f>
        <v>5.7866133287409836E-8</v>
      </c>
      <c r="AC183" s="22">
        <f t="shared" si="163"/>
        <v>62.352122823838187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0</v>
      </c>
      <c r="AJ183" s="13">
        <f>AI183*VLOOKUP('Données projet'!$B$10,Paramètres!$A$1:$I$89,3,0)*VLOOKUP('Données projet'!$B$10,Paramètres!$A$1:$I$89,5,0)</f>
        <v>0</v>
      </c>
      <c r="AK183" s="13" t="e">
        <f t="shared" si="164"/>
        <v>#NUM!</v>
      </c>
      <c r="AL183" s="20" t="e">
        <f t="shared" si="165"/>
        <v>#NUM!</v>
      </c>
      <c r="AM183" s="59" t="e">
        <f t="shared" si="113"/>
        <v>#NUM!</v>
      </c>
      <c r="AN183" s="59">
        <f ca="1">AVERAGE(OFFSET($AM$3,0,0,'Données projet'!$E$10+1,1))-AVERAGE(OFFSET($H$3,0,0,'Données projet'!$E$10+1,1))</f>
        <v>179.4725256147085</v>
      </c>
      <c r="AO183" s="59">
        <f t="shared" si="144"/>
        <v>282.16750121151176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13.409826020881709</v>
      </c>
      <c r="AV183" s="21">
        <f>EXP(-LN(2)/25)*AV182+(1-EXP(-LN(2)/25))/(LN(2)/25)*Calculateur!AQ183*Calculateur!AS183*VLOOKUP('Données projet'!$B$10,Paramètres!$A$1:$I$89,3,0)*0.475*44/12</f>
        <v>1.7540237815728614</v>
      </c>
      <c r="AW183" s="21">
        <f>EXP(-LN(2)/2)*AW182+(1-EXP(-LN(2)/2))/(LN(2)/2)*AQ183*AT183*VLOOKUP('Données projet'!$B$10,Paramètres!$A$1:$I$89,3,0)*0.475*44/12</f>
        <v>3.740098324337223E-17</v>
      </c>
      <c r="AX183" s="21">
        <f t="shared" si="166"/>
        <v>15.163849802454571</v>
      </c>
      <c r="AY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6.2527760746888816E-13</v>
      </c>
      <c r="BE183" s="13">
        <f>BD183*VLOOKUP('Données projet'!$B$11,Paramètres!$A$1:$I$89,3,0)*VLOOKUP('Données projet'!$B$11,Paramètres!$A$1:$I$89,5,0)</f>
        <v>5.3648818720830608E-13</v>
      </c>
      <c r="BF183" s="13">
        <f t="shared" si="167"/>
        <v>6.6281362235424649E-12</v>
      </c>
      <c r="BG183" s="20">
        <f t="shared" si="168"/>
        <v>1.2478387515390925E-11</v>
      </c>
      <c r="BH183" s="59">
        <f t="shared" si="116"/>
        <v>293.33333333334582</v>
      </c>
      <c r="BI183" s="59">
        <f ca="1">AVERAGE(OFFSET($BH$3,0,0,'Données projet'!$E$11+1,1))-AVERAGE(OFFSET($H$3,0,0,'Données projet'!$E$11+1,1))</f>
        <v>312.89478437044261</v>
      </c>
      <c r="BJ183" s="59">
        <f t="shared" si="146"/>
        <v>276.16555507854571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>
        <f>EXP(-LN(2)/35)*BP182+(1-EXP(-LN(2)/35))/(LN(2)/35)*BL183*BM183*VLOOKUP('Données projet'!$B$11,Paramètres!$A$1:$I$89,3,0)*0.475*44/12</f>
        <v>54.790484587964571</v>
      </c>
      <c r="BQ183" s="21">
        <f>EXP(-LN(2)/25)*BQ182+(1-EXP(-LN(2)/25))/(LN(2)/25)*Calculateur!BL183*Calculateur!BN183*VLOOKUP('Données projet'!$B$11,Paramètres!$A$1:$I$89,3,0)*0.475*44/12</f>
        <v>10.000318686122888</v>
      </c>
      <c r="BR183" s="21">
        <f>EXP(-LN(2)/2)*BR182+(1-EXP(-LN(2)/2))/(LN(2)/2)*BL183*BO183*VLOOKUP('Données projet'!$B$11,Paramètres!$A$1:$I$89,3,0)*0.475*44/12</f>
        <v>1.8550254686691842E-5</v>
      </c>
      <c r="BS183" s="22">
        <f t="shared" si="169"/>
        <v>64.790821824342146</v>
      </c>
      <c r="BT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0</v>
      </c>
      <c r="BZ183" s="13" t="e">
        <f>BY183*VLOOKUP('Données projet'!$B$12,Paramètres!$A$1:$I$89,3,0)*VLOOKUP('Données projet'!$B$12,Paramètres!$A$1:$I$89,5,0)</f>
        <v>#N/A</v>
      </c>
      <c r="CA183" s="13" t="e">
        <f t="shared" si="170"/>
        <v>#N/A</v>
      </c>
      <c r="CB183" s="20" t="e">
        <f t="shared" si="171"/>
        <v>#N/A</v>
      </c>
      <c r="CC183" s="59" t="e">
        <f t="shared" si="119"/>
        <v>#N/A</v>
      </c>
      <c r="CD183" s="59" t="e">
        <f ca="1">AVERAGE(OFFSET($CC$3,0,0,'Données projet'!$E$12+1,1))-AVERAGE(OFFSET($H$3,0,0,'Données projet'!$E$12+1,1))</f>
        <v>#N/A</v>
      </c>
      <c r="CE183" s="59" t="e">
        <f t="shared" si="148"/>
        <v>#N/A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 t="e">
        <f>EXP(-LN(2)/35)*CK182+(1-EXP(-LN(2)/35))/(LN(2)/35)*CG183*CH183*VLOOKUP('Données projet'!$B$12,Paramètres!$A$1:$I$89,3,0)*0.475*44/12</f>
        <v>#N/A</v>
      </c>
      <c r="CL183" s="21" t="e">
        <f>EXP(-LN(2)/25)*CL182+(1-EXP(-LN(2)/25))/(LN(2)/25)*Calculateur!CG183*Calculateur!CI183*VLOOKUP('Données projet'!$B$12,Paramètres!$A$1:$I$89,3,0)*0.475*44/12</f>
        <v>#N/A</v>
      </c>
      <c r="CM183" s="21" t="e">
        <f>EXP(-LN(2)/2)*CM182+(1-EXP(-LN(2)/2))/(LN(2)/2)*CG183*CJ183*VLOOKUP('Données projet'!$B$12,Paramètres!$A$1:$I$89,3,0)*0.475*44/12</f>
        <v>#N/A</v>
      </c>
      <c r="CN183" s="22" t="e">
        <f t="shared" si="172"/>
        <v>#N/A</v>
      </c>
      <c r="CO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0</v>
      </c>
      <c r="CU183" s="17" t="e">
        <f>CT183*VLOOKUP('Données projet'!$B$13,Paramètres!$A$1:$I$89,3,0)*VLOOKUP('Données projet'!$B$13,Paramètres!$A$1:$I$89,5,0)</f>
        <v>#N/A</v>
      </c>
      <c r="CV183" s="13" t="e">
        <f t="shared" si="173"/>
        <v>#N/A</v>
      </c>
      <c r="CW183" s="20" t="e">
        <f t="shared" si="174"/>
        <v>#N/A</v>
      </c>
      <c r="CX183" s="59" t="e">
        <f t="shared" si="122"/>
        <v>#N/A</v>
      </c>
      <c r="CY183" s="59" t="e">
        <f ca="1">AVERAGE(OFFSET($CX$3,0,0,'Données projet'!$E$13+1,1))-AVERAGE(OFFSET($H$3,0,0,'Données projet'!$E$13+1,1))</f>
        <v>#N/A</v>
      </c>
      <c r="CZ183" s="59" t="e">
        <f t="shared" si="150"/>
        <v>#N/A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 t="e">
        <f>EXP(-LN(2)/35)*DF182+(1-EXP(-LN(2)/35))/(LN(2)/35)*DB183*DC183*VLOOKUP('Données projet'!$B$13,Paramètres!$A$1:$I$89,3,0)*0.475*44/12</f>
        <v>#N/A</v>
      </c>
      <c r="DG183" s="21" t="e">
        <f>EXP(-LN(2)/25)*DG182+(1-EXP(-LN(2)/25))/(LN(2)/25)*Calculateur!DB183*Calculateur!DD183*VLOOKUP('Données projet'!$B$13,Paramètres!$A$1:$I$89,3,0)*0.475*44/12</f>
        <v>#N/A</v>
      </c>
      <c r="DH183" s="21" t="e">
        <f>EXP(-LN(2)/2)*DH182+(1-EXP(-LN(2)/2))/(LN(2)/2)*DB183*DE183*VLOOKUP('Données projet'!$B$13,Paramètres!$A$1:$I$89,3,0)*0.475*44/12</f>
        <v>#N/A</v>
      </c>
      <c r="DI183" s="22" t="e">
        <f t="shared" si="175"/>
        <v>#N/A</v>
      </c>
      <c r="DJ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0</v>
      </c>
      <c r="DP183" s="17" t="e">
        <f>DO183*VLOOKUP('Données projet'!$B$14,Paramètres!$A$1:$I$89,3,0)*VLOOKUP('Données projet'!$B$14,Paramètres!$A$1:$I$89,5,0)</f>
        <v>#N/A</v>
      </c>
      <c r="DQ183" s="13" t="e">
        <f t="shared" si="176"/>
        <v>#N/A</v>
      </c>
      <c r="DR183" s="20" t="e">
        <f t="shared" si="177"/>
        <v>#N/A</v>
      </c>
      <c r="DS183" s="59" t="e">
        <f t="shared" si="125"/>
        <v>#N/A</v>
      </c>
      <c r="DT183" s="59" t="e">
        <f ca="1">AVERAGE(OFFSET($DS$3,0,0,'Données projet'!$E$14+1,1))-AVERAGE(OFFSET($H$3,0,0,'Données projet'!$E$14+1,1))</f>
        <v>#N/A</v>
      </c>
      <c r="DU183" s="59" t="e">
        <f t="shared" si="152"/>
        <v>#N/A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 t="e">
        <f>EXP(-LN(2)/35)*EA182+(1-EXP(-LN(2)/35))/(LN(2)/35)*DW183*DX183*VLOOKUP('Données projet'!$B$14,Paramètres!$A$1:$I$89,3,0)*0.475*44/12</f>
        <v>#N/A</v>
      </c>
      <c r="EB183" s="21" t="e">
        <f>EXP(-LN(2)/25)*EB182+(1-EXP(-LN(2)/25))/(LN(2)/25)*Calculateur!DW183*Calculateur!DY183*VLOOKUP('Données projet'!$B$14,Paramètres!$A$1:$I$89,3,0)*0.475*44/12</f>
        <v>#N/A</v>
      </c>
      <c r="EC183" s="21" t="e">
        <f>EXP(-LN(2)/2)*EC182+(1-EXP(-LN(2)/2))/(LN(2)/2)*DW183*DZ183*VLOOKUP('Données projet'!$B$14,Paramètres!$A$1:$I$89,3,0)*0.475*44/12</f>
        <v>#N/A</v>
      </c>
      <c r="ED183" s="22" t="e">
        <f t="shared" si="178"/>
        <v>#N/A</v>
      </c>
      <c r="EE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0</v>
      </c>
      <c r="EK183" s="17" t="e">
        <f>EJ183*VLOOKUP('Données projet'!$B$15,Paramètres!$A$1:$I$89,3,0)*VLOOKUP('Données projet'!$B$15,Paramètres!$A$1:$I$89,5,0)</f>
        <v>#N/A</v>
      </c>
      <c r="EL183" s="13" t="e">
        <f t="shared" si="179"/>
        <v>#N/A</v>
      </c>
      <c r="EM183" s="20" t="e">
        <f t="shared" si="180"/>
        <v>#N/A</v>
      </c>
      <c r="EN183" s="59" t="e">
        <f t="shared" si="128"/>
        <v>#N/A</v>
      </c>
      <c r="EO183" s="59" t="e">
        <f ca="1">AVERAGE(OFFSET($EN$3,0,0,'Données projet'!$E$15+1,1))-AVERAGE(OFFSET($H$3,0,0,'Données projet'!$E$15+1,1))</f>
        <v>#N/A</v>
      </c>
      <c r="EP183" s="59" t="e">
        <f t="shared" si="154"/>
        <v>#N/A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 t="e">
        <f>EXP(-LN(2)/35)*EV182+(1-EXP(-LN(2)/35))/(LN(2)/35)*ER183*ES183*VLOOKUP('Données projet'!$B$15,Paramètres!$A$1:$I$89,3,0)*0.475*44/12</f>
        <v>#N/A</v>
      </c>
      <c r="EW183" s="21" t="e">
        <f>EXP(-LN(2)/25)*EW182+(1-EXP(-LN(2)/25))/(LN(2)/25)*Calculateur!ER183*Calculateur!ET183*VLOOKUP('Données projet'!$B$15,Paramètres!$A$1:$I$89,3,0)*0.475*44/12</f>
        <v>#N/A</v>
      </c>
      <c r="EX183" s="21" t="e">
        <f>EXP(-LN(2)/2)*EX182+(1-EXP(-LN(2)/2))/(LN(2)/2)*ER183*EU183*VLOOKUP('Données projet'!$B$15,Paramètres!$A$1:$I$89,3,0)*0.475*44/12</f>
        <v>#N/A</v>
      </c>
      <c r="EY183" s="22" t="e">
        <f t="shared" si="181"/>
        <v>#N/A</v>
      </c>
      <c r="EZ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9" t="e">
        <f t="shared" si="131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45">
      <c r="A184" s="10">
        <f t="shared" si="161"/>
        <v>181</v>
      </c>
      <c r="B184" s="73">
        <f>'Scénario référence'!$B$16*5+'Scénario référence'!$B$17*0+'Scénario référence'!$B$18*5</f>
        <v>0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160.9451999999998</v>
      </c>
      <c r="D184" s="11">
        <f t="shared" si="140"/>
        <v>41.055634766602871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">
        <f>IF(OR('Scénario référence'!$F$8&gt;0,'Scénario référence'!$F$9&gt;0),('Scénario référence'!$F$8+'Scénario référence'!$F$9)*10,0)</f>
        <v>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1559.3046894264069</v>
      </c>
      <c r="H184" s="67">
        <f t="shared" si="110"/>
        <v>608.48478721849972</v>
      </c>
      <c r="I184" s="7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1.7053025658242404E-13</v>
      </c>
      <c r="O184" s="13">
        <f>N184*VLOOKUP('Données projet'!$B$9,Paramètres!$A$1:$I$89,3,0)*VLOOKUP('Données projet'!$B$9,Paramètres!$A$1:$I$89,5,0)</f>
        <v>9.5326413429575044E-14</v>
      </c>
      <c r="P184" s="13">
        <f t="shared" si="141"/>
        <v>1.4400742856080346E-12</v>
      </c>
      <c r="Q184" s="20">
        <f t="shared" si="162"/>
        <v>2.6741562174905032E-12</v>
      </c>
      <c r="R184" s="59">
        <f t="shared" si="109"/>
        <v>293.33333333333599</v>
      </c>
      <c r="S184" s="59">
        <f ca="1">AVERAGE(OFFSET($R$3,0,0,'Données projet'!$E$9+1,1))-AVERAGE(OFFSET($H$3,0,0,'Données projet'!$E$9+1,1))</f>
        <v>280.69347314340195</v>
      </c>
      <c r="T184" s="59">
        <f t="shared" si="142"/>
        <v>152.40533828556482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50.985389609142487</v>
      </c>
      <c r="AA184" s="21">
        <f>EXP(-LN(2)/25)*AA183+(1-EXP(-LN(2)/25))/(LN(2)/25)*Calculateur!V184*Calculateur!X184*VLOOKUP('Données projet'!$B$9,Paramètres!$A$1:$I$89,3,0)*0.475*44/12</f>
        <v>10.064005598809235</v>
      </c>
      <c r="AB184" s="21">
        <f>EXP(-LN(2)/2)*AB183+(1-EXP(-LN(2)/2))/(LN(2)/2)*V184*Y184*VLOOKUP('Données projet'!$B$9,Paramètres!$A$1:$I$89,3,0)*0.475*44/12</f>
        <v>4.0917535248572105E-8</v>
      </c>
      <c r="AC184" s="22">
        <f t="shared" si="163"/>
        <v>61.049395248869253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0</v>
      </c>
      <c r="AJ184" s="13">
        <f>AI184*VLOOKUP('Données projet'!$B$10,Paramètres!$A$1:$I$89,3,0)*VLOOKUP('Données projet'!$B$10,Paramètres!$A$1:$I$89,5,0)</f>
        <v>0</v>
      </c>
      <c r="AK184" s="13" t="e">
        <f t="shared" si="164"/>
        <v>#NUM!</v>
      </c>
      <c r="AL184" s="20" t="e">
        <f t="shared" si="165"/>
        <v>#NUM!</v>
      </c>
      <c r="AM184" s="59" t="e">
        <f t="shared" si="113"/>
        <v>#NUM!</v>
      </c>
      <c r="AN184" s="59">
        <f ca="1">AVERAGE(OFFSET($AM$3,0,0,'Données projet'!$E$10+1,1))-AVERAGE(OFFSET($H$3,0,0,'Données projet'!$E$10+1,1))</f>
        <v>179.4725256147085</v>
      </c>
      <c r="AO184" s="59">
        <f t="shared" si="144"/>
        <v>282.16750121151176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13.146867511798463</v>
      </c>
      <c r="AV184" s="21">
        <f>EXP(-LN(2)/25)*AV183+(1-EXP(-LN(2)/25))/(LN(2)/25)*Calculateur!AQ184*Calculateur!AS184*VLOOKUP('Données projet'!$B$10,Paramètres!$A$1:$I$89,3,0)*0.475*44/12</f>
        <v>1.7060599090256496</v>
      </c>
      <c r="AW184" s="21">
        <f>EXP(-LN(2)/2)*AW183+(1-EXP(-LN(2)/2))/(LN(2)/2)*AQ184*AT184*VLOOKUP('Données projet'!$B$10,Paramètres!$A$1:$I$89,3,0)*0.475*44/12</f>
        <v>2.6446488874432938E-17</v>
      </c>
      <c r="AX184" s="21">
        <f t="shared" si="166"/>
        <v>14.852927420824113</v>
      </c>
      <c r="AY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6.2527760746888816E-13</v>
      </c>
      <c r="BE184" s="13">
        <f>BD184*VLOOKUP('Données projet'!$B$11,Paramètres!$A$1:$I$89,3,0)*VLOOKUP('Données projet'!$B$11,Paramètres!$A$1:$I$89,5,0)</f>
        <v>5.3648818720830608E-13</v>
      </c>
      <c r="BF184" s="13">
        <f t="shared" si="167"/>
        <v>6.6281362235424649E-12</v>
      </c>
      <c r="BG184" s="20">
        <f t="shared" si="168"/>
        <v>1.2478387515390925E-11</v>
      </c>
      <c r="BH184" s="59">
        <f t="shared" si="116"/>
        <v>293.33333333334582</v>
      </c>
      <c r="BI184" s="59">
        <f ca="1">AVERAGE(OFFSET($BH$3,0,0,'Données projet'!$E$11+1,1))-AVERAGE(OFFSET($H$3,0,0,'Données projet'!$E$11+1,1))</f>
        <v>312.89478437044261</v>
      </c>
      <c r="BJ184" s="59">
        <f t="shared" si="146"/>
        <v>276.16555507854571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>
        <f>EXP(-LN(2)/35)*BP183+(1-EXP(-LN(2)/35))/(LN(2)/35)*BL184*BM184*VLOOKUP('Données projet'!$B$11,Paramètres!$A$1:$I$89,3,0)*0.475*44/12</f>
        <v>53.71607660409034</v>
      </c>
      <c r="BQ184" s="21">
        <f>EXP(-LN(2)/25)*BQ183+(1-EXP(-LN(2)/25))/(LN(2)/25)*Calculateur!BL184*Calculateur!BN184*VLOOKUP('Données projet'!$B$11,Paramètres!$A$1:$I$89,3,0)*0.475*44/12</f>
        <v>9.7268594457569542</v>
      </c>
      <c r="BR184" s="21">
        <f>EXP(-LN(2)/2)*BR183+(1-EXP(-LN(2)/2))/(LN(2)/2)*BL184*BO184*VLOOKUP('Données projet'!$B$11,Paramètres!$A$1:$I$89,3,0)*0.475*44/12</f>
        <v>1.3117010881697336E-5</v>
      </c>
      <c r="BS184" s="22">
        <f t="shared" si="169"/>
        <v>63.44294916685817</v>
      </c>
      <c r="BT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0</v>
      </c>
      <c r="BZ184" s="13" t="e">
        <f>BY184*VLOOKUP('Données projet'!$B$12,Paramètres!$A$1:$I$89,3,0)*VLOOKUP('Données projet'!$B$12,Paramètres!$A$1:$I$89,5,0)</f>
        <v>#N/A</v>
      </c>
      <c r="CA184" s="13" t="e">
        <f t="shared" si="170"/>
        <v>#N/A</v>
      </c>
      <c r="CB184" s="20" t="e">
        <f t="shared" si="171"/>
        <v>#N/A</v>
      </c>
      <c r="CC184" s="59" t="e">
        <f t="shared" si="119"/>
        <v>#N/A</v>
      </c>
      <c r="CD184" s="59" t="e">
        <f ca="1">AVERAGE(OFFSET($CC$3,0,0,'Données projet'!$E$12+1,1))-AVERAGE(OFFSET($H$3,0,0,'Données projet'!$E$12+1,1))</f>
        <v>#N/A</v>
      </c>
      <c r="CE184" s="59" t="e">
        <f t="shared" si="148"/>
        <v>#N/A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 t="e">
        <f>EXP(-LN(2)/35)*CK183+(1-EXP(-LN(2)/35))/(LN(2)/35)*CG184*CH184*VLOOKUP('Données projet'!$B$12,Paramètres!$A$1:$I$89,3,0)*0.475*44/12</f>
        <v>#N/A</v>
      </c>
      <c r="CL184" s="21" t="e">
        <f>EXP(-LN(2)/25)*CL183+(1-EXP(-LN(2)/25))/(LN(2)/25)*Calculateur!CG184*Calculateur!CI184*VLOOKUP('Données projet'!$B$12,Paramètres!$A$1:$I$89,3,0)*0.475*44/12</f>
        <v>#N/A</v>
      </c>
      <c r="CM184" s="21" t="e">
        <f>EXP(-LN(2)/2)*CM183+(1-EXP(-LN(2)/2))/(LN(2)/2)*CG184*CJ184*VLOOKUP('Données projet'!$B$12,Paramètres!$A$1:$I$89,3,0)*0.475*44/12</f>
        <v>#N/A</v>
      </c>
      <c r="CN184" s="22" t="e">
        <f t="shared" si="172"/>
        <v>#N/A</v>
      </c>
      <c r="CO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0</v>
      </c>
      <c r="CU184" s="17" t="e">
        <f>CT184*VLOOKUP('Données projet'!$B$13,Paramètres!$A$1:$I$89,3,0)*VLOOKUP('Données projet'!$B$13,Paramètres!$A$1:$I$89,5,0)</f>
        <v>#N/A</v>
      </c>
      <c r="CV184" s="13" t="e">
        <f t="shared" si="173"/>
        <v>#N/A</v>
      </c>
      <c r="CW184" s="20" t="e">
        <f t="shared" si="174"/>
        <v>#N/A</v>
      </c>
      <c r="CX184" s="59" t="e">
        <f t="shared" si="122"/>
        <v>#N/A</v>
      </c>
      <c r="CY184" s="59" t="e">
        <f ca="1">AVERAGE(OFFSET($CX$3,0,0,'Données projet'!$E$13+1,1))-AVERAGE(OFFSET($H$3,0,0,'Données projet'!$E$13+1,1))</f>
        <v>#N/A</v>
      </c>
      <c r="CZ184" s="59" t="e">
        <f t="shared" si="150"/>
        <v>#N/A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 t="e">
        <f>EXP(-LN(2)/35)*DF183+(1-EXP(-LN(2)/35))/(LN(2)/35)*DB184*DC184*VLOOKUP('Données projet'!$B$13,Paramètres!$A$1:$I$89,3,0)*0.475*44/12</f>
        <v>#N/A</v>
      </c>
      <c r="DG184" s="21" t="e">
        <f>EXP(-LN(2)/25)*DG183+(1-EXP(-LN(2)/25))/(LN(2)/25)*Calculateur!DB184*Calculateur!DD184*VLOOKUP('Données projet'!$B$13,Paramètres!$A$1:$I$89,3,0)*0.475*44/12</f>
        <v>#N/A</v>
      </c>
      <c r="DH184" s="21" t="e">
        <f>EXP(-LN(2)/2)*DH183+(1-EXP(-LN(2)/2))/(LN(2)/2)*DB184*DE184*VLOOKUP('Données projet'!$B$13,Paramètres!$A$1:$I$89,3,0)*0.475*44/12</f>
        <v>#N/A</v>
      </c>
      <c r="DI184" s="22" t="e">
        <f t="shared" si="175"/>
        <v>#N/A</v>
      </c>
      <c r="DJ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0</v>
      </c>
      <c r="DP184" s="17" t="e">
        <f>DO184*VLOOKUP('Données projet'!$B$14,Paramètres!$A$1:$I$89,3,0)*VLOOKUP('Données projet'!$B$14,Paramètres!$A$1:$I$89,5,0)</f>
        <v>#N/A</v>
      </c>
      <c r="DQ184" s="13" t="e">
        <f t="shared" si="176"/>
        <v>#N/A</v>
      </c>
      <c r="DR184" s="20" t="e">
        <f t="shared" si="177"/>
        <v>#N/A</v>
      </c>
      <c r="DS184" s="59" t="e">
        <f t="shared" si="125"/>
        <v>#N/A</v>
      </c>
      <c r="DT184" s="59" t="e">
        <f ca="1">AVERAGE(OFFSET($DS$3,0,0,'Données projet'!$E$14+1,1))-AVERAGE(OFFSET($H$3,0,0,'Données projet'!$E$14+1,1))</f>
        <v>#N/A</v>
      </c>
      <c r="DU184" s="59" t="e">
        <f t="shared" si="152"/>
        <v>#N/A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 t="e">
        <f>EXP(-LN(2)/35)*EA183+(1-EXP(-LN(2)/35))/(LN(2)/35)*DW184*DX184*VLOOKUP('Données projet'!$B$14,Paramètres!$A$1:$I$89,3,0)*0.475*44/12</f>
        <v>#N/A</v>
      </c>
      <c r="EB184" s="21" t="e">
        <f>EXP(-LN(2)/25)*EB183+(1-EXP(-LN(2)/25))/(LN(2)/25)*Calculateur!DW184*Calculateur!DY184*VLOOKUP('Données projet'!$B$14,Paramètres!$A$1:$I$89,3,0)*0.475*44/12</f>
        <v>#N/A</v>
      </c>
      <c r="EC184" s="21" t="e">
        <f>EXP(-LN(2)/2)*EC183+(1-EXP(-LN(2)/2))/(LN(2)/2)*DW184*DZ184*VLOOKUP('Données projet'!$B$14,Paramètres!$A$1:$I$89,3,0)*0.475*44/12</f>
        <v>#N/A</v>
      </c>
      <c r="ED184" s="22" t="e">
        <f t="shared" si="178"/>
        <v>#N/A</v>
      </c>
      <c r="EE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0</v>
      </c>
      <c r="EK184" s="17" t="e">
        <f>EJ184*VLOOKUP('Données projet'!$B$15,Paramètres!$A$1:$I$89,3,0)*VLOOKUP('Données projet'!$B$15,Paramètres!$A$1:$I$89,5,0)</f>
        <v>#N/A</v>
      </c>
      <c r="EL184" s="13" t="e">
        <f t="shared" si="179"/>
        <v>#N/A</v>
      </c>
      <c r="EM184" s="20" t="e">
        <f t="shared" si="180"/>
        <v>#N/A</v>
      </c>
      <c r="EN184" s="59" t="e">
        <f t="shared" si="128"/>
        <v>#N/A</v>
      </c>
      <c r="EO184" s="59" t="e">
        <f ca="1">AVERAGE(OFFSET($EN$3,0,0,'Données projet'!$E$15+1,1))-AVERAGE(OFFSET($H$3,0,0,'Données projet'!$E$15+1,1))</f>
        <v>#N/A</v>
      </c>
      <c r="EP184" s="59" t="e">
        <f t="shared" si="154"/>
        <v>#N/A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 t="e">
        <f>EXP(-LN(2)/35)*EV183+(1-EXP(-LN(2)/35))/(LN(2)/35)*ER184*ES184*VLOOKUP('Données projet'!$B$15,Paramètres!$A$1:$I$89,3,0)*0.475*44/12</f>
        <v>#N/A</v>
      </c>
      <c r="EW184" s="21" t="e">
        <f>EXP(-LN(2)/25)*EW183+(1-EXP(-LN(2)/25))/(LN(2)/25)*Calculateur!ER184*Calculateur!ET184*VLOOKUP('Données projet'!$B$15,Paramètres!$A$1:$I$89,3,0)*0.475*44/12</f>
        <v>#N/A</v>
      </c>
      <c r="EX184" s="21" t="e">
        <f>EXP(-LN(2)/2)*EX183+(1-EXP(-LN(2)/2))/(LN(2)/2)*ER184*EU184*VLOOKUP('Données projet'!$B$15,Paramètres!$A$1:$I$89,3,0)*0.475*44/12</f>
        <v>#N/A</v>
      </c>
      <c r="EY184" s="22" t="e">
        <f t="shared" si="181"/>
        <v>#N/A</v>
      </c>
      <c r="EZ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9" t="e">
        <f t="shared" si="131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45">
      <c r="A185" s="10">
        <f t="shared" si="161"/>
        <v>182</v>
      </c>
      <c r="B185" s="73">
        <f>'Scénario référence'!$B$16*5+'Scénario référence'!$B$17*0+'Scénario référence'!$B$18*5</f>
        <v>0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161.83439999999979</v>
      </c>
      <c r="D185" s="11">
        <f t="shared" si="140"/>
        <v>41.255994535170444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">
        <f>IF(OR('Scénario référence'!$F$8&gt;0,'Scénario référence'!$F$9&gt;0),('Scénario référence'!$F$8+'Scénario référence'!$F$9)*10,0)</f>
        <v>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1567.7153262364018</v>
      </c>
      <c r="H185" s="67">
        <f t="shared" si="110"/>
        <v>610.38243714875489</v>
      </c>
      <c r="I185" s="7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1.7053025658242404E-13</v>
      </c>
      <c r="O185" s="13">
        <f>N185*VLOOKUP('Données projet'!$B$9,Paramètres!$A$1:$I$89,3,0)*VLOOKUP('Données projet'!$B$9,Paramètres!$A$1:$I$89,5,0)</f>
        <v>9.5326413429575044E-14</v>
      </c>
      <c r="P185" s="13">
        <f t="shared" si="141"/>
        <v>1.4400742856080346E-12</v>
      </c>
      <c r="Q185" s="20">
        <f t="shared" si="162"/>
        <v>2.6741562174905032E-12</v>
      </c>
      <c r="R185" s="59">
        <f t="shared" si="109"/>
        <v>293.33333333333599</v>
      </c>
      <c r="S185" s="59">
        <f ca="1">AVERAGE(OFFSET($R$3,0,0,'Données projet'!$E$9+1,1))-AVERAGE(OFFSET($H$3,0,0,'Données projet'!$E$9+1,1))</f>
        <v>280.69347314340195</v>
      </c>
      <c r="T185" s="59">
        <f t="shared" si="142"/>
        <v>152.40533828556482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49.985597216924191</v>
      </c>
      <c r="AA185" s="21">
        <f>EXP(-LN(2)/25)*AA184+(1-EXP(-LN(2)/25))/(LN(2)/25)*Calculateur!V185*Calculateur!X185*VLOOKUP('Données projet'!$B$9,Paramètres!$A$1:$I$89,3,0)*0.475*44/12</f>
        <v>9.7888048364667437</v>
      </c>
      <c r="AB185" s="21">
        <f>EXP(-LN(2)/2)*AB184+(1-EXP(-LN(2)/2))/(LN(2)/2)*V185*Y185*VLOOKUP('Données projet'!$B$9,Paramètres!$A$1:$I$89,3,0)*0.475*44/12</f>
        <v>2.8933066643704925E-8</v>
      </c>
      <c r="AC185" s="22">
        <f t="shared" si="163"/>
        <v>59.774402082324002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0</v>
      </c>
      <c r="AJ185" s="13">
        <f>AI185*VLOOKUP('Données projet'!$B$10,Paramètres!$A$1:$I$89,3,0)*VLOOKUP('Données projet'!$B$10,Paramètres!$A$1:$I$89,5,0)</f>
        <v>0</v>
      </c>
      <c r="AK185" s="13" t="e">
        <f t="shared" si="164"/>
        <v>#NUM!</v>
      </c>
      <c r="AL185" s="20" t="e">
        <f t="shared" si="165"/>
        <v>#NUM!</v>
      </c>
      <c r="AM185" s="59" t="e">
        <f t="shared" si="113"/>
        <v>#NUM!</v>
      </c>
      <c r="AN185" s="59">
        <f ca="1">AVERAGE(OFFSET($AM$3,0,0,'Données projet'!$E$10+1,1))-AVERAGE(OFFSET($H$3,0,0,'Données projet'!$E$10+1,1))</f>
        <v>179.4725256147085</v>
      </c>
      <c r="AO185" s="59">
        <f t="shared" si="144"/>
        <v>282.16750121151176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12.889065458689487</v>
      </c>
      <c r="AV185" s="21">
        <f>EXP(-LN(2)/25)*AV184+(1-EXP(-LN(2)/25))/(LN(2)/25)*Calculateur!AQ185*Calculateur!AS185*VLOOKUP('Données projet'!$B$10,Paramètres!$A$1:$I$89,3,0)*0.475*44/12</f>
        <v>1.6594076110955518</v>
      </c>
      <c r="AW185" s="21">
        <f>EXP(-LN(2)/2)*AW184+(1-EXP(-LN(2)/2))/(LN(2)/2)*AQ185*AT185*VLOOKUP('Données projet'!$B$10,Paramètres!$A$1:$I$89,3,0)*0.475*44/12</f>
        <v>1.8700491621686115E-17</v>
      </c>
      <c r="AX185" s="21">
        <f t="shared" si="166"/>
        <v>14.54847306978504</v>
      </c>
      <c r="AY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6.2527760746888816E-13</v>
      </c>
      <c r="BE185" s="13">
        <f>BD185*VLOOKUP('Données projet'!$B$11,Paramètres!$A$1:$I$89,3,0)*VLOOKUP('Données projet'!$B$11,Paramètres!$A$1:$I$89,5,0)</f>
        <v>5.3648818720830608E-13</v>
      </c>
      <c r="BF185" s="13">
        <f t="shared" si="167"/>
        <v>6.6281362235424649E-12</v>
      </c>
      <c r="BG185" s="20">
        <f t="shared" si="168"/>
        <v>1.2478387515390925E-11</v>
      </c>
      <c r="BH185" s="59">
        <f t="shared" si="116"/>
        <v>293.33333333334582</v>
      </c>
      <c r="BI185" s="59">
        <f ca="1">AVERAGE(OFFSET($BH$3,0,0,'Données projet'!$E$11+1,1))-AVERAGE(OFFSET($H$3,0,0,'Données projet'!$E$11+1,1))</f>
        <v>312.89478437044261</v>
      </c>
      <c r="BJ185" s="59">
        <f t="shared" si="146"/>
        <v>276.16555507854571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>
        <f>EXP(-LN(2)/35)*BP184+(1-EXP(-LN(2)/35))/(LN(2)/35)*BL185*BM185*VLOOKUP('Données projet'!$B$11,Paramètres!$A$1:$I$89,3,0)*0.475*44/12</f>
        <v>52.662737105455726</v>
      </c>
      <c r="BQ185" s="21">
        <f>EXP(-LN(2)/25)*BQ184+(1-EXP(-LN(2)/25))/(LN(2)/25)*Calculateur!BL185*Calculateur!BN185*VLOOKUP('Données projet'!$B$11,Paramètres!$A$1:$I$89,3,0)*0.475*44/12</f>
        <v>9.4608779626994224</v>
      </c>
      <c r="BR185" s="21">
        <f>EXP(-LN(2)/2)*BR184+(1-EXP(-LN(2)/2))/(LN(2)/2)*BL185*BO185*VLOOKUP('Données projet'!$B$11,Paramètres!$A$1:$I$89,3,0)*0.475*44/12</f>
        <v>9.2751273433459208E-6</v>
      </c>
      <c r="BS185" s="22">
        <f t="shared" si="169"/>
        <v>62.123624343282486</v>
      </c>
      <c r="BT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0</v>
      </c>
      <c r="BZ185" s="13" t="e">
        <f>BY185*VLOOKUP('Données projet'!$B$12,Paramètres!$A$1:$I$89,3,0)*VLOOKUP('Données projet'!$B$12,Paramètres!$A$1:$I$89,5,0)</f>
        <v>#N/A</v>
      </c>
      <c r="CA185" s="13" t="e">
        <f t="shared" si="170"/>
        <v>#N/A</v>
      </c>
      <c r="CB185" s="20" t="e">
        <f t="shared" si="171"/>
        <v>#N/A</v>
      </c>
      <c r="CC185" s="59" t="e">
        <f t="shared" si="119"/>
        <v>#N/A</v>
      </c>
      <c r="CD185" s="59" t="e">
        <f ca="1">AVERAGE(OFFSET($CC$3,0,0,'Données projet'!$E$12+1,1))-AVERAGE(OFFSET($H$3,0,0,'Données projet'!$E$12+1,1))</f>
        <v>#N/A</v>
      </c>
      <c r="CE185" s="59" t="e">
        <f t="shared" si="148"/>
        <v>#N/A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 t="e">
        <f>EXP(-LN(2)/35)*CK184+(1-EXP(-LN(2)/35))/(LN(2)/35)*CG185*CH185*VLOOKUP('Données projet'!$B$12,Paramètres!$A$1:$I$89,3,0)*0.475*44/12</f>
        <v>#N/A</v>
      </c>
      <c r="CL185" s="21" t="e">
        <f>EXP(-LN(2)/25)*CL184+(1-EXP(-LN(2)/25))/(LN(2)/25)*Calculateur!CG185*Calculateur!CI185*VLOOKUP('Données projet'!$B$12,Paramètres!$A$1:$I$89,3,0)*0.475*44/12</f>
        <v>#N/A</v>
      </c>
      <c r="CM185" s="21" t="e">
        <f>EXP(-LN(2)/2)*CM184+(1-EXP(-LN(2)/2))/(LN(2)/2)*CG185*CJ185*VLOOKUP('Données projet'!$B$12,Paramètres!$A$1:$I$89,3,0)*0.475*44/12</f>
        <v>#N/A</v>
      </c>
      <c r="CN185" s="22" t="e">
        <f t="shared" si="172"/>
        <v>#N/A</v>
      </c>
      <c r="CO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0</v>
      </c>
      <c r="CU185" s="17" t="e">
        <f>CT185*VLOOKUP('Données projet'!$B$13,Paramètres!$A$1:$I$89,3,0)*VLOOKUP('Données projet'!$B$13,Paramètres!$A$1:$I$89,5,0)</f>
        <v>#N/A</v>
      </c>
      <c r="CV185" s="13" t="e">
        <f t="shared" si="173"/>
        <v>#N/A</v>
      </c>
      <c r="CW185" s="20" t="e">
        <f t="shared" si="174"/>
        <v>#N/A</v>
      </c>
      <c r="CX185" s="59" t="e">
        <f t="shared" si="122"/>
        <v>#N/A</v>
      </c>
      <c r="CY185" s="59" t="e">
        <f ca="1">AVERAGE(OFFSET($CX$3,0,0,'Données projet'!$E$13+1,1))-AVERAGE(OFFSET($H$3,0,0,'Données projet'!$E$13+1,1))</f>
        <v>#N/A</v>
      </c>
      <c r="CZ185" s="59" t="e">
        <f t="shared" si="150"/>
        <v>#N/A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 t="e">
        <f>EXP(-LN(2)/35)*DF184+(1-EXP(-LN(2)/35))/(LN(2)/35)*DB185*DC185*VLOOKUP('Données projet'!$B$13,Paramètres!$A$1:$I$89,3,0)*0.475*44/12</f>
        <v>#N/A</v>
      </c>
      <c r="DG185" s="21" t="e">
        <f>EXP(-LN(2)/25)*DG184+(1-EXP(-LN(2)/25))/(LN(2)/25)*Calculateur!DB185*Calculateur!DD185*VLOOKUP('Données projet'!$B$13,Paramètres!$A$1:$I$89,3,0)*0.475*44/12</f>
        <v>#N/A</v>
      </c>
      <c r="DH185" s="21" t="e">
        <f>EXP(-LN(2)/2)*DH184+(1-EXP(-LN(2)/2))/(LN(2)/2)*DB185*DE185*VLOOKUP('Données projet'!$B$13,Paramètres!$A$1:$I$89,3,0)*0.475*44/12</f>
        <v>#N/A</v>
      </c>
      <c r="DI185" s="22" t="e">
        <f t="shared" si="175"/>
        <v>#N/A</v>
      </c>
      <c r="DJ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0</v>
      </c>
      <c r="DP185" s="17" t="e">
        <f>DO185*VLOOKUP('Données projet'!$B$14,Paramètres!$A$1:$I$89,3,0)*VLOOKUP('Données projet'!$B$14,Paramètres!$A$1:$I$89,5,0)</f>
        <v>#N/A</v>
      </c>
      <c r="DQ185" s="13" t="e">
        <f t="shared" si="176"/>
        <v>#N/A</v>
      </c>
      <c r="DR185" s="20" t="e">
        <f t="shared" si="177"/>
        <v>#N/A</v>
      </c>
      <c r="DS185" s="59" t="e">
        <f t="shared" si="125"/>
        <v>#N/A</v>
      </c>
      <c r="DT185" s="59" t="e">
        <f ca="1">AVERAGE(OFFSET($DS$3,0,0,'Données projet'!$E$14+1,1))-AVERAGE(OFFSET($H$3,0,0,'Données projet'!$E$14+1,1))</f>
        <v>#N/A</v>
      </c>
      <c r="DU185" s="59" t="e">
        <f t="shared" si="152"/>
        <v>#N/A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 t="e">
        <f>EXP(-LN(2)/35)*EA184+(1-EXP(-LN(2)/35))/(LN(2)/35)*DW185*DX185*VLOOKUP('Données projet'!$B$14,Paramètres!$A$1:$I$89,3,0)*0.475*44/12</f>
        <v>#N/A</v>
      </c>
      <c r="EB185" s="21" t="e">
        <f>EXP(-LN(2)/25)*EB184+(1-EXP(-LN(2)/25))/(LN(2)/25)*Calculateur!DW185*Calculateur!DY185*VLOOKUP('Données projet'!$B$14,Paramètres!$A$1:$I$89,3,0)*0.475*44/12</f>
        <v>#N/A</v>
      </c>
      <c r="EC185" s="21" t="e">
        <f>EXP(-LN(2)/2)*EC184+(1-EXP(-LN(2)/2))/(LN(2)/2)*DW185*DZ185*VLOOKUP('Données projet'!$B$14,Paramètres!$A$1:$I$89,3,0)*0.475*44/12</f>
        <v>#N/A</v>
      </c>
      <c r="ED185" s="22" t="e">
        <f t="shared" si="178"/>
        <v>#N/A</v>
      </c>
      <c r="EE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0</v>
      </c>
      <c r="EK185" s="17" t="e">
        <f>EJ185*VLOOKUP('Données projet'!$B$15,Paramètres!$A$1:$I$89,3,0)*VLOOKUP('Données projet'!$B$15,Paramètres!$A$1:$I$89,5,0)</f>
        <v>#N/A</v>
      </c>
      <c r="EL185" s="13" t="e">
        <f t="shared" si="179"/>
        <v>#N/A</v>
      </c>
      <c r="EM185" s="20" t="e">
        <f t="shared" si="180"/>
        <v>#N/A</v>
      </c>
      <c r="EN185" s="59" t="e">
        <f t="shared" si="128"/>
        <v>#N/A</v>
      </c>
      <c r="EO185" s="59" t="e">
        <f ca="1">AVERAGE(OFFSET($EN$3,0,0,'Données projet'!$E$15+1,1))-AVERAGE(OFFSET($H$3,0,0,'Données projet'!$E$15+1,1))</f>
        <v>#N/A</v>
      </c>
      <c r="EP185" s="59" t="e">
        <f t="shared" si="154"/>
        <v>#N/A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 t="e">
        <f>EXP(-LN(2)/35)*EV184+(1-EXP(-LN(2)/35))/(LN(2)/35)*ER185*ES185*VLOOKUP('Données projet'!$B$15,Paramètres!$A$1:$I$89,3,0)*0.475*44/12</f>
        <v>#N/A</v>
      </c>
      <c r="EW185" s="21" t="e">
        <f>EXP(-LN(2)/25)*EW184+(1-EXP(-LN(2)/25))/(LN(2)/25)*Calculateur!ER185*Calculateur!ET185*VLOOKUP('Données projet'!$B$15,Paramètres!$A$1:$I$89,3,0)*0.475*44/12</f>
        <v>#N/A</v>
      </c>
      <c r="EX185" s="21" t="e">
        <f>EXP(-LN(2)/2)*EX184+(1-EXP(-LN(2)/2))/(LN(2)/2)*ER185*EU185*VLOOKUP('Données projet'!$B$15,Paramètres!$A$1:$I$89,3,0)*0.475*44/12</f>
        <v>#N/A</v>
      </c>
      <c r="EY185" s="22" t="e">
        <f t="shared" si="181"/>
        <v>#N/A</v>
      </c>
      <c r="EZ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9" t="e">
        <f t="shared" si="131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45">
      <c r="A186" s="10">
        <f t="shared" si="161"/>
        <v>183</v>
      </c>
      <c r="B186" s="73">
        <f>'Scénario référence'!$B$16*5+'Scénario référence'!$B$17*0+'Scénario référence'!$B$18*5</f>
        <v>0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162.72359999999978</v>
      </c>
      <c r="D186" s="11">
        <f t="shared" si="140"/>
        <v>41.456226201843137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">
        <f>IF(OR('Scénario référence'!$F$8&gt;0,'Scénario référence'!$F$9&gt;0),('Scénario référence'!$F$8+'Scénario référence'!$F$9)*10,0)</f>
        <v>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1576.1249741896645</v>
      </c>
      <c r="H186" s="67">
        <f t="shared" si="110"/>
        <v>612.27986396820972</v>
      </c>
      <c r="I186" s="7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1.7053025658242404E-13</v>
      </c>
      <c r="O186" s="13">
        <f>N186*VLOOKUP('Données projet'!$B$9,Paramètres!$A$1:$I$89,3,0)*VLOOKUP('Données projet'!$B$9,Paramètres!$A$1:$I$89,5,0)</f>
        <v>9.5326413429575044E-14</v>
      </c>
      <c r="P186" s="13">
        <f t="shared" si="141"/>
        <v>1.4400742856080346E-12</v>
      </c>
      <c r="Q186" s="20">
        <f t="shared" si="162"/>
        <v>2.6741562174905032E-12</v>
      </c>
      <c r="R186" s="59">
        <f t="shared" si="109"/>
        <v>293.33333333333599</v>
      </c>
      <c r="S186" s="59">
        <f ca="1">AVERAGE(OFFSET($R$3,0,0,'Données projet'!$E$9+1,1))-AVERAGE(OFFSET($H$3,0,0,'Données projet'!$E$9+1,1))</f>
        <v>280.69347314340195</v>
      </c>
      <c r="T186" s="59">
        <f t="shared" si="142"/>
        <v>152.40533828556482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49.005410143704147</v>
      </c>
      <c r="AA186" s="21">
        <f>EXP(-LN(2)/25)*AA185+(1-EXP(-LN(2)/25))/(LN(2)/25)*Calculateur!V186*Calculateur!X186*VLOOKUP('Données projet'!$B$9,Paramètres!$A$1:$I$89,3,0)*0.475*44/12</f>
        <v>9.5211294534426862</v>
      </c>
      <c r="AB186" s="21">
        <f>EXP(-LN(2)/2)*AB185+(1-EXP(-LN(2)/2))/(LN(2)/2)*V186*Y186*VLOOKUP('Données projet'!$B$9,Paramètres!$A$1:$I$89,3,0)*0.475*44/12</f>
        <v>2.0458767624286056E-8</v>
      </c>
      <c r="AC186" s="22">
        <f t="shared" si="163"/>
        <v>58.526539617605607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0</v>
      </c>
      <c r="AJ186" s="13">
        <f>AI186*VLOOKUP('Données projet'!$B$10,Paramètres!$A$1:$I$89,3,0)*VLOOKUP('Données projet'!$B$10,Paramètres!$A$1:$I$89,5,0)</f>
        <v>0</v>
      </c>
      <c r="AK186" s="13" t="e">
        <f t="shared" si="164"/>
        <v>#NUM!</v>
      </c>
      <c r="AL186" s="20" t="e">
        <f t="shared" si="165"/>
        <v>#NUM!</v>
      </c>
      <c r="AM186" s="59" t="e">
        <f t="shared" si="113"/>
        <v>#NUM!</v>
      </c>
      <c r="AN186" s="59">
        <f ca="1">AVERAGE(OFFSET($AM$3,0,0,'Données projet'!$E$10+1,1))-AVERAGE(OFFSET($H$3,0,0,'Données projet'!$E$10+1,1))</f>
        <v>179.4725256147085</v>
      </c>
      <c r="AO186" s="59">
        <f t="shared" si="144"/>
        <v>282.16750121151176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12.636318746598253</v>
      </c>
      <c r="AV186" s="21">
        <f>EXP(-LN(2)/25)*AV185+(1-EXP(-LN(2)/25))/(LN(2)/25)*Calculateur!AQ186*Calculateur!AS186*VLOOKUP('Données projet'!$B$10,Paramètres!$A$1:$I$89,3,0)*0.475*44/12</f>
        <v>1.6140310227056902</v>
      </c>
      <c r="AW186" s="21">
        <f>EXP(-LN(2)/2)*AW185+(1-EXP(-LN(2)/2))/(LN(2)/2)*AQ186*AT186*VLOOKUP('Données projet'!$B$10,Paramètres!$A$1:$I$89,3,0)*0.475*44/12</f>
        <v>1.3223244437216469E-17</v>
      </c>
      <c r="AX186" s="21">
        <f t="shared" si="166"/>
        <v>14.250349769303943</v>
      </c>
      <c r="AY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6.2527760746888816E-13</v>
      </c>
      <c r="BE186" s="13">
        <f>BD186*VLOOKUP('Données projet'!$B$11,Paramètres!$A$1:$I$89,3,0)*VLOOKUP('Données projet'!$B$11,Paramètres!$A$1:$I$89,5,0)</f>
        <v>5.3648818720830608E-13</v>
      </c>
      <c r="BF186" s="13">
        <f t="shared" si="167"/>
        <v>6.6281362235424649E-12</v>
      </c>
      <c r="BG186" s="20">
        <f t="shared" si="168"/>
        <v>1.2478387515390925E-11</v>
      </c>
      <c r="BH186" s="59">
        <f t="shared" si="116"/>
        <v>293.33333333334582</v>
      </c>
      <c r="BI186" s="59">
        <f ca="1">AVERAGE(OFFSET($BH$3,0,0,'Données projet'!$E$11+1,1))-AVERAGE(OFFSET($H$3,0,0,'Données projet'!$E$11+1,1))</f>
        <v>312.89478437044261</v>
      </c>
      <c r="BJ186" s="59">
        <f t="shared" si="146"/>
        <v>276.16555507854571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>
        <f>EXP(-LN(2)/35)*BP185+(1-EXP(-LN(2)/35))/(LN(2)/35)*BL186*BM186*VLOOKUP('Données projet'!$B$11,Paramètres!$A$1:$I$89,3,0)*0.475*44/12</f>
        <v>51.63005295191568</v>
      </c>
      <c r="BQ186" s="21">
        <f>EXP(-LN(2)/25)*BQ185+(1-EXP(-LN(2)/25))/(LN(2)/25)*Calculateur!BL186*Calculateur!BN186*VLOOKUP('Données projet'!$B$11,Paramètres!$A$1:$I$89,3,0)*0.475*44/12</f>
        <v>9.2021697572834569</v>
      </c>
      <c r="BR186" s="21">
        <f>EXP(-LN(2)/2)*BR185+(1-EXP(-LN(2)/2))/(LN(2)/2)*BL186*BO186*VLOOKUP('Données projet'!$B$11,Paramètres!$A$1:$I$89,3,0)*0.475*44/12</f>
        <v>6.5585054408486679E-6</v>
      </c>
      <c r="BS186" s="22">
        <f t="shared" si="169"/>
        <v>60.832229267704577</v>
      </c>
      <c r="BT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0</v>
      </c>
      <c r="BZ186" s="13" t="e">
        <f>BY186*VLOOKUP('Données projet'!$B$12,Paramètres!$A$1:$I$89,3,0)*VLOOKUP('Données projet'!$B$12,Paramètres!$A$1:$I$89,5,0)</f>
        <v>#N/A</v>
      </c>
      <c r="CA186" s="13" t="e">
        <f t="shared" si="170"/>
        <v>#N/A</v>
      </c>
      <c r="CB186" s="20" t="e">
        <f t="shared" si="171"/>
        <v>#N/A</v>
      </c>
      <c r="CC186" s="59" t="e">
        <f t="shared" si="119"/>
        <v>#N/A</v>
      </c>
      <c r="CD186" s="59" t="e">
        <f ca="1">AVERAGE(OFFSET($CC$3,0,0,'Données projet'!$E$12+1,1))-AVERAGE(OFFSET($H$3,0,0,'Données projet'!$E$12+1,1))</f>
        <v>#N/A</v>
      </c>
      <c r="CE186" s="59" t="e">
        <f t="shared" si="148"/>
        <v>#N/A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 t="e">
        <f>EXP(-LN(2)/35)*CK185+(1-EXP(-LN(2)/35))/(LN(2)/35)*CG186*CH186*VLOOKUP('Données projet'!$B$12,Paramètres!$A$1:$I$89,3,0)*0.475*44/12</f>
        <v>#N/A</v>
      </c>
      <c r="CL186" s="21" t="e">
        <f>EXP(-LN(2)/25)*CL185+(1-EXP(-LN(2)/25))/(LN(2)/25)*Calculateur!CG186*Calculateur!CI186*VLOOKUP('Données projet'!$B$12,Paramètres!$A$1:$I$89,3,0)*0.475*44/12</f>
        <v>#N/A</v>
      </c>
      <c r="CM186" s="21" t="e">
        <f>EXP(-LN(2)/2)*CM185+(1-EXP(-LN(2)/2))/(LN(2)/2)*CG186*CJ186*VLOOKUP('Données projet'!$B$12,Paramètres!$A$1:$I$89,3,0)*0.475*44/12</f>
        <v>#N/A</v>
      </c>
      <c r="CN186" s="22" t="e">
        <f t="shared" si="172"/>
        <v>#N/A</v>
      </c>
      <c r="CO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0</v>
      </c>
      <c r="CU186" s="17" t="e">
        <f>CT186*VLOOKUP('Données projet'!$B$13,Paramètres!$A$1:$I$89,3,0)*VLOOKUP('Données projet'!$B$13,Paramètres!$A$1:$I$89,5,0)</f>
        <v>#N/A</v>
      </c>
      <c r="CV186" s="13" t="e">
        <f t="shared" si="173"/>
        <v>#N/A</v>
      </c>
      <c r="CW186" s="20" t="e">
        <f t="shared" si="174"/>
        <v>#N/A</v>
      </c>
      <c r="CX186" s="59" t="e">
        <f t="shared" si="122"/>
        <v>#N/A</v>
      </c>
      <c r="CY186" s="59" t="e">
        <f ca="1">AVERAGE(OFFSET($CX$3,0,0,'Données projet'!$E$13+1,1))-AVERAGE(OFFSET($H$3,0,0,'Données projet'!$E$13+1,1))</f>
        <v>#N/A</v>
      </c>
      <c r="CZ186" s="59" t="e">
        <f t="shared" si="150"/>
        <v>#N/A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 t="e">
        <f>EXP(-LN(2)/35)*DF185+(1-EXP(-LN(2)/35))/(LN(2)/35)*DB186*DC186*VLOOKUP('Données projet'!$B$13,Paramètres!$A$1:$I$89,3,0)*0.475*44/12</f>
        <v>#N/A</v>
      </c>
      <c r="DG186" s="21" t="e">
        <f>EXP(-LN(2)/25)*DG185+(1-EXP(-LN(2)/25))/(LN(2)/25)*Calculateur!DB186*Calculateur!DD186*VLOOKUP('Données projet'!$B$13,Paramètres!$A$1:$I$89,3,0)*0.475*44/12</f>
        <v>#N/A</v>
      </c>
      <c r="DH186" s="21" t="e">
        <f>EXP(-LN(2)/2)*DH185+(1-EXP(-LN(2)/2))/(LN(2)/2)*DB186*DE186*VLOOKUP('Données projet'!$B$13,Paramètres!$A$1:$I$89,3,0)*0.475*44/12</f>
        <v>#N/A</v>
      </c>
      <c r="DI186" s="22" t="e">
        <f t="shared" si="175"/>
        <v>#N/A</v>
      </c>
      <c r="DJ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0</v>
      </c>
      <c r="DP186" s="17" t="e">
        <f>DO186*VLOOKUP('Données projet'!$B$14,Paramètres!$A$1:$I$89,3,0)*VLOOKUP('Données projet'!$B$14,Paramètres!$A$1:$I$89,5,0)</f>
        <v>#N/A</v>
      </c>
      <c r="DQ186" s="13" t="e">
        <f t="shared" si="176"/>
        <v>#N/A</v>
      </c>
      <c r="DR186" s="20" t="e">
        <f t="shared" si="177"/>
        <v>#N/A</v>
      </c>
      <c r="DS186" s="59" t="e">
        <f t="shared" si="125"/>
        <v>#N/A</v>
      </c>
      <c r="DT186" s="59" t="e">
        <f ca="1">AVERAGE(OFFSET($DS$3,0,0,'Données projet'!$E$14+1,1))-AVERAGE(OFFSET($H$3,0,0,'Données projet'!$E$14+1,1))</f>
        <v>#N/A</v>
      </c>
      <c r="DU186" s="59" t="e">
        <f t="shared" si="152"/>
        <v>#N/A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 t="e">
        <f>EXP(-LN(2)/35)*EA185+(1-EXP(-LN(2)/35))/(LN(2)/35)*DW186*DX186*VLOOKUP('Données projet'!$B$14,Paramètres!$A$1:$I$89,3,0)*0.475*44/12</f>
        <v>#N/A</v>
      </c>
      <c r="EB186" s="21" t="e">
        <f>EXP(-LN(2)/25)*EB185+(1-EXP(-LN(2)/25))/(LN(2)/25)*Calculateur!DW186*Calculateur!DY186*VLOOKUP('Données projet'!$B$14,Paramètres!$A$1:$I$89,3,0)*0.475*44/12</f>
        <v>#N/A</v>
      </c>
      <c r="EC186" s="21" t="e">
        <f>EXP(-LN(2)/2)*EC185+(1-EXP(-LN(2)/2))/(LN(2)/2)*DW186*DZ186*VLOOKUP('Données projet'!$B$14,Paramètres!$A$1:$I$89,3,0)*0.475*44/12</f>
        <v>#N/A</v>
      </c>
      <c r="ED186" s="22" t="e">
        <f t="shared" si="178"/>
        <v>#N/A</v>
      </c>
      <c r="EE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0</v>
      </c>
      <c r="EK186" s="17" t="e">
        <f>EJ186*VLOOKUP('Données projet'!$B$15,Paramètres!$A$1:$I$89,3,0)*VLOOKUP('Données projet'!$B$15,Paramètres!$A$1:$I$89,5,0)</f>
        <v>#N/A</v>
      </c>
      <c r="EL186" s="13" t="e">
        <f t="shared" si="179"/>
        <v>#N/A</v>
      </c>
      <c r="EM186" s="20" t="e">
        <f t="shared" si="180"/>
        <v>#N/A</v>
      </c>
      <c r="EN186" s="59" t="e">
        <f t="shared" si="128"/>
        <v>#N/A</v>
      </c>
      <c r="EO186" s="59" t="e">
        <f ca="1">AVERAGE(OFFSET($EN$3,0,0,'Données projet'!$E$15+1,1))-AVERAGE(OFFSET($H$3,0,0,'Données projet'!$E$15+1,1))</f>
        <v>#N/A</v>
      </c>
      <c r="EP186" s="59" t="e">
        <f t="shared" si="154"/>
        <v>#N/A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 t="e">
        <f>EXP(-LN(2)/35)*EV185+(1-EXP(-LN(2)/35))/(LN(2)/35)*ER186*ES186*VLOOKUP('Données projet'!$B$15,Paramètres!$A$1:$I$89,3,0)*0.475*44/12</f>
        <v>#N/A</v>
      </c>
      <c r="EW186" s="21" t="e">
        <f>EXP(-LN(2)/25)*EW185+(1-EXP(-LN(2)/25))/(LN(2)/25)*Calculateur!ER186*Calculateur!ET186*VLOOKUP('Données projet'!$B$15,Paramètres!$A$1:$I$89,3,0)*0.475*44/12</f>
        <v>#N/A</v>
      </c>
      <c r="EX186" s="21" t="e">
        <f>EXP(-LN(2)/2)*EX185+(1-EXP(-LN(2)/2))/(LN(2)/2)*ER186*EU186*VLOOKUP('Données projet'!$B$15,Paramètres!$A$1:$I$89,3,0)*0.475*44/12</f>
        <v>#N/A</v>
      </c>
      <c r="EY186" s="22" t="e">
        <f t="shared" si="181"/>
        <v>#N/A</v>
      </c>
      <c r="EZ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9" t="e">
        <f t="shared" si="131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45">
      <c r="A187" s="10">
        <f t="shared" si="161"/>
        <v>184</v>
      </c>
      <c r="B187" s="73">
        <f>'Scénario référence'!$B$16*5+'Scénario référence'!$B$17*0+'Scénario référence'!$B$18*5</f>
        <v>0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163.61279999999977</v>
      </c>
      <c r="D187" s="11">
        <f t="shared" si="140"/>
        <v>41.656330547871768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">
        <f>IF(OR('Scénario référence'!$F$8&gt;0,'Scénario référence'!$F$9&gt;0),('Scénario référence'!$F$8+'Scénario référence'!$F$9)*10,0)</f>
        <v>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1584.533639316903</v>
      </c>
      <c r="H187" s="67">
        <f t="shared" si="110"/>
        <v>614.17706903754288</v>
      </c>
      <c r="I187" s="7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1.7053025658242404E-13</v>
      </c>
      <c r="O187" s="13">
        <f>N187*VLOOKUP('Données projet'!$B$9,Paramètres!$A$1:$I$89,3,0)*VLOOKUP('Données projet'!$B$9,Paramètres!$A$1:$I$89,5,0)</f>
        <v>9.5326413429575044E-14</v>
      </c>
      <c r="P187" s="13">
        <f t="shared" si="141"/>
        <v>1.4400742856080346E-12</v>
      </c>
      <c r="Q187" s="20">
        <f t="shared" si="162"/>
        <v>2.6741562174905032E-12</v>
      </c>
      <c r="R187" s="59">
        <f t="shared" si="109"/>
        <v>293.33333333333599</v>
      </c>
      <c r="S187" s="59">
        <f ca="1">AVERAGE(OFFSET($R$3,0,0,'Données projet'!$E$9+1,1))-AVERAGE(OFFSET($H$3,0,0,'Données projet'!$E$9+1,1))</f>
        <v>280.69347314340195</v>
      </c>
      <c r="T187" s="59">
        <f t="shared" si="142"/>
        <v>152.40533828556482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48.044443941134872</v>
      </c>
      <c r="AA187" s="21">
        <f>EXP(-LN(2)/25)*AA186+(1-EXP(-LN(2)/25))/(LN(2)/25)*Calculateur!V187*Calculateur!X187*VLOOKUP('Données projet'!$B$9,Paramètres!$A$1:$I$89,3,0)*0.475*44/12</f>
        <v>9.2607736678438588</v>
      </c>
      <c r="AB187" s="21">
        <f>EXP(-LN(2)/2)*AB186+(1-EXP(-LN(2)/2))/(LN(2)/2)*V187*Y187*VLOOKUP('Données projet'!$B$9,Paramètres!$A$1:$I$89,3,0)*0.475*44/12</f>
        <v>1.4466533321852464E-8</v>
      </c>
      <c r="AC187" s="22">
        <f t="shared" si="163"/>
        <v>57.305217623445266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0</v>
      </c>
      <c r="AJ187" s="13">
        <f>AI187*VLOOKUP('Données projet'!$B$10,Paramètres!$A$1:$I$89,3,0)*VLOOKUP('Données projet'!$B$10,Paramètres!$A$1:$I$89,5,0)</f>
        <v>0</v>
      </c>
      <c r="AK187" s="13" t="e">
        <f t="shared" si="164"/>
        <v>#NUM!</v>
      </c>
      <c r="AL187" s="20" t="e">
        <f t="shared" si="165"/>
        <v>#NUM!</v>
      </c>
      <c r="AM187" s="59" t="e">
        <f t="shared" si="113"/>
        <v>#NUM!</v>
      </c>
      <c r="AN187" s="59">
        <f ca="1">AVERAGE(OFFSET($AM$3,0,0,'Données projet'!$E$10+1,1))-AVERAGE(OFFSET($H$3,0,0,'Données projet'!$E$10+1,1))</f>
        <v>179.4725256147085</v>
      </c>
      <c r="AO187" s="59">
        <f t="shared" si="144"/>
        <v>282.16750121151176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12.388528243370855</v>
      </c>
      <c r="AV187" s="21">
        <f>EXP(-LN(2)/25)*AV186+(1-EXP(-LN(2)/25))/(LN(2)/25)*Calculateur!AQ187*Calculateur!AS187*VLOOKUP('Données projet'!$B$10,Paramètres!$A$1:$I$89,3,0)*0.475*44/12</f>
        <v>1.5698952595116005</v>
      </c>
      <c r="AW187" s="21">
        <f>EXP(-LN(2)/2)*AW186+(1-EXP(-LN(2)/2))/(LN(2)/2)*AQ187*AT187*VLOOKUP('Données projet'!$B$10,Paramètres!$A$1:$I$89,3,0)*0.475*44/12</f>
        <v>9.3502458108430576E-18</v>
      </c>
      <c r="AX187" s="21">
        <f t="shared" si="166"/>
        <v>13.958423502882455</v>
      </c>
      <c r="AY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6.2527760746888816E-13</v>
      </c>
      <c r="BE187" s="13">
        <f>BD187*VLOOKUP('Données projet'!$B$11,Paramètres!$A$1:$I$89,3,0)*VLOOKUP('Données projet'!$B$11,Paramètres!$A$1:$I$89,5,0)</f>
        <v>5.3648818720830608E-13</v>
      </c>
      <c r="BF187" s="13">
        <f t="shared" si="167"/>
        <v>6.6281362235424649E-12</v>
      </c>
      <c r="BG187" s="20">
        <f t="shared" si="168"/>
        <v>1.2478387515390925E-11</v>
      </c>
      <c r="BH187" s="59">
        <f t="shared" si="116"/>
        <v>293.33333333334582</v>
      </c>
      <c r="BI187" s="59">
        <f ca="1">AVERAGE(OFFSET($BH$3,0,0,'Données projet'!$E$11+1,1))-AVERAGE(OFFSET($H$3,0,0,'Données projet'!$E$11+1,1))</f>
        <v>312.89478437044261</v>
      </c>
      <c r="BJ187" s="59">
        <f t="shared" si="146"/>
        <v>276.16555507854571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>
        <f>EXP(-LN(2)/35)*BP186+(1-EXP(-LN(2)/35))/(LN(2)/35)*BL187*BM187*VLOOKUP('Données projet'!$B$11,Paramètres!$A$1:$I$89,3,0)*0.475*44/12</f>
        <v>50.617619104751412</v>
      </c>
      <c r="BQ187" s="21">
        <f>EXP(-LN(2)/25)*BQ186+(1-EXP(-LN(2)/25))/(LN(2)/25)*Calculateur!BL187*Calculateur!BN187*VLOOKUP('Données projet'!$B$11,Paramètres!$A$1:$I$89,3,0)*0.475*44/12</f>
        <v>8.9505359413494645</v>
      </c>
      <c r="BR187" s="21">
        <f>EXP(-LN(2)/2)*BR186+(1-EXP(-LN(2)/2))/(LN(2)/2)*BL187*BO187*VLOOKUP('Données projet'!$B$11,Paramètres!$A$1:$I$89,3,0)*0.475*44/12</f>
        <v>4.6375636716729604E-6</v>
      </c>
      <c r="BS187" s="22">
        <f t="shared" si="169"/>
        <v>59.568159683664547</v>
      </c>
      <c r="BT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0</v>
      </c>
      <c r="BZ187" s="13" t="e">
        <f>BY187*VLOOKUP('Données projet'!$B$12,Paramètres!$A$1:$I$89,3,0)*VLOOKUP('Données projet'!$B$12,Paramètres!$A$1:$I$89,5,0)</f>
        <v>#N/A</v>
      </c>
      <c r="CA187" s="13" t="e">
        <f t="shared" si="170"/>
        <v>#N/A</v>
      </c>
      <c r="CB187" s="20" t="e">
        <f t="shared" si="171"/>
        <v>#N/A</v>
      </c>
      <c r="CC187" s="59" t="e">
        <f t="shared" si="119"/>
        <v>#N/A</v>
      </c>
      <c r="CD187" s="59" t="e">
        <f ca="1">AVERAGE(OFFSET($CC$3,0,0,'Données projet'!$E$12+1,1))-AVERAGE(OFFSET($H$3,0,0,'Données projet'!$E$12+1,1))</f>
        <v>#N/A</v>
      </c>
      <c r="CE187" s="59" t="e">
        <f t="shared" si="148"/>
        <v>#N/A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 t="e">
        <f>EXP(-LN(2)/35)*CK186+(1-EXP(-LN(2)/35))/(LN(2)/35)*CG187*CH187*VLOOKUP('Données projet'!$B$12,Paramètres!$A$1:$I$89,3,0)*0.475*44/12</f>
        <v>#N/A</v>
      </c>
      <c r="CL187" s="21" t="e">
        <f>EXP(-LN(2)/25)*CL186+(1-EXP(-LN(2)/25))/(LN(2)/25)*Calculateur!CG187*Calculateur!CI187*VLOOKUP('Données projet'!$B$12,Paramètres!$A$1:$I$89,3,0)*0.475*44/12</f>
        <v>#N/A</v>
      </c>
      <c r="CM187" s="21" t="e">
        <f>EXP(-LN(2)/2)*CM186+(1-EXP(-LN(2)/2))/(LN(2)/2)*CG187*CJ187*VLOOKUP('Données projet'!$B$12,Paramètres!$A$1:$I$89,3,0)*0.475*44/12</f>
        <v>#N/A</v>
      </c>
      <c r="CN187" s="22" t="e">
        <f t="shared" si="172"/>
        <v>#N/A</v>
      </c>
      <c r="CO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0</v>
      </c>
      <c r="CU187" s="17" t="e">
        <f>CT187*VLOOKUP('Données projet'!$B$13,Paramètres!$A$1:$I$89,3,0)*VLOOKUP('Données projet'!$B$13,Paramètres!$A$1:$I$89,5,0)</f>
        <v>#N/A</v>
      </c>
      <c r="CV187" s="13" t="e">
        <f t="shared" si="173"/>
        <v>#N/A</v>
      </c>
      <c r="CW187" s="20" t="e">
        <f t="shared" si="174"/>
        <v>#N/A</v>
      </c>
      <c r="CX187" s="59" t="e">
        <f t="shared" si="122"/>
        <v>#N/A</v>
      </c>
      <c r="CY187" s="59" t="e">
        <f ca="1">AVERAGE(OFFSET($CX$3,0,0,'Données projet'!$E$13+1,1))-AVERAGE(OFFSET($H$3,0,0,'Données projet'!$E$13+1,1))</f>
        <v>#N/A</v>
      </c>
      <c r="CZ187" s="59" t="e">
        <f t="shared" si="150"/>
        <v>#N/A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 t="e">
        <f>EXP(-LN(2)/35)*DF186+(1-EXP(-LN(2)/35))/(LN(2)/35)*DB187*DC187*VLOOKUP('Données projet'!$B$13,Paramètres!$A$1:$I$89,3,0)*0.475*44/12</f>
        <v>#N/A</v>
      </c>
      <c r="DG187" s="21" t="e">
        <f>EXP(-LN(2)/25)*DG186+(1-EXP(-LN(2)/25))/(LN(2)/25)*Calculateur!DB187*Calculateur!DD187*VLOOKUP('Données projet'!$B$13,Paramètres!$A$1:$I$89,3,0)*0.475*44/12</f>
        <v>#N/A</v>
      </c>
      <c r="DH187" s="21" t="e">
        <f>EXP(-LN(2)/2)*DH186+(1-EXP(-LN(2)/2))/(LN(2)/2)*DB187*DE187*VLOOKUP('Données projet'!$B$13,Paramètres!$A$1:$I$89,3,0)*0.475*44/12</f>
        <v>#N/A</v>
      </c>
      <c r="DI187" s="22" t="e">
        <f t="shared" si="175"/>
        <v>#N/A</v>
      </c>
      <c r="DJ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0</v>
      </c>
      <c r="DP187" s="17" t="e">
        <f>DO187*VLOOKUP('Données projet'!$B$14,Paramètres!$A$1:$I$89,3,0)*VLOOKUP('Données projet'!$B$14,Paramètres!$A$1:$I$89,5,0)</f>
        <v>#N/A</v>
      </c>
      <c r="DQ187" s="13" t="e">
        <f t="shared" si="176"/>
        <v>#N/A</v>
      </c>
      <c r="DR187" s="20" t="e">
        <f t="shared" si="177"/>
        <v>#N/A</v>
      </c>
      <c r="DS187" s="59" t="e">
        <f t="shared" si="125"/>
        <v>#N/A</v>
      </c>
      <c r="DT187" s="59" t="e">
        <f ca="1">AVERAGE(OFFSET($DS$3,0,0,'Données projet'!$E$14+1,1))-AVERAGE(OFFSET($H$3,0,0,'Données projet'!$E$14+1,1))</f>
        <v>#N/A</v>
      </c>
      <c r="DU187" s="59" t="e">
        <f t="shared" si="152"/>
        <v>#N/A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 t="e">
        <f>EXP(-LN(2)/35)*EA186+(1-EXP(-LN(2)/35))/(LN(2)/35)*DW187*DX187*VLOOKUP('Données projet'!$B$14,Paramètres!$A$1:$I$89,3,0)*0.475*44/12</f>
        <v>#N/A</v>
      </c>
      <c r="EB187" s="21" t="e">
        <f>EXP(-LN(2)/25)*EB186+(1-EXP(-LN(2)/25))/(LN(2)/25)*Calculateur!DW187*Calculateur!DY187*VLOOKUP('Données projet'!$B$14,Paramètres!$A$1:$I$89,3,0)*0.475*44/12</f>
        <v>#N/A</v>
      </c>
      <c r="EC187" s="21" t="e">
        <f>EXP(-LN(2)/2)*EC186+(1-EXP(-LN(2)/2))/(LN(2)/2)*DW187*DZ187*VLOOKUP('Données projet'!$B$14,Paramètres!$A$1:$I$89,3,0)*0.475*44/12</f>
        <v>#N/A</v>
      </c>
      <c r="ED187" s="22" t="e">
        <f t="shared" si="178"/>
        <v>#N/A</v>
      </c>
      <c r="EE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0</v>
      </c>
      <c r="EK187" s="17" t="e">
        <f>EJ187*VLOOKUP('Données projet'!$B$15,Paramètres!$A$1:$I$89,3,0)*VLOOKUP('Données projet'!$B$15,Paramètres!$A$1:$I$89,5,0)</f>
        <v>#N/A</v>
      </c>
      <c r="EL187" s="13" t="e">
        <f t="shared" si="179"/>
        <v>#N/A</v>
      </c>
      <c r="EM187" s="20" t="e">
        <f t="shared" si="180"/>
        <v>#N/A</v>
      </c>
      <c r="EN187" s="59" t="e">
        <f t="shared" si="128"/>
        <v>#N/A</v>
      </c>
      <c r="EO187" s="59" t="e">
        <f ca="1">AVERAGE(OFFSET($EN$3,0,0,'Données projet'!$E$15+1,1))-AVERAGE(OFFSET($H$3,0,0,'Données projet'!$E$15+1,1))</f>
        <v>#N/A</v>
      </c>
      <c r="EP187" s="59" t="e">
        <f t="shared" si="154"/>
        <v>#N/A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 t="e">
        <f>EXP(-LN(2)/35)*EV186+(1-EXP(-LN(2)/35))/(LN(2)/35)*ER187*ES187*VLOOKUP('Données projet'!$B$15,Paramètres!$A$1:$I$89,3,0)*0.475*44/12</f>
        <v>#N/A</v>
      </c>
      <c r="EW187" s="21" t="e">
        <f>EXP(-LN(2)/25)*EW186+(1-EXP(-LN(2)/25))/(LN(2)/25)*Calculateur!ER187*Calculateur!ET187*VLOOKUP('Données projet'!$B$15,Paramètres!$A$1:$I$89,3,0)*0.475*44/12</f>
        <v>#N/A</v>
      </c>
      <c r="EX187" s="21" t="e">
        <f>EXP(-LN(2)/2)*EX186+(1-EXP(-LN(2)/2))/(LN(2)/2)*ER187*EU187*VLOOKUP('Données projet'!$B$15,Paramètres!$A$1:$I$89,3,0)*0.475*44/12</f>
        <v>#N/A</v>
      </c>
      <c r="EY187" s="22" t="e">
        <f t="shared" si="181"/>
        <v>#N/A</v>
      </c>
      <c r="EZ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9" t="e">
        <f t="shared" si="131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45">
      <c r="A188" s="10">
        <f t="shared" si="161"/>
        <v>185</v>
      </c>
      <c r="B188" s="73">
        <f>'Scénario référence'!$B$16*5+'Scénario référence'!$B$17*0+'Scénario référence'!$B$18*5</f>
        <v>0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164.50199999999975</v>
      </c>
      <c r="D188" s="11">
        <f t="shared" si="140"/>
        <v>41.856308345523843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">
        <f>IF(OR('Scénario référence'!$F$8&gt;0,'Scénario référence'!$F$9&gt;0),('Scénario référence'!$F$8+'Scénario référence'!$F$9)*10,0)</f>
        <v>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1592.9413275794805</v>
      </c>
      <c r="H188" s="67">
        <f t="shared" si="110"/>
        <v>616.07405370178697</v>
      </c>
      <c r="I188" s="7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1.7053025658242404E-13</v>
      </c>
      <c r="O188" s="13">
        <f>N188*VLOOKUP('Données projet'!$B$9,Paramètres!$A$1:$I$89,3,0)*VLOOKUP('Données projet'!$B$9,Paramètres!$A$1:$I$89,5,0)</f>
        <v>9.5326413429575044E-14</v>
      </c>
      <c r="P188" s="13">
        <f t="shared" si="141"/>
        <v>1.4400742856080346E-12</v>
      </c>
      <c r="Q188" s="20">
        <f t="shared" si="162"/>
        <v>2.6741562174905032E-12</v>
      </c>
      <c r="R188" s="59">
        <f t="shared" si="109"/>
        <v>293.33333333333599</v>
      </c>
      <c r="S188" s="59">
        <f ca="1">AVERAGE(OFFSET($R$3,0,0,'Données projet'!$E$9+1,1))-AVERAGE(OFFSET($H$3,0,0,'Données projet'!$E$9+1,1))</f>
        <v>280.69347314340195</v>
      </c>
      <c r="T188" s="59">
        <f t="shared" si="142"/>
        <v>152.40533828556482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47.102321699666469</v>
      </c>
      <c r="AA188" s="21">
        <f>EXP(-LN(2)/25)*AA187+(1-EXP(-LN(2)/25))/(LN(2)/25)*Calculateur!V188*Calculateur!X188*VLOOKUP('Données projet'!$B$9,Paramètres!$A$1:$I$89,3,0)*0.475*44/12</f>
        <v>9.0075373248937467</v>
      </c>
      <c r="AB188" s="21">
        <f>EXP(-LN(2)/2)*AB187+(1-EXP(-LN(2)/2))/(LN(2)/2)*V188*Y188*VLOOKUP('Données projet'!$B$9,Paramètres!$A$1:$I$89,3,0)*0.475*44/12</f>
        <v>1.022938381214303E-8</v>
      </c>
      <c r="AC188" s="22">
        <f t="shared" si="163"/>
        <v>56.109859034789601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0</v>
      </c>
      <c r="AJ188" s="13">
        <f>AI188*VLOOKUP('Données projet'!$B$10,Paramètres!$A$1:$I$89,3,0)*VLOOKUP('Données projet'!$B$10,Paramètres!$A$1:$I$89,5,0)</f>
        <v>0</v>
      </c>
      <c r="AK188" s="13" t="e">
        <f t="shared" si="164"/>
        <v>#NUM!</v>
      </c>
      <c r="AL188" s="20" t="e">
        <f t="shared" si="165"/>
        <v>#NUM!</v>
      </c>
      <c r="AM188" s="59" t="e">
        <f t="shared" si="113"/>
        <v>#NUM!</v>
      </c>
      <c r="AN188" s="59">
        <f ca="1">AVERAGE(OFFSET($AM$3,0,0,'Données projet'!$E$10+1,1))-AVERAGE(OFFSET($H$3,0,0,'Données projet'!$E$10+1,1))</f>
        <v>179.4725256147085</v>
      </c>
      <c r="AO188" s="59">
        <f t="shared" si="144"/>
        <v>282.16750121151176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12.145596760774463</v>
      </c>
      <c r="AV188" s="21">
        <f>EXP(-LN(2)/25)*AV187+(1-EXP(-LN(2)/25))/(LN(2)/25)*Calculateur!AQ188*Calculateur!AS188*VLOOKUP('Données projet'!$B$10,Paramètres!$A$1:$I$89,3,0)*0.475*44/12</f>
        <v>1.5269663910830522</v>
      </c>
      <c r="AW188" s="21">
        <f>EXP(-LN(2)/2)*AW187+(1-EXP(-LN(2)/2))/(LN(2)/2)*AQ188*AT188*VLOOKUP('Données projet'!$B$10,Paramètres!$A$1:$I$89,3,0)*0.475*44/12</f>
        <v>6.6116222186082346E-18</v>
      </c>
      <c r="AX188" s="21">
        <f t="shared" si="166"/>
        <v>13.672563151857515</v>
      </c>
      <c r="AY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6.2527760746888816E-13</v>
      </c>
      <c r="BE188" s="13">
        <f>BD188*VLOOKUP('Données projet'!$B$11,Paramètres!$A$1:$I$89,3,0)*VLOOKUP('Données projet'!$B$11,Paramètres!$A$1:$I$89,5,0)</f>
        <v>5.3648818720830608E-13</v>
      </c>
      <c r="BF188" s="13">
        <f t="shared" si="167"/>
        <v>6.6281362235424649E-12</v>
      </c>
      <c r="BG188" s="20">
        <f t="shared" si="168"/>
        <v>1.2478387515390925E-11</v>
      </c>
      <c r="BH188" s="59">
        <f t="shared" si="116"/>
        <v>293.33333333334582</v>
      </c>
      <c r="BI188" s="59">
        <f ca="1">AVERAGE(OFFSET($BH$3,0,0,'Données projet'!$E$11+1,1))-AVERAGE(OFFSET($H$3,0,0,'Données projet'!$E$11+1,1))</f>
        <v>312.89478437044261</v>
      </c>
      <c r="BJ188" s="59">
        <f t="shared" si="146"/>
        <v>276.16555507854571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>
        <f>EXP(-LN(2)/35)*BP187+(1-EXP(-LN(2)/35))/(LN(2)/35)*BL188*BM188*VLOOKUP('Données projet'!$B$11,Paramètres!$A$1:$I$89,3,0)*0.475*44/12</f>
        <v>49.62503846780637</v>
      </c>
      <c r="BQ188" s="21">
        <f>EXP(-LN(2)/25)*BQ187+(1-EXP(-LN(2)/25))/(LN(2)/25)*Calculateur!BL188*Calculateur!BN188*VLOOKUP('Données projet'!$B$11,Paramètres!$A$1:$I$89,3,0)*0.475*44/12</f>
        <v>8.7057830653450345</v>
      </c>
      <c r="BR188" s="21">
        <f>EXP(-LN(2)/2)*BR187+(1-EXP(-LN(2)/2))/(LN(2)/2)*BL188*BO188*VLOOKUP('Données projet'!$B$11,Paramètres!$A$1:$I$89,3,0)*0.475*44/12</f>
        <v>3.279252720424334E-6</v>
      </c>
      <c r="BS188" s="22">
        <f t="shared" si="169"/>
        <v>58.330824812404131</v>
      </c>
      <c r="BT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0</v>
      </c>
      <c r="BZ188" s="13" t="e">
        <f>BY188*VLOOKUP('Données projet'!$B$12,Paramètres!$A$1:$I$89,3,0)*VLOOKUP('Données projet'!$B$12,Paramètres!$A$1:$I$89,5,0)</f>
        <v>#N/A</v>
      </c>
      <c r="CA188" s="13" t="e">
        <f t="shared" si="170"/>
        <v>#N/A</v>
      </c>
      <c r="CB188" s="20" t="e">
        <f t="shared" si="171"/>
        <v>#N/A</v>
      </c>
      <c r="CC188" s="59" t="e">
        <f t="shared" si="119"/>
        <v>#N/A</v>
      </c>
      <c r="CD188" s="59" t="e">
        <f ca="1">AVERAGE(OFFSET($CC$3,0,0,'Données projet'!$E$12+1,1))-AVERAGE(OFFSET($H$3,0,0,'Données projet'!$E$12+1,1))</f>
        <v>#N/A</v>
      </c>
      <c r="CE188" s="59" t="e">
        <f t="shared" si="148"/>
        <v>#N/A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 t="e">
        <f>EXP(-LN(2)/35)*CK187+(1-EXP(-LN(2)/35))/(LN(2)/35)*CG188*CH188*VLOOKUP('Données projet'!$B$12,Paramètres!$A$1:$I$89,3,0)*0.475*44/12</f>
        <v>#N/A</v>
      </c>
      <c r="CL188" s="21" t="e">
        <f>EXP(-LN(2)/25)*CL187+(1-EXP(-LN(2)/25))/(LN(2)/25)*Calculateur!CG188*Calculateur!CI188*VLOOKUP('Données projet'!$B$12,Paramètres!$A$1:$I$89,3,0)*0.475*44/12</f>
        <v>#N/A</v>
      </c>
      <c r="CM188" s="21" t="e">
        <f>EXP(-LN(2)/2)*CM187+(1-EXP(-LN(2)/2))/(LN(2)/2)*CG188*CJ188*VLOOKUP('Données projet'!$B$12,Paramètres!$A$1:$I$89,3,0)*0.475*44/12</f>
        <v>#N/A</v>
      </c>
      <c r="CN188" s="22" t="e">
        <f t="shared" si="172"/>
        <v>#N/A</v>
      </c>
      <c r="CO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0</v>
      </c>
      <c r="CU188" s="17" t="e">
        <f>CT188*VLOOKUP('Données projet'!$B$13,Paramètres!$A$1:$I$89,3,0)*VLOOKUP('Données projet'!$B$13,Paramètres!$A$1:$I$89,5,0)</f>
        <v>#N/A</v>
      </c>
      <c r="CV188" s="13" t="e">
        <f t="shared" si="173"/>
        <v>#N/A</v>
      </c>
      <c r="CW188" s="20" t="e">
        <f t="shared" si="174"/>
        <v>#N/A</v>
      </c>
      <c r="CX188" s="59" t="e">
        <f t="shared" si="122"/>
        <v>#N/A</v>
      </c>
      <c r="CY188" s="59" t="e">
        <f ca="1">AVERAGE(OFFSET($CX$3,0,0,'Données projet'!$E$13+1,1))-AVERAGE(OFFSET($H$3,0,0,'Données projet'!$E$13+1,1))</f>
        <v>#N/A</v>
      </c>
      <c r="CZ188" s="59" t="e">
        <f t="shared" si="150"/>
        <v>#N/A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 t="e">
        <f>EXP(-LN(2)/35)*DF187+(1-EXP(-LN(2)/35))/(LN(2)/35)*DB188*DC188*VLOOKUP('Données projet'!$B$13,Paramètres!$A$1:$I$89,3,0)*0.475*44/12</f>
        <v>#N/A</v>
      </c>
      <c r="DG188" s="21" t="e">
        <f>EXP(-LN(2)/25)*DG187+(1-EXP(-LN(2)/25))/(LN(2)/25)*Calculateur!DB188*Calculateur!DD188*VLOOKUP('Données projet'!$B$13,Paramètres!$A$1:$I$89,3,0)*0.475*44/12</f>
        <v>#N/A</v>
      </c>
      <c r="DH188" s="21" t="e">
        <f>EXP(-LN(2)/2)*DH187+(1-EXP(-LN(2)/2))/(LN(2)/2)*DB188*DE188*VLOOKUP('Données projet'!$B$13,Paramètres!$A$1:$I$89,3,0)*0.475*44/12</f>
        <v>#N/A</v>
      </c>
      <c r="DI188" s="22" t="e">
        <f t="shared" si="175"/>
        <v>#N/A</v>
      </c>
      <c r="DJ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0</v>
      </c>
      <c r="DP188" s="17" t="e">
        <f>DO188*VLOOKUP('Données projet'!$B$14,Paramètres!$A$1:$I$89,3,0)*VLOOKUP('Données projet'!$B$14,Paramètres!$A$1:$I$89,5,0)</f>
        <v>#N/A</v>
      </c>
      <c r="DQ188" s="13" t="e">
        <f t="shared" si="176"/>
        <v>#N/A</v>
      </c>
      <c r="DR188" s="20" t="e">
        <f t="shared" si="177"/>
        <v>#N/A</v>
      </c>
      <c r="DS188" s="59" t="e">
        <f t="shared" si="125"/>
        <v>#N/A</v>
      </c>
      <c r="DT188" s="59" t="e">
        <f ca="1">AVERAGE(OFFSET($DS$3,0,0,'Données projet'!$E$14+1,1))-AVERAGE(OFFSET($H$3,0,0,'Données projet'!$E$14+1,1))</f>
        <v>#N/A</v>
      </c>
      <c r="DU188" s="59" t="e">
        <f t="shared" si="152"/>
        <v>#N/A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 t="e">
        <f>EXP(-LN(2)/35)*EA187+(1-EXP(-LN(2)/35))/(LN(2)/35)*DW188*DX188*VLOOKUP('Données projet'!$B$14,Paramètres!$A$1:$I$89,3,0)*0.475*44/12</f>
        <v>#N/A</v>
      </c>
      <c r="EB188" s="21" t="e">
        <f>EXP(-LN(2)/25)*EB187+(1-EXP(-LN(2)/25))/(LN(2)/25)*Calculateur!DW188*Calculateur!DY188*VLOOKUP('Données projet'!$B$14,Paramètres!$A$1:$I$89,3,0)*0.475*44/12</f>
        <v>#N/A</v>
      </c>
      <c r="EC188" s="21" t="e">
        <f>EXP(-LN(2)/2)*EC187+(1-EXP(-LN(2)/2))/(LN(2)/2)*DW188*DZ188*VLOOKUP('Données projet'!$B$14,Paramètres!$A$1:$I$89,3,0)*0.475*44/12</f>
        <v>#N/A</v>
      </c>
      <c r="ED188" s="22" t="e">
        <f t="shared" si="178"/>
        <v>#N/A</v>
      </c>
      <c r="EE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0</v>
      </c>
      <c r="EK188" s="17" t="e">
        <f>EJ188*VLOOKUP('Données projet'!$B$15,Paramètres!$A$1:$I$89,3,0)*VLOOKUP('Données projet'!$B$15,Paramètres!$A$1:$I$89,5,0)</f>
        <v>#N/A</v>
      </c>
      <c r="EL188" s="13" t="e">
        <f t="shared" si="179"/>
        <v>#N/A</v>
      </c>
      <c r="EM188" s="20" t="e">
        <f t="shared" si="180"/>
        <v>#N/A</v>
      </c>
      <c r="EN188" s="59" t="e">
        <f t="shared" si="128"/>
        <v>#N/A</v>
      </c>
      <c r="EO188" s="59" t="e">
        <f ca="1">AVERAGE(OFFSET($EN$3,0,0,'Données projet'!$E$15+1,1))-AVERAGE(OFFSET($H$3,0,0,'Données projet'!$E$15+1,1))</f>
        <v>#N/A</v>
      </c>
      <c r="EP188" s="59" t="e">
        <f t="shared" si="154"/>
        <v>#N/A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 t="e">
        <f>EXP(-LN(2)/35)*EV187+(1-EXP(-LN(2)/35))/(LN(2)/35)*ER188*ES188*VLOOKUP('Données projet'!$B$15,Paramètres!$A$1:$I$89,3,0)*0.475*44/12</f>
        <v>#N/A</v>
      </c>
      <c r="EW188" s="21" t="e">
        <f>EXP(-LN(2)/25)*EW187+(1-EXP(-LN(2)/25))/(LN(2)/25)*Calculateur!ER188*Calculateur!ET188*VLOOKUP('Données projet'!$B$15,Paramètres!$A$1:$I$89,3,0)*0.475*44/12</f>
        <v>#N/A</v>
      </c>
      <c r="EX188" s="21" t="e">
        <f>EXP(-LN(2)/2)*EX187+(1-EXP(-LN(2)/2))/(LN(2)/2)*ER188*EU188*VLOOKUP('Données projet'!$B$15,Paramètres!$A$1:$I$89,3,0)*0.475*44/12</f>
        <v>#N/A</v>
      </c>
      <c r="EY188" s="22" t="e">
        <f t="shared" si="181"/>
        <v>#N/A</v>
      </c>
      <c r="EZ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9" t="e">
        <f t="shared" si="131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45">
      <c r="A189" s="10">
        <f t="shared" si="161"/>
        <v>186</v>
      </c>
      <c r="B189" s="73">
        <f>'Scénario référence'!$B$16*5+'Scénario référence'!$B$17*0+'Scénario référence'!$B$18*5</f>
        <v>0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165.39119999999974</v>
      </c>
      <c r="D189" s="11">
        <f t="shared" si="140"/>
        <v>42.056160358234798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">
        <f>IF(OR('Scénario référence'!$F$8&gt;0,'Scénario référence'!$F$9&gt;0),('Scénario référence'!$F$8+'Scénario référence'!$F$9)*10,0)</f>
        <v>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1601.3480448705823</v>
      </c>
      <c r="H189" s="67">
        <f t="shared" si="110"/>
        <v>617.97081929059186</v>
      </c>
      <c r="I189" s="7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1.7053025658242404E-13</v>
      </c>
      <c r="O189" s="13">
        <f>N189*VLOOKUP('Données projet'!$B$9,Paramètres!$A$1:$I$89,3,0)*VLOOKUP('Données projet'!$B$9,Paramètres!$A$1:$I$89,5,0)</f>
        <v>9.5326413429575044E-14</v>
      </c>
      <c r="P189" s="13">
        <f t="shared" si="141"/>
        <v>1.4400742856080346E-12</v>
      </c>
      <c r="Q189" s="20">
        <f t="shared" si="162"/>
        <v>2.6741562174905032E-12</v>
      </c>
      <c r="R189" s="59">
        <f t="shared" si="109"/>
        <v>293.33333333333599</v>
      </c>
      <c r="S189" s="59">
        <f ca="1">AVERAGE(OFFSET($R$3,0,0,'Données projet'!$E$9+1,1))-AVERAGE(OFFSET($H$3,0,0,'Données projet'!$E$9+1,1))</f>
        <v>280.69347314340195</v>
      </c>
      <c r="T189" s="59">
        <f t="shared" si="142"/>
        <v>152.40533828556482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46.178673900715438</v>
      </c>
      <c r="AA189" s="21">
        <f>EXP(-LN(2)/25)*AA188+(1-EXP(-LN(2)/25))/(LN(2)/25)*Calculateur!V189*Calculateur!X189*VLOOKUP('Données projet'!$B$9,Paramètres!$A$1:$I$89,3,0)*0.475*44/12</f>
        <v>8.761225743058727</v>
      </c>
      <c r="AB189" s="21">
        <f>EXP(-LN(2)/2)*AB188+(1-EXP(-LN(2)/2))/(LN(2)/2)*V189*Y189*VLOOKUP('Données projet'!$B$9,Paramètres!$A$1:$I$89,3,0)*0.475*44/12</f>
        <v>7.2332666609262328E-9</v>
      </c>
      <c r="AC189" s="22">
        <f t="shared" si="163"/>
        <v>54.939899651007437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0</v>
      </c>
      <c r="AJ189" s="13">
        <f>AI189*VLOOKUP('Données projet'!$B$10,Paramètres!$A$1:$I$89,3,0)*VLOOKUP('Données projet'!$B$10,Paramètres!$A$1:$I$89,5,0)</f>
        <v>0</v>
      </c>
      <c r="AK189" s="13" t="e">
        <f t="shared" si="164"/>
        <v>#NUM!</v>
      </c>
      <c r="AL189" s="20" t="e">
        <f t="shared" si="165"/>
        <v>#NUM!</v>
      </c>
      <c r="AM189" s="59" t="e">
        <f t="shared" si="113"/>
        <v>#NUM!</v>
      </c>
      <c r="AN189" s="59">
        <f ca="1">AVERAGE(OFFSET($AM$3,0,0,'Données projet'!$E$10+1,1))-AVERAGE(OFFSET($H$3,0,0,'Données projet'!$E$10+1,1))</f>
        <v>179.4725256147085</v>
      </c>
      <c r="AO189" s="59">
        <f t="shared" si="144"/>
        <v>282.16750121151176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11.907429016378213</v>
      </c>
      <c r="AV189" s="21">
        <f>EXP(-LN(2)/25)*AV188+(1-EXP(-LN(2)/25))/(LN(2)/25)*Calculateur!AQ189*Calculateur!AS189*VLOOKUP('Données projet'!$B$10,Paramètres!$A$1:$I$89,3,0)*0.475*44/12</f>
        <v>1.4852114148192135</v>
      </c>
      <c r="AW189" s="21">
        <f>EXP(-LN(2)/2)*AW188+(1-EXP(-LN(2)/2))/(LN(2)/2)*AQ189*AT189*VLOOKUP('Données projet'!$B$10,Paramètres!$A$1:$I$89,3,0)*0.475*44/12</f>
        <v>4.6751229054215288E-18</v>
      </c>
      <c r="AX189" s="21">
        <f t="shared" si="166"/>
        <v>13.392640431197426</v>
      </c>
      <c r="AY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6.2527760746888816E-13</v>
      </c>
      <c r="BE189" s="13">
        <f>BD189*VLOOKUP('Données projet'!$B$11,Paramètres!$A$1:$I$89,3,0)*VLOOKUP('Données projet'!$B$11,Paramètres!$A$1:$I$89,5,0)</f>
        <v>5.3648818720830608E-13</v>
      </c>
      <c r="BF189" s="13">
        <f t="shared" si="167"/>
        <v>6.6281362235424649E-12</v>
      </c>
      <c r="BG189" s="20">
        <f t="shared" si="168"/>
        <v>1.2478387515390925E-11</v>
      </c>
      <c r="BH189" s="59">
        <f t="shared" si="116"/>
        <v>293.33333333334582</v>
      </c>
      <c r="BI189" s="59">
        <f ca="1">AVERAGE(OFFSET($BH$3,0,0,'Données projet'!$E$11+1,1))-AVERAGE(OFFSET($H$3,0,0,'Données projet'!$E$11+1,1))</f>
        <v>312.89478437044261</v>
      </c>
      <c r="BJ189" s="59">
        <f t="shared" si="146"/>
        <v>276.16555507854571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>
        <f>EXP(-LN(2)/35)*BP188+(1-EXP(-LN(2)/35))/(LN(2)/35)*BL189*BM189*VLOOKUP('Données projet'!$B$11,Paramètres!$A$1:$I$89,3,0)*0.475*44/12</f>
        <v>48.65192173173741</v>
      </c>
      <c r="BQ189" s="21">
        <f>EXP(-LN(2)/25)*BQ188+(1-EXP(-LN(2)/25))/(LN(2)/25)*Calculateur!BL189*Calculateur!BN189*VLOOKUP('Données projet'!$B$11,Paramètres!$A$1:$I$89,3,0)*0.475*44/12</f>
        <v>8.4677229696059406</v>
      </c>
      <c r="BR189" s="21">
        <f>EXP(-LN(2)/2)*BR188+(1-EXP(-LN(2)/2))/(LN(2)/2)*BL189*BO189*VLOOKUP('Données projet'!$B$11,Paramètres!$A$1:$I$89,3,0)*0.475*44/12</f>
        <v>2.3187818358364802E-6</v>
      </c>
      <c r="BS189" s="22">
        <f t="shared" si="169"/>
        <v>57.119647020125186</v>
      </c>
      <c r="BT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0</v>
      </c>
      <c r="BZ189" s="13" t="e">
        <f>BY189*VLOOKUP('Données projet'!$B$12,Paramètres!$A$1:$I$89,3,0)*VLOOKUP('Données projet'!$B$12,Paramètres!$A$1:$I$89,5,0)</f>
        <v>#N/A</v>
      </c>
      <c r="CA189" s="13" t="e">
        <f t="shared" si="170"/>
        <v>#N/A</v>
      </c>
      <c r="CB189" s="20" t="e">
        <f t="shared" si="171"/>
        <v>#N/A</v>
      </c>
      <c r="CC189" s="59" t="e">
        <f t="shared" si="119"/>
        <v>#N/A</v>
      </c>
      <c r="CD189" s="59" t="e">
        <f ca="1">AVERAGE(OFFSET($CC$3,0,0,'Données projet'!$E$12+1,1))-AVERAGE(OFFSET($H$3,0,0,'Données projet'!$E$12+1,1))</f>
        <v>#N/A</v>
      </c>
      <c r="CE189" s="59" t="e">
        <f t="shared" si="148"/>
        <v>#N/A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 t="e">
        <f>EXP(-LN(2)/35)*CK188+(1-EXP(-LN(2)/35))/(LN(2)/35)*CG189*CH189*VLOOKUP('Données projet'!$B$12,Paramètres!$A$1:$I$89,3,0)*0.475*44/12</f>
        <v>#N/A</v>
      </c>
      <c r="CL189" s="21" t="e">
        <f>EXP(-LN(2)/25)*CL188+(1-EXP(-LN(2)/25))/(LN(2)/25)*Calculateur!CG189*Calculateur!CI189*VLOOKUP('Données projet'!$B$12,Paramètres!$A$1:$I$89,3,0)*0.475*44/12</f>
        <v>#N/A</v>
      </c>
      <c r="CM189" s="21" t="e">
        <f>EXP(-LN(2)/2)*CM188+(1-EXP(-LN(2)/2))/(LN(2)/2)*CG189*CJ189*VLOOKUP('Données projet'!$B$12,Paramètres!$A$1:$I$89,3,0)*0.475*44/12</f>
        <v>#N/A</v>
      </c>
      <c r="CN189" s="22" t="e">
        <f t="shared" si="172"/>
        <v>#N/A</v>
      </c>
      <c r="CO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0</v>
      </c>
      <c r="CU189" s="17" t="e">
        <f>CT189*VLOOKUP('Données projet'!$B$13,Paramètres!$A$1:$I$89,3,0)*VLOOKUP('Données projet'!$B$13,Paramètres!$A$1:$I$89,5,0)</f>
        <v>#N/A</v>
      </c>
      <c r="CV189" s="13" t="e">
        <f t="shared" si="173"/>
        <v>#N/A</v>
      </c>
      <c r="CW189" s="20" t="e">
        <f t="shared" si="174"/>
        <v>#N/A</v>
      </c>
      <c r="CX189" s="59" t="e">
        <f t="shared" si="122"/>
        <v>#N/A</v>
      </c>
      <c r="CY189" s="59" t="e">
        <f ca="1">AVERAGE(OFFSET($CX$3,0,0,'Données projet'!$E$13+1,1))-AVERAGE(OFFSET($H$3,0,0,'Données projet'!$E$13+1,1))</f>
        <v>#N/A</v>
      </c>
      <c r="CZ189" s="59" t="e">
        <f t="shared" si="150"/>
        <v>#N/A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 t="e">
        <f>EXP(-LN(2)/35)*DF188+(1-EXP(-LN(2)/35))/(LN(2)/35)*DB189*DC189*VLOOKUP('Données projet'!$B$13,Paramètres!$A$1:$I$89,3,0)*0.475*44/12</f>
        <v>#N/A</v>
      </c>
      <c r="DG189" s="21" t="e">
        <f>EXP(-LN(2)/25)*DG188+(1-EXP(-LN(2)/25))/(LN(2)/25)*Calculateur!DB189*Calculateur!DD189*VLOOKUP('Données projet'!$B$13,Paramètres!$A$1:$I$89,3,0)*0.475*44/12</f>
        <v>#N/A</v>
      </c>
      <c r="DH189" s="21" t="e">
        <f>EXP(-LN(2)/2)*DH188+(1-EXP(-LN(2)/2))/(LN(2)/2)*DB189*DE189*VLOOKUP('Données projet'!$B$13,Paramètres!$A$1:$I$89,3,0)*0.475*44/12</f>
        <v>#N/A</v>
      </c>
      <c r="DI189" s="22" t="e">
        <f t="shared" si="175"/>
        <v>#N/A</v>
      </c>
      <c r="DJ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0</v>
      </c>
      <c r="DP189" s="17" t="e">
        <f>DO189*VLOOKUP('Données projet'!$B$14,Paramètres!$A$1:$I$89,3,0)*VLOOKUP('Données projet'!$B$14,Paramètres!$A$1:$I$89,5,0)</f>
        <v>#N/A</v>
      </c>
      <c r="DQ189" s="13" t="e">
        <f t="shared" si="176"/>
        <v>#N/A</v>
      </c>
      <c r="DR189" s="20" t="e">
        <f t="shared" si="177"/>
        <v>#N/A</v>
      </c>
      <c r="DS189" s="59" t="e">
        <f t="shared" si="125"/>
        <v>#N/A</v>
      </c>
      <c r="DT189" s="59" t="e">
        <f ca="1">AVERAGE(OFFSET($DS$3,0,0,'Données projet'!$E$14+1,1))-AVERAGE(OFFSET($H$3,0,0,'Données projet'!$E$14+1,1))</f>
        <v>#N/A</v>
      </c>
      <c r="DU189" s="59" t="e">
        <f t="shared" si="152"/>
        <v>#N/A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 t="e">
        <f>EXP(-LN(2)/35)*EA188+(1-EXP(-LN(2)/35))/(LN(2)/35)*DW189*DX189*VLOOKUP('Données projet'!$B$14,Paramètres!$A$1:$I$89,3,0)*0.475*44/12</f>
        <v>#N/A</v>
      </c>
      <c r="EB189" s="21" t="e">
        <f>EXP(-LN(2)/25)*EB188+(1-EXP(-LN(2)/25))/(LN(2)/25)*Calculateur!DW189*Calculateur!DY189*VLOOKUP('Données projet'!$B$14,Paramètres!$A$1:$I$89,3,0)*0.475*44/12</f>
        <v>#N/A</v>
      </c>
      <c r="EC189" s="21" t="e">
        <f>EXP(-LN(2)/2)*EC188+(1-EXP(-LN(2)/2))/(LN(2)/2)*DW189*DZ189*VLOOKUP('Données projet'!$B$14,Paramètres!$A$1:$I$89,3,0)*0.475*44/12</f>
        <v>#N/A</v>
      </c>
      <c r="ED189" s="22" t="e">
        <f t="shared" si="178"/>
        <v>#N/A</v>
      </c>
      <c r="EE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0</v>
      </c>
      <c r="EK189" s="17" t="e">
        <f>EJ189*VLOOKUP('Données projet'!$B$15,Paramètres!$A$1:$I$89,3,0)*VLOOKUP('Données projet'!$B$15,Paramètres!$A$1:$I$89,5,0)</f>
        <v>#N/A</v>
      </c>
      <c r="EL189" s="13" t="e">
        <f t="shared" si="179"/>
        <v>#N/A</v>
      </c>
      <c r="EM189" s="20" t="e">
        <f t="shared" si="180"/>
        <v>#N/A</v>
      </c>
      <c r="EN189" s="59" t="e">
        <f t="shared" si="128"/>
        <v>#N/A</v>
      </c>
      <c r="EO189" s="59" t="e">
        <f ca="1">AVERAGE(OFFSET($EN$3,0,0,'Données projet'!$E$15+1,1))-AVERAGE(OFFSET($H$3,0,0,'Données projet'!$E$15+1,1))</f>
        <v>#N/A</v>
      </c>
      <c r="EP189" s="59" t="e">
        <f t="shared" si="154"/>
        <v>#N/A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 t="e">
        <f>EXP(-LN(2)/35)*EV188+(1-EXP(-LN(2)/35))/(LN(2)/35)*ER189*ES189*VLOOKUP('Données projet'!$B$15,Paramètres!$A$1:$I$89,3,0)*0.475*44/12</f>
        <v>#N/A</v>
      </c>
      <c r="EW189" s="21" t="e">
        <f>EXP(-LN(2)/25)*EW188+(1-EXP(-LN(2)/25))/(LN(2)/25)*Calculateur!ER189*Calculateur!ET189*VLOOKUP('Données projet'!$B$15,Paramètres!$A$1:$I$89,3,0)*0.475*44/12</f>
        <v>#N/A</v>
      </c>
      <c r="EX189" s="21" t="e">
        <f>EXP(-LN(2)/2)*EX188+(1-EXP(-LN(2)/2))/(LN(2)/2)*ER189*EU189*VLOOKUP('Données projet'!$B$15,Paramètres!$A$1:$I$89,3,0)*0.475*44/12</f>
        <v>#N/A</v>
      </c>
      <c r="EY189" s="22" t="e">
        <f t="shared" si="181"/>
        <v>#N/A</v>
      </c>
      <c r="EZ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9" t="e">
        <f t="shared" si="131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45">
      <c r="A190" s="10">
        <f t="shared" si="161"/>
        <v>187</v>
      </c>
      <c r="B190" s="73">
        <f>'Scénario référence'!$B$16*5+'Scénario référence'!$B$17*0+'Scénario référence'!$B$18*5</f>
        <v>0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166.28039999999973</v>
      </c>
      <c r="D190" s="11">
        <f t="shared" si="140"/>
        <v>42.255887340755834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">
        <f>IF(OR('Scénario référence'!$F$8&gt;0,'Scénario référence'!$F$9&gt;0),('Scénario référence'!$F$8+'Scénario référence'!$F$9)*10,0)</f>
        <v>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1609.7537970163587</v>
      </c>
      <c r="H190" s="67">
        <f t="shared" si="110"/>
        <v>619.86736711848266</v>
      </c>
      <c r="I190" s="7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1.7053025658242404E-13</v>
      </c>
      <c r="O190" s="13">
        <f>N190*VLOOKUP('Données projet'!$B$9,Paramètres!$A$1:$I$89,3,0)*VLOOKUP('Données projet'!$B$9,Paramètres!$A$1:$I$89,5,0)</f>
        <v>9.5326413429575044E-14</v>
      </c>
      <c r="P190" s="13">
        <f t="shared" si="141"/>
        <v>1.4400742856080346E-12</v>
      </c>
      <c r="Q190" s="20">
        <f t="shared" si="162"/>
        <v>2.6741562174905032E-12</v>
      </c>
      <c r="R190" s="59">
        <f t="shared" si="109"/>
        <v>293.33333333333599</v>
      </c>
      <c r="S190" s="59">
        <f ca="1">AVERAGE(OFFSET($R$3,0,0,'Données projet'!$E$9+1,1))-AVERAGE(OFFSET($H$3,0,0,'Données projet'!$E$9+1,1))</f>
        <v>280.69347314340195</v>
      </c>
      <c r="T190" s="59">
        <f t="shared" si="142"/>
        <v>152.40533828556482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45.273138271732307</v>
      </c>
      <c r="AA190" s="21">
        <f>EXP(-LN(2)/25)*AA189+(1-EXP(-LN(2)/25))/(LN(2)/25)*Calculateur!V190*Calculateur!X190*VLOOKUP('Données projet'!$B$9,Paramètres!$A$1:$I$89,3,0)*0.475*44/12</f>
        <v>8.5216495643819492</v>
      </c>
      <c r="AB190" s="21">
        <f>EXP(-LN(2)/2)*AB189+(1-EXP(-LN(2)/2))/(LN(2)/2)*V190*Y190*VLOOKUP('Données projet'!$B$9,Paramètres!$A$1:$I$89,3,0)*0.475*44/12</f>
        <v>5.1146919060715157E-9</v>
      </c>
      <c r="AC190" s="22">
        <f t="shared" si="163"/>
        <v>53.794787841228946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0</v>
      </c>
      <c r="AJ190" s="13">
        <f>AI190*VLOOKUP('Données projet'!$B$10,Paramètres!$A$1:$I$89,3,0)*VLOOKUP('Données projet'!$B$10,Paramètres!$A$1:$I$89,5,0)</f>
        <v>0</v>
      </c>
      <c r="AK190" s="13" t="e">
        <f t="shared" si="164"/>
        <v>#NUM!</v>
      </c>
      <c r="AL190" s="20" t="e">
        <f t="shared" si="165"/>
        <v>#NUM!</v>
      </c>
      <c r="AM190" s="59" t="e">
        <f t="shared" si="113"/>
        <v>#NUM!</v>
      </c>
      <c r="AN190" s="59">
        <f ca="1">AVERAGE(OFFSET($AM$3,0,0,'Données projet'!$E$10+1,1))-AVERAGE(OFFSET($H$3,0,0,'Données projet'!$E$10+1,1))</f>
        <v>179.4725256147085</v>
      </c>
      <c r="AO190" s="59">
        <f t="shared" si="144"/>
        <v>282.16750121151176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11.673931596181593</v>
      </c>
      <c r="AV190" s="21">
        <f>EXP(-LN(2)/25)*AV189+(1-EXP(-LN(2)/25))/(LN(2)/25)*Calculateur!AQ190*Calculateur!AS190*VLOOKUP('Données projet'!$B$10,Paramètres!$A$1:$I$89,3,0)*0.475*44/12</f>
        <v>1.4445982305771083</v>
      </c>
      <c r="AW190" s="21">
        <f>EXP(-LN(2)/2)*AW189+(1-EXP(-LN(2)/2))/(LN(2)/2)*AQ190*AT190*VLOOKUP('Données projet'!$B$10,Paramètres!$A$1:$I$89,3,0)*0.475*44/12</f>
        <v>3.3058111093041173E-18</v>
      </c>
      <c r="AX190" s="21">
        <f t="shared" si="166"/>
        <v>13.118529826758701</v>
      </c>
      <c r="AY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6.2527760746888816E-13</v>
      </c>
      <c r="BE190" s="13">
        <f>BD190*VLOOKUP('Données projet'!$B$11,Paramètres!$A$1:$I$89,3,0)*VLOOKUP('Données projet'!$B$11,Paramètres!$A$1:$I$89,5,0)</f>
        <v>5.3648818720830608E-13</v>
      </c>
      <c r="BF190" s="13">
        <f t="shared" si="167"/>
        <v>6.6281362235424649E-12</v>
      </c>
      <c r="BG190" s="20">
        <f t="shared" si="168"/>
        <v>1.2478387515390925E-11</v>
      </c>
      <c r="BH190" s="59">
        <f t="shared" si="116"/>
        <v>293.33333333334582</v>
      </c>
      <c r="BI190" s="59">
        <f ca="1">AVERAGE(OFFSET($BH$3,0,0,'Données projet'!$E$11+1,1))-AVERAGE(OFFSET($H$3,0,0,'Données projet'!$E$11+1,1))</f>
        <v>312.89478437044261</v>
      </c>
      <c r="BJ190" s="59">
        <f t="shared" si="146"/>
        <v>276.16555507854571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>
        <f>EXP(-LN(2)/35)*BP189+(1-EXP(-LN(2)/35))/(LN(2)/35)*BL190*BM190*VLOOKUP('Données projet'!$B$11,Paramètres!$A$1:$I$89,3,0)*0.475*44/12</f>
        <v>47.697887221320158</v>
      </c>
      <c r="BQ190" s="21">
        <f>EXP(-LN(2)/25)*BQ189+(1-EXP(-LN(2)/25))/(LN(2)/25)*Calculateur!BL190*Calculateur!BN190*VLOOKUP('Données projet'!$B$11,Paramètres!$A$1:$I$89,3,0)*0.475*44/12</f>
        <v>8.2361726397038684</v>
      </c>
      <c r="BR190" s="21">
        <f>EXP(-LN(2)/2)*BR189+(1-EXP(-LN(2)/2))/(LN(2)/2)*BL190*BO190*VLOOKUP('Données projet'!$B$11,Paramètres!$A$1:$I$89,3,0)*0.475*44/12</f>
        <v>1.639626360212167E-6</v>
      </c>
      <c r="BS190" s="22">
        <f t="shared" si="169"/>
        <v>55.934061500650387</v>
      </c>
      <c r="BT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0</v>
      </c>
      <c r="BZ190" s="13" t="e">
        <f>BY190*VLOOKUP('Données projet'!$B$12,Paramètres!$A$1:$I$89,3,0)*VLOOKUP('Données projet'!$B$12,Paramètres!$A$1:$I$89,5,0)</f>
        <v>#N/A</v>
      </c>
      <c r="CA190" s="13" t="e">
        <f t="shared" si="170"/>
        <v>#N/A</v>
      </c>
      <c r="CB190" s="20" t="e">
        <f t="shared" si="171"/>
        <v>#N/A</v>
      </c>
      <c r="CC190" s="59" t="e">
        <f t="shared" si="119"/>
        <v>#N/A</v>
      </c>
      <c r="CD190" s="59" t="e">
        <f ca="1">AVERAGE(OFFSET($CC$3,0,0,'Données projet'!$E$12+1,1))-AVERAGE(OFFSET($H$3,0,0,'Données projet'!$E$12+1,1))</f>
        <v>#N/A</v>
      </c>
      <c r="CE190" s="59" t="e">
        <f t="shared" si="148"/>
        <v>#N/A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 t="e">
        <f>EXP(-LN(2)/35)*CK189+(1-EXP(-LN(2)/35))/(LN(2)/35)*CG190*CH190*VLOOKUP('Données projet'!$B$12,Paramètres!$A$1:$I$89,3,0)*0.475*44/12</f>
        <v>#N/A</v>
      </c>
      <c r="CL190" s="21" t="e">
        <f>EXP(-LN(2)/25)*CL189+(1-EXP(-LN(2)/25))/(LN(2)/25)*Calculateur!CG190*Calculateur!CI190*VLOOKUP('Données projet'!$B$12,Paramètres!$A$1:$I$89,3,0)*0.475*44/12</f>
        <v>#N/A</v>
      </c>
      <c r="CM190" s="21" t="e">
        <f>EXP(-LN(2)/2)*CM189+(1-EXP(-LN(2)/2))/(LN(2)/2)*CG190*CJ190*VLOOKUP('Données projet'!$B$12,Paramètres!$A$1:$I$89,3,0)*0.475*44/12</f>
        <v>#N/A</v>
      </c>
      <c r="CN190" s="22" t="e">
        <f t="shared" si="172"/>
        <v>#N/A</v>
      </c>
      <c r="CO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0</v>
      </c>
      <c r="CU190" s="17" t="e">
        <f>CT190*VLOOKUP('Données projet'!$B$13,Paramètres!$A$1:$I$89,3,0)*VLOOKUP('Données projet'!$B$13,Paramètres!$A$1:$I$89,5,0)</f>
        <v>#N/A</v>
      </c>
      <c r="CV190" s="13" t="e">
        <f t="shared" si="173"/>
        <v>#N/A</v>
      </c>
      <c r="CW190" s="20" t="e">
        <f t="shared" si="174"/>
        <v>#N/A</v>
      </c>
      <c r="CX190" s="59" t="e">
        <f t="shared" si="122"/>
        <v>#N/A</v>
      </c>
      <c r="CY190" s="59" t="e">
        <f ca="1">AVERAGE(OFFSET($CX$3,0,0,'Données projet'!$E$13+1,1))-AVERAGE(OFFSET($H$3,0,0,'Données projet'!$E$13+1,1))</f>
        <v>#N/A</v>
      </c>
      <c r="CZ190" s="59" t="e">
        <f t="shared" si="150"/>
        <v>#N/A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 t="e">
        <f>EXP(-LN(2)/35)*DF189+(1-EXP(-LN(2)/35))/(LN(2)/35)*DB190*DC190*VLOOKUP('Données projet'!$B$13,Paramètres!$A$1:$I$89,3,0)*0.475*44/12</f>
        <v>#N/A</v>
      </c>
      <c r="DG190" s="21" t="e">
        <f>EXP(-LN(2)/25)*DG189+(1-EXP(-LN(2)/25))/(LN(2)/25)*Calculateur!DB190*Calculateur!DD190*VLOOKUP('Données projet'!$B$13,Paramètres!$A$1:$I$89,3,0)*0.475*44/12</f>
        <v>#N/A</v>
      </c>
      <c r="DH190" s="21" t="e">
        <f>EXP(-LN(2)/2)*DH189+(1-EXP(-LN(2)/2))/(LN(2)/2)*DB190*DE190*VLOOKUP('Données projet'!$B$13,Paramètres!$A$1:$I$89,3,0)*0.475*44/12</f>
        <v>#N/A</v>
      </c>
      <c r="DI190" s="22" t="e">
        <f t="shared" si="175"/>
        <v>#N/A</v>
      </c>
      <c r="DJ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0</v>
      </c>
      <c r="DP190" s="17" t="e">
        <f>DO190*VLOOKUP('Données projet'!$B$14,Paramètres!$A$1:$I$89,3,0)*VLOOKUP('Données projet'!$B$14,Paramètres!$A$1:$I$89,5,0)</f>
        <v>#N/A</v>
      </c>
      <c r="DQ190" s="13" t="e">
        <f t="shared" si="176"/>
        <v>#N/A</v>
      </c>
      <c r="DR190" s="20" t="e">
        <f t="shared" si="177"/>
        <v>#N/A</v>
      </c>
      <c r="DS190" s="59" t="e">
        <f t="shared" si="125"/>
        <v>#N/A</v>
      </c>
      <c r="DT190" s="59" t="e">
        <f ca="1">AVERAGE(OFFSET($DS$3,0,0,'Données projet'!$E$14+1,1))-AVERAGE(OFFSET($H$3,0,0,'Données projet'!$E$14+1,1))</f>
        <v>#N/A</v>
      </c>
      <c r="DU190" s="59" t="e">
        <f t="shared" si="152"/>
        <v>#N/A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 t="e">
        <f>EXP(-LN(2)/35)*EA189+(1-EXP(-LN(2)/35))/(LN(2)/35)*DW190*DX190*VLOOKUP('Données projet'!$B$14,Paramètres!$A$1:$I$89,3,0)*0.475*44/12</f>
        <v>#N/A</v>
      </c>
      <c r="EB190" s="21" t="e">
        <f>EXP(-LN(2)/25)*EB189+(1-EXP(-LN(2)/25))/(LN(2)/25)*Calculateur!DW190*Calculateur!DY190*VLOOKUP('Données projet'!$B$14,Paramètres!$A$1:$I$89,3,0)*0.475*44/12</f>
        <v>#N/A</v>
      </c>
      <c r="EC190" s="21" t="e">
        <f>EXP(-LN(2)/2)*EC189+(1-EXP(-LN(2)/2))/(LN(2)/2)*DW190*DZ190*VLOOKUP('Données projet'!$B$14,Paramètres!$A$1:$I$89,3,0)*0.475*44/12</f>
        <v>#N/A</v>
      </c>
      <c r="ED190" s="22" t="e">
        <f t="shared" si="178"/>
        <v>#N/A</v>
      </c>
      <c r="EE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0</v>
      </c>
      <c r="EK190" s="17" t="e">
        <f>EJ190*VLOOKUP('Données projet'!$B$15,Paramètres!$A$1:$I$89,3,0)*VLOOKUP('Données projet'!$B$15,Paramètres!$A$1:$I$89,5,0)</f>
        <v>#N/A</v>
      </c>
      <c r="EL190" s="13" t="e">
        <f t="shared" si="179"/>
        <v>#N/A</v>
      </c>
      <c r="EM190" s="20" t="e">
        <f t="shared" si="180"/>
        <v>#N/A</v>
      </c>
      <c r="EN190" s="59" t="e">
        <f t="shared" si="128"/>
        <v>#N/A</v>
      </c>
      <c r="EO190" s="59" t="e">
        <f ca="1">AVERAGE(OFFSET($EN$3,0,0,'Données projet'!$E$15+1,1))-AVERAGE(OFFSET($H$3,0,0,'Données projet'!$E$15+1,1))</f>
        <v>#N/A</v>
      </c>
      <c r="EP190" s="59" t="e">
        <f t="shared" si="154"/>
        <v>#N/A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 t="e">
        <f>EXP(-LN(2)/35)*EV189+(1-EXP(-LN(2)/35))/(LN(2)/35)*ER190*ES190*VLOOKUP('Données projet'!$B$15,Paramètres!$A$1:$I$89,3,0)*0.475*44/12</f>
        <v>#N/A</v>
      </c>
      <c r="EW190" s="21" t="e">
        <f>EXP(-LN(2)/25)*EW189+(1-EXP(-LN(2)/25))/(LN(2)/25)*Calculateur!ER190*Calculateur!ET190*VLOOKUP('Données projet'!$B$15,Paramètres!$A$1:$I$89,3,0)*0.475*44/12</f>
        <v>#N/A</v>
      </c>
      <c r="EX190" s="21" t="e">
        <f>EXP(-LN(2)/2)*EX189+(1-EXP(-LN(2)/2))/(LN(2)/2)*ER190*EU190*VLOOKUP('Données projet'!$B$15,Paramètres!$A$1:$I$89,3,0)*0.475*44/12</f>
        <v>#N/A</v>
      </c>
      <c r="EY190" s="22" t="e">
        <f t="shared" si="181"/>
        <v>#N/A</v>
      </c>
      <c r="EZ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9" t="e">
        <f t="shared" si="131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45">
      <c r="A191" s="10">
        <f t="shared" si="161"/>
        <v>188</v>
      </c>
      <c r="B191" s="73">
        <f>'Scénario référence'!$B$16*5+'Scénario référence'!$B$17*0+'Scénario référence'!$B$18*5</f>
        <v>0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167.16959999999972</v>
      </c>
      <c r="D191" s="11">
        <f t="shared" si="140"/>
        <v>42.455490039298816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">
        <f>IF(OR('Scénario référence'!$F$8&gt;0,'Scénario référence'!$F$9&gt;0),('Scénario référence'!$F$8+'Scénario référence'!$F$9)*10,0)</f>
        <v>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1618.1585897770412</v>
      </c>
      <c r="H191" s="67">
        <f t="shared" si="110"/>
        <v>621.7636984851116</v>
      </c>
      <c r="I191" s="7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1.7053025658242404E-13</v>
      </c>
      <c r="O191" s="13">
        <f>N191*VLOOKUP('Données projet'!$B$9,Paramètres!$A$1:$I$89,3,0)*VLOOKUP('Données projet'!$B$9,Paramètres!$A$1:$I$89,5,0)</f>
        <v>9.5326413429575044E-14</v>
      </c>
      <c r="P191" s="13">
        <f t="shared" si="141"/>
        <v>1.4400742856080346E-12</v>
      </c>
      <c r="Q191" s="20">
        <f t="shared" si="162"/>
        <v>2.6741562174905032E-12</v>
      </c>
      <c r="R191" s="59">
        <f t="shared" si="109"/>
        <v>293.33333333333599</v>
      </c>
      <c r="S191" s="59">
        <f ca="1">AVERAGE(OFFSET($R$3,0,0,'Données projet'!$E$9+1,1))-AVERAGE(OFFSET($H$3,0,0,'Données projet'!$E$9+1,1))</f>
        <v>280.69347314340195</v>
      </c>
      <c r="T191" s="59">
        <f t="shared" si="142"/>
        <v>152.40533828556482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44.38535964411134</v>
      </c>
      <c r="AA191" s="21">
        <f>EXP(-LN(2)/25)*AA190+(1-EXP(-LN(2)/25))/(LN(2)/25)*Calculateur!V191*Calculateur!X191*VLOOKUP('Données projet'!$B$9,Paramètres!$A$1:$I$89,3,0)*0.475*44/12</f>
        <v>8.288624608909851</v>
      </c>
      <c r="AB191" s="21">
        <f>EXP(-LN(2)/2)*AB190+(1-EXP(-LN(2)/2))/(LN(2)/2)*V191*Y191*VLOOKUP('Données projet'!$B$9,Paramètres!$A$1:$I$89,3,0)*0.475*44/12</f>
        <v>3.6166333304631172E-9</v>
      </c>
      <c r="AC191" s="22">
        <f t="shared" si="163"/>
        <v>52.673984256637823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0</v>
      </c>
      <c r="AJ191" s="13">
        <f>AI191*VLOOKUP('Données projet'!$B$10,Paramètres!$A$1:$I$89,3,0)*VLOOKUP('Données projet'!$B$10,Paramètres!$A$1:$I$89,5,0)</f>
        <v>0</v>
      </c>
      <c r="AK191" s="13" t="e">
        <f t="shared" si="164"/>
        <v>#NUM!</v>
      </c>
      <c r="AL191" s="20" t="e">
        <f t="shared" si="165"/>
        <v>#NUM!</v>
      </c>
      <c r="AM191" s="59" t="e">
        <f t="shared" si="113"/>
        <v>#NUM!</v>
      </c>
      <c r="AN191" s="59">
        <f ca="1">AVERAGE(OFFSET($AM$3,0,0,'Données projet'!$E$10+1,1))-AVERAGE(OFFSET($H$3,0,0,'Données projet'!$E$10+1,1))</f>
        <v>179.4725256147085</v>
      </c>
      <c r="AO191" s="59">
        <f t="shared" si="144"/>
        <v>282.16750121151176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11.445012917975665</v>
      </c>
      <c r="AV191" s="21">
        <f>EXP(-LN(2)/25)*AV190+(1-EXP(-LN(2)/25))/(LN(2)/25)*Calculateur!AQ191*Calculateur!AS191*VLOOKUP('Données projet'!$B$10,Paramètres!$A$1:$I$89,3,0)*0.475*44/12</f>
        <v>1.4050956159938581</v>
      </c>
      <c r="AW191" s="21">
        <f>EXP(-LN(2)/2)*AW190+(1-EXP(-LN(2)/2))/(LN(2)/2)*AQ191*AT191*VLOOKUP('Données projet'!$B$10,Paramètres!$A$1:$I$89,3,0)*0.475*44/12</f>
        <v>2.3375614527107644E-18</v>
      </c>
      <c r="AX191" s="21">
        <f t="shared" si="166"/>
        <v>12.850108533969523</v>
      </c>
      <c r="AY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6.2527760746888816E-13</v>
      </c>
      <c r="BE191" s="13">
        <f>BD191*VLOOKUP('Données projet'!$B$11,Paramètres!$A$1:$I$89,3,0)*VLOOKUP('Données projet'!$B$11,Paramètres!$A$1:$I$89,5,0)</f>
        <v>5.3648818720830608E-13</v>
      </c>
      <c r="BF191" s="13">
        <f t="shared" si="167"/>
        <v>6.6281362235424649E-12</v>
      </c>
      <c r="BG191" s="20">
        <f t="shared" si="168"/>
        <v>1.2478387515390925E-11</v>
      </c>
      <c r="BH191" s="59">
        <f t="shared" si="116"/>
        <v>293.33333333334582</v>
      </c>
      <c r="BI191" s="59">
        <f ca="1">AVERAGE(OFFSET($BH$3,0,0,'Données projet'!$E$11+1,1))-AVERAGE(OFFSET($H$3,0,0,'Données projet'!$E$11+1,1))</f>
        <v>312.89478437044261</v>
      </c>
      <c r="BJ191" s="59">
        <f t="shared" si="146"/>
        <v>276.16555507854571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>
        <f>EXP(-LN(2)/35)*BP190+(1-EXP(-LN(2)/35))/(LN(2)/35)*BL191*BM191*VLOOKUP('Données projet'!$B$11,Paramètres!$A$1:$I$89,3,0)*0.475*44/12</f>
        <v>46.762560745748594</v>
      </c>
      <c r="BQ191" s="21">
        <f>EXP(-LN(2)/25)*BQ190+(1-EXP(-LN(2)/25))/(LN(2)/25)*Calculateur!BL191*Calculateur!BN191*VLOOKUP('Données projet'!$B$11,Paramètres!$A$1:$I$89,3,0)*0.475*44/12</f>
        <v>8.0109540657496705</v>
      </c>
      <c r="BR191" s="21">
        <f>EXP(-LN(2)/2)*BR190+(1-EXP(-LN(2)/2))/(LN(2)/2)*BL191*BO191*VLOOKUP('Données projet'!$B$11,Paramètres!$A$1:$I$89,3,0)*0.475*44/12</f>
        <v>1.1593909179182401E-6</v>
      </c>
      <c r="BS191" s="22">
        <f t="shared" si="169"/>
        <v>54.773515970889186</v>
      </c>
      <c r="BT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0</v>
      </c>
      <c r="BZ191" s="13" t="e">
        <f>BY191*VLOOKUP('Données projet'!$B$12,Paramètres!$A$1:$I$89,3,0)*VLOOKUP('Données projet'!$B$12,Paramètres!$A$1:$I$89,5,0)</f>
        <v>#N/A</v>
      </c>
      <c r="CA191" s="13" t="e">
        <f t="shared" si="170"/>
        <v>#N/A</v>
      </c>
      <c r="CB191" s="20" t="e">
        <f t="shared" si="171"/>
        <v>#N/A</v>
      </c>
      <c r="CC191" s="59" t="e">
        <f t="shared" si="119"/>
        <v>#N/A</v>
      </c>
      <c r="CD191" s="59" t="e">
        <f ca="1">AVERAGE(OFFSET($CC$3,0,0,'Données projet'!$E$12+1,1))-AVERAGE(OFFSET($H$3,0,0,'Données projet'!$E$12+1,1))</f>
        <v>#N/A</v>
      </c>
      <c r="CE191" s="59" t="e">
        <f t="shared" si="148"/>
        <v>#N/A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 t="e">
        <f>EXP(-LN(2)/35)*CK190+(1-EXP(-LN(2)/35))/(LN(2)/35)*CG191*CH191*VLOOKUP('Données projet'!$B$12,Paramètres!$A$1:$I$89,3,0)*0.475*44/12</f>
        <v>#N/A</v>
      </c>
      <c r="CL191" s="21" t="e">
        <f>EXP(-LN(2)/25)*CL190+(1-EXP(-LN(2)/25))/(LN(2)/25)*Calculateur!CG191*Calculateur!CI191*VLOOKUP('Données projet'!$B$12,Paramètres!$A$1:$I$89,3,0)*0.475*44/12</f>
        <v>#N/A</v>
      </c>
      <c r="CM191" s="21" t="e">
        <f>EXP(-LN(2)/2)*CM190+(1-EXP(-LN(2)/2))/(LN(2)/2)*CG191*CJ191*VLOOKUP('Données projet'!$B$12,Paramètres!$A$1:$I$89,3,0)*0.475*44/12</f>
        <v>#N/A</v>
      </c>
      <c r="CN191" s="22" t="e">
        <f t="shared" si="172"/>
        <v>#N/A</v>
      </c>
      <c r="CO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0</v>
      </c>
      <c r="CU191" s="17" t="e">
        <f>CT191*VLOOKUP('Données projet'!$B$13,Paramètres!$A$1:$I$89,3,0)*VLOOKUP('Données projet'!$B$13,Paramètres!$A$1:$I$89,5,0)</f>
        <v>#N/A</v>
      </c>
      <c r="CV191" s="13" t="e">
        <f t="shared" si="173"/>
        <v>#N/A</v>
      </c>
      <c r="CW191" s="20" t="e">
        <f t="shared" si="174"/>
        <v>#N/A</v>
      </c>
      <c r="CX191" s="59" t="e">
        <f t="shared" si="122"/>
        <v>#N/A</v>
      </c>
      <c r="CY191" s="59" t="e">
        <f ca="1">AVERAGE(OFFSET($CX$3,0,0,'Données projet'!$E$13+1,1))-AVERAGE(OFFSET($H$3,0,0,'Données projet'!$E$13+1,1))</f>
        <v>#N/A</v>
      </c>
      <c r="CZ191" s="59" t="e">
        <f t="shared" si="150"/>
        <v>#N/A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 t="e">
        <f>EXP(-LN(2)/35)*DF190+(1-EXP(-LN(2)/35))/(LN(2)/35)*DB191*DC191*VLOOKUP('Données projet'!$B$13,Paramètres!$A$1:$I$89,3,0)*0.475*44/12</f>
        <v>#N/A</v>
      </c>
      <c r="DG191" s="21" t="e">
        <f>EXP(-LN(2)/25)*DG190+(1-EXP(-LN(2)/25))/(LN(2)/25)*Calculateur!DB191*Calculateur!DD191*VLOOKUP('Données projet'!$B$13,Paramètres!$A$1:$I$89,3,0)*0.475*44/12</f>
        <v>#N/A</v>
      </c>
      <c r="DH191" s="21" t="e">
        <f>EXP(-LN(2)/2)*DH190+(1-EXP(-LN(2)/2))/(LN(2)/2)*DB191*DE191*VLOOKUP('Données projet'!$B$13,Paramètres!$A$1:$I$89,3,0)*0.475*44/12</f>
        <v>#N/A</v>
      </c>
      <c r="DI191" s="22" t="e">
        <f t="shared" si="175"/>
        <v>#N/A</v>
      </c>
      <c r="DJ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0</v>
      </c>
      <c r="DP191" s="17" t="e">
        <f>DO191*VLOOKUP('Données projet'!$B$14,Paramètres!$A$1:$I$89,3,0)*VLOOKUP('Données projet'!$B$14,Paramètres!$A$1:$I$89,5,0)</f>
        <v>#N/A</v>
      </c>
      <c r="DQ191" s="13" t="e">
        <f t="shared" si="176"/>
        <v>#N/A</v>
      </c>
      <c r="DR191" s="20" t="e">
        <f t="shared" si="177"/>
        <v>#N/A</v>
      </c>
      <c r="DS191" s="59" t="e">
        <f t="shared" si="125"/>
        <v>#N/A</v>
      </c>
      <c r="DT191" s="59" t="e">
        <f ca="1">AVERAGE(OFFSET($DS$3,0,0,'Données projet'!$E$14+1,1))-AVERAGE(OFFSET($H$3,0,0,'Données projet'!$E$14+1,1))</f>
        <v>#N/A</v>
      </c>
      <c r="DU191" s="59" t="e">
        <f t="shared" si="152"/>
        <v>#N/A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 t="e">
        <f>EXP(-LN(2)/35)*EA190+(1-EXP(-LN(2)/35))/(LN(2)/35)*DW191*DX191*VLOOKUP('Données projet'!$B$14,Paramètres!$A$1:$I$89,3,0)*0.475*44/12</f>
        <v>#N/A</v>
      </c>
      <c r="EB191" s="21" t="e">
        <f>EXP(-LN(2)/25)*EB190+(1-EXP(-LN(2)/25))/(LN(2)/25)*Calculateur!DW191*Calculateur!DY191*VLOOKUP('Données projet'!$B$14,Paramètres!$A$1:$I$89,3,0)*0.475*44/12</f>
        <v>#N/A</v>
      </c>
      <c r="EC191" s="21" t="e">
        <f>EXP(-LN(2)/2)*EC190+(1-EXP(-LN(2)/2))/(LN(2)/2)*DW191*DZ191*VLOOKUP('Données projet'!$B$14,Paramètres!$A$1:$I$89,3,0)*0.475*44/12</f>
        <v>#N/A</v>
      </c>
      <c r="ED191" s="22" t="e">
        <f t="shared" si="178"/>
        <v>#N/A</v>
      </c>
      <c r="EE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0</v>
      </c>
      <c r="EK191" s="17" t="e">
        <f>EJ191*VLOOKUP('Données projet'!$B$15,Paramètres!$A$1:$I$89,3,0)*VLOOKUP('Données projet'!$B$15,Paramètres!$A$1:$I$89,5,0)</f>
        <v>#N/A</v>
      </c>
      <c r="EL191" s="13" t="e">
        <f t="shared" si="179"/>
        <v>#N/A</v>
      </c>
      <c r="EM191" s="20" t="e">
        <f t="shared" si="180"/>
        <v>#N/A</v>
      </c>
      <c r="EN191" s="59" t="e">
        <f t="shared" si="128"/>
        <v>#N/A</v>
      </c>
      <c r="EO191" s="59" t="e">
        <f ca="1">AVERAGE(OFFSET($EN$3,0,0,'Données projet'!$E$15+1,1))-AVERAGE(OFFSET($H$3,0,0,'Données projet'!$E$15+1,1))</f>
        <v>#N/A</v>
      </c>
      <c r="EP191" s="59" t="e">
        <f t="shared" si="154"/>
        <v>#N/A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 t="e">
        <f>EXP(-LN(2)/35)*EV190+(1-EXP(-LN(2)/35))/(LN(2)/35)*ER191*ES191*VLOOKUP('Données projet'!$B$15,Paramètres!$A$1:$I$89,3,0)*0.475*44/12</f>
        <v>#N/A</v>
      </c>
      <c r="EW191" s="21" t="e">
        <f>EXP(-LN(2)/25)*EW190+(1-EXP(-LN(2)/25))/(LN(2)/25)*Calculateur!ER191*Calculateur!ET191*VLOOKUP('Données projet'!$B$15,Paramètres!$A$1:$I$89,3,0)*0.475*44/12</f>
        <v>#N/A</v>
      </c>
      <c r="EX191" s="21" t="e">
        <f>EXP(-LN(2)/2)*EX190+(1-EXP(-LN(2)/2))/(LN(2)/2)*ER191*EU191*VLOOKUP('Données projet'!$B$15,Paramètres!$A$1:$I$89,3,0)*0.475*44/12</f>
        <v>#N/A</v>
      </c>
      <c r="EY191" s="22" t="e">
        <f t="shared" si="181"/>
        <v>#N/A</v>
      </c>
      <c r="EZ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9" t="e">
        <f t="shared" si="131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45">
      <c r="A192" s="10">
        <f t="shared" si="161"/>
        <v>189</v>
      </c>
      <c r="B192" s="73">
        <f>'Scénario référence'!$B$16*5+'Scénario référence'!$B$17*0+'Scénario référence'!$B$18*5</f>
        <v>0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168.05879999999971</v>
      </c>
      <c r="D192" s="11">
        <f t="shared" si="140"/>
        <v>42.65496919167748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">
        <f>IF(OR('Scénario référence'!$F$8&gt;0,'Scénario référence'!$F$9&gt;0),('Scénario référence'!$F$8+'Scénario référence'!$F$9)*10,0)</f>
        <v>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1626.5624288480346</v>
      </c>
      <c r="H192" s="67">
        <f t="shared" si="110"/>
        <v>623.65981467550444</v>
      </c>
      <c r="I192" s="7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1.7053025658242404E-13</v>
      </c>
      <c r="O192" s="13">
        <f>N192*VLOOKUP('Données projet'!$B$9,Paramètres!$A$1:$I$89,3,0)*VLOOKUP('Données projet'!$B$9,Paramètres!$A$1:$I$89,5,0)</f>
        <v>9.5326413429575044E-14</v>
      </c>
      <c r="P192" s="13">
        <f t="shared" si="141"/>
        <v>1.4400742856080346E-12</v>
      </c>
      <c r="Q192" s="20">
        <f t="shared" si="162"/>
        <v>2.6741562174905032E-12</v>
      </c>
      <c r="R192" s="59">
        <f t="shared" si="109"/>
        <v>293.33333333333599</v>
      </c>
      <c r="S192" s="59">
        <f ca="1">AVERAGE(OFFSET($R$3,0,0,'Données projet'!$E$9+1,1))-AVERAGE(OFFSET($H$3,0,0,'Données projet'!$E$9+1,1))</f>
        <v>280.69347314340195</v>
      </c>
      <c r="T192" s="59">
        <f t="shared" si="142"/>
        <v>152.40533828556482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43.514989813886523</v>
      </c>
      <c r="AA192" s="21">
        <f>EXP(-LN(2)/25)*AA191+(1-EXP(-LN(2)/25))/(LN(2)/25)*Calculateur!V192*Calculateur!X192*VLOOKUP('Données projet'!$B$9,Paramètres!$A$1:$I$89,3,0)*0.475*44/12</f>
        <v>8.0619717330993872</v>
      </c>
      <c r="AB192" s="21">
        <f>EXP(-LN(2)/2)*AB191+(1-EXP(-LN(2)/2))/(LN(2)/2)*V192*Y192*VLOOKUP('Données projet'!$B$9,Paramètres!$A$1:$I$89,3,0)*0.475*44/12</f>
        <v>2.5573459530357582E-9</v>
      </c>
      <c r="AC192" s="22">
        <f t="shared" si="163"/>
        <v>51.576961549543256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0</v>
      </c>
      <c r="AJ192" s="13">
        <f>AI192*VLOOKUP('Données projet'!$B$10,Paramètres!$A$1:$I$89,3,0)*VLOOKUP('Données projet'!$B$10,Paramètres!$A$1:$I$89,5,0)</f>
        <v>0</v>
      </c>
      <c r="AK192" s="13" t="e">
        <f t="shared" si="164"/>
        <v>#NUM!</v>
      </c>
      <c r="AL192" s="20" t="e">
        <f t="shared" si="165"/>
        <v>#NUM!</v>
      </c>
      <c r="AM192" s="59" t="e">
        <f t="shared" si="113"/>
        <v>#NUM!</v>
      </c>
      <c r="AN192" s="59">
        <f ca="1">AVERAGE(OFFSET($AM$3,0,0,'Données projet'!$E$10+1,1))-AVERAGE(OFFSET($H$3,0,0,'Données projet'!$E$10+1,1))</f>
        <v>179.4725256147085</v>
      </c>
      <c r="AO192" s="59">
        <f t="shared" si="144"/>
        <v>282.16750121151176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11.22058319542275</v>
      </c>
      <c r="AV192" s="21">
        <f>EXP(-LN(2)/25)*AV191+(1-EXP(-LN(2)/25))/(LN(2)/25)*Calculateur!AQ192*Calculateur!AS192*VLOOKUP('Données projet'!$B$10,Paramètres!$A$1:$I$89,3,0)*0.475*44/12</f>
        <v>1.3666732024837389</v>
      </c>
      <c r="AW192" s="21">
        <f>EXP(-LN(2)/2)*AW191+(1-EXP(-LN(2)/2))/(LN(2)/2)*AQ192*AT192*VLOOKUP('Données projet'!$B$10,Paramètres!$A$1:$I$89,3,0)*0.475*44/12</f>
        <v>1.6529055546520587E-18</v>
      </c>
      <c r="AX192" s="21">
        <f t="shared" si="166"/>
        <v>12.587256397906488</v>
      </c>
      <c r="AY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6.2527760746888816E-13</v>
      </c>
      <c r="BE192" s="13">
        <f>BD192*VLOOKUP('Données projet'!$B$11,Paramètres!$A$1:$I$89,3,0)*VLOOKUP('Données projet'!$B$11,Paramètres!$A$1:$I$89,5,0)</f>
        <v>5.3648818720830608E-13</v>
      </c>
      <c r="BF192" s="13">
        <f t="shared" si="167"/>
        <v>6.6281362235424649E-12</v>
      </c>
      <c r="BG192" s="20">
        <f t="shared" si="168"/>
        <v>1.2478387515390925E-11</v>
      </c>
      <c r="BH192" s="59">
        <f t="shared" si="116"/>
        <v>293.33333333334582</v>
      </c>
      <c r="BI192" s="59">
        <f ca="1">AVERAGE(OFFSET($BH$3,0,0,'Données projet'!$E$11+1,1))-AVERAGE(OFFSET($H$3,0,0,'Données projet'!$E$11+1,1))</f>
        <v>312.89478437044261</v>
      </c>
      <c r="BJ192" s="59">
        <f t="shared" si="146"/>
        <v>276.16555507854571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>
        <f>EXP(-LN(2)/35)*BP191+(1-EXP(-LN(2)/35))/(LN(2)/35)*BL192*BM192*VLOOKUP('Données projet'!$B$11,Paramètres!$A$1:$I$89,3,0)*0.475*44/12</f>
        <v>45.845575451870168</v>
      </c>
      <c r="BQ192" s="21">
        <f>EXP(-LN(2)/25)*BQ191+(1-EXP(-LN(2)/25))/(LN(2)/25)*Calculateur!BL192*Calculateur!BN192*VLOOKUP('Données projet'!$B$11,Paramètres!$A$1:$I$89,3,0)*0.475*44/12</f>
        <v>7.7918941055439808</v>
      </c>
      <c r="BR192" s="21">
        <f>EXP(-LN(2)/2)*BR191+(1-EXP(-LN(2)/2))/(LN(2)/2)*BL192*BO192*VLOOKUP('Données projet'!$B$11,Paramètres!$A$1:$I$89,3,0)*0.475*44/12</f>
        <v>8.1981318010608349E-7</v>
      </c>
      <c r="BS192" s="22">
        <f t="shared" si="169"/>
        <v>53.637470377227331</v>
      </c>
      <c r="BT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0</v>
      </c>
      <c r="BZ192" s="13" t="e">
        <f>BY192*VLOOKUP('Données projet'!$B$12,Paramètres!$A$1:$I$89,3,0)*VLOOKUP('Données projet'!$B$12,Paramètres!$A$1:$I$89,5,0)</f>
        <v>#N/A</v>
      </c>
      <c r="CA192" s="13" t="e">
        <f t="shared" si="170"/>
        <v>#N/A</v>
      </c>
      <c r="CB192" s="20" t="e">
        <f t="shared" si="171"/>
        <v>#N/A</v>
      </c>
      <c r="CC192" s="59" t="e">
        <f t="shared" si="119"/>
        <v>#N/A</v>
      </c>
      <c r="CD192" s="59" t="e">
        <f ca="1">AVERAGE(OFFSET($CC$3,0,0,'Données projet'!$E$12+1,1))-AVERAGE(OFFSET($H$3,0,0,'Données projet'!$E$12+1,1))</f>
        <v>#N/A</v>
      </c>
      <c r="CE192" s="59" t="e">
        <f t="shared" si="148"/>
        <v>#N/A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 t="e">
        <f>EXP(-LN(2)/35)*CK191+(1-EXP(-LN(2)/35))/(LN(2)/35)*CG192*CH192*VLOOKUP('Données projet'!$B$12,Paramètres!$A$1:$I$89,3,0)*0.475*44/12</f>
        <v>#N/A</v>
      </c>
      <c r="CL192" s="21" t="e">
        <f>EXP(-LN(2)/25)*CL191+(1-EXP(-LN(2)/25))/(LN(2)/25)*Calculateur!CG192*Calculateur!CI192*VLOOKUP('Données projet'!$B$12,Paramètres!$A$1:$I$89,3,0)*0.475*44/12</f>
        <v>#N/A</v>
      </c>
      <c r="CM192" s="21" t="e">
        <f>EXP(-LN(2)/2)*CM191+(1-EXP(-LN(2)/2))/(LN(2)/2)*CG192*CJ192*VLOOKUP('Données projet'!$B$12,Paramètres!$A$1:$I$89,3,0)*0.475*44/12</f>
        <v>#N/A</v>
      </c>
      <c r="CN192" s="22" t="e">
        <f t="shared" si="172"/>
        <v>#N/A</v>
      </c>
      <c r="CO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0</v>
      </c>
      <c r="CU192" s="17" t="e">
        <f>CT192*VLOOKUP('Données projet'!$B$13,Paramètres!$A$1:$I$89,3,0)*VLOOKUP('Données projet'!$B$13,Paramètres!$A$1:$I$89,5,0)</f>
        <v>#N/A</v>
      </c>
      <c r="CV192" s="13" t="e">
        <f t="shared" si="173"/>
        <v>#N/A</v>
      </c>
      <c r="CW192" s="20" t="e">
        <f t="shared" si="174"/>
        <v>#N/A</v>
      </c>
      <c r="CX192" s="59" t="e">
        <f t="shared" si="122"/>
        <v>#N/A</v>
      </c>
      <c r="CY192" s="59" t="e">
        <f ca="1">AVERAGE(OFFSET($CX$3,0,0,'Données projet'!$E$13+1,1))-AVERAGE(OFFSET($H$3,0,0,'Données projet'!$E$13+1,1))</f>
        <v>#N/A</v>
      </c>
      <c r="CZ192" s="59" t="e">
        <f t="shared" si="150"/>
        <v>#N/A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 t="e">
        <f>EXP(-LN(2)/35)*DF191+(1-EXP(-LN(2)/35))/(LN(2)/35)*DB192*DC192*VLOOKUP('Données projet'!$B$13,Paramètres!$A$1:$I$89,3,0)*0.475*44/12</f>
        <v>#N/A</v>
      </c>
      <c r="DG192" s="21" t="e">
        <f>EXP(-LN(2)/25)*DG191+(1-EXP(-LN(2)/25))/(LN(2)/25)*Calculateur!DB192*Calculateur!DD192*VLOOKUP('Données projet'!$B$13,Paramètres!$A$1:$I$89,3,0)*0.475*44/12</f>
        <v>#N/A</v>
      </c>
      <c r="DH192" s="21" t="e">
        <f>EXP(-LN(2)/2)*DH191+(1-EXP(-LN(2)/2))/(LN(2)/2)*DB192*DE192*VLOOKUP('Données projet'!$B$13,Paramètres!$A$1:$I$89,3,0)*0.475*44/12</f>
        <v>#N/A</v>
      </c>
      <c r="DI192" s="22" t="e">
        <f t="shared" si="175"/>
        <v>#N/A</v>
      </c>
      <c r="DJ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0</v>
      </c>
      <c r="DP192" s="17" t="e">
        <f>DO192*VLOOKUP('Données projet'!$B$14,Paramètres!$A$1:$I$89,3,0)*VLOOKUP('Données projet'!$B$14,Paramètres!$A$1:$I$89,5,0)</f>
        <v>#N/A</v>
      </c>
      <c r="DQ192" s="13" t="e">
        <f t="shared" si="176"/>
        <v>#N/A</v>
      </c>
      <c r="DR192" s="20" t="e">
        <f t="shared" si="177"/>
        <v>#N/A</v>
      </c>
      <c r="DS192" s="59" t="e">
        <f t="shared" si="125"/>
        <v>#N/A</v>
      </c>
      <c r="DT192" s="59" t="e">
        <f ca="1">AVERAGE(OFFSET($DS$3,0,0,'Données projet'!$E$14+1,1))-AVERAGE(OFFSET($H$3,0,0,'Données projet'!$E$14+1,1))</f>
        <v>#N/A</v>
      </c>
      <c r="DU192" s="59" t="e">
        <f t="shared" si="152"/>
        <v>#N/A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 t="e">
        <f>EXP(-LN(2)/35)*EA191+(1-EXP(-LN(2)/35))/(LN(2)/35)*DW192*DX192*VLOOKUP('Données projet'!$B$14,Paramètres!$A$1:$I$89,3,0)*0.475*44/12</f>
        <v>#N/A</v>
      </c>
      <c r="EB192" s="21" t="e">
        <f>EXP(-LN(2)/25)*EB191+(1-EXP(-LN(2)/25))/(LN(2)/25)*Calculateur!DW192*Calculateur!DY192*VLOOKUP('Données projet'!$B$14,Paramètres!$A$1:$I$89,3,0)*0.475*44/12</f>
        <v>#N/A</v>
      </c>
      <c r="EC192" s="21" t="e">
        <f>EXP(-LN(2)/2)*EC191+(1-EXP(-LN(2)/2))/(LN(2)/2)*DW192*DZ192*VLOOKUP('Données projet'!$B$14,Paramètres!$A$1:$I$89,3,0)*0.475*44/12</f>
        <v>#N/A</v>
      </c>
      <c r="ED192" s="22" t="e">
        <f t="shared" si="178"/>
        <v>#N/A</v>
      </c>
      <c r="EE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0</v>
      </c>
      <c r="EK192" s="17" t="e">
        <f>EJ192*VLOOKUP('Données projet'!$B$15,Paramètres!$A$1:$I$89,3,0)*VLOOKUP('Données projet'!$B$15,Paramètres!$A$1:$I$89,5,0)</f>
        <v>#N/A</v>
      </c>
      <c r="EL192" s="13" t="e">
        <f t="shared" si="179"/>
        <v>#N/A</v>
      </c>
      <c r="EM192" s="20" t="e">
        <f t="shared" si="180"/>
        <v>#N/A</v>
      </c>
      <c r="EN192" s="59" t="e">
        <f t="shared" si="128"/>
        <v>#N/A</v>
      </c>
      <c r="EO192" s="59" t="e">
        <f ca="1">AVERAGE(OFFSET($EN$3,0,0,'Données projet'!$E$15+1,1))-AVERAGE(OFFSET($H$3,0,0,'Données projet'!$E$15+1,1))</f>
        <v>#N/A</v>
      </c>
      <c r="EP192" s="59" t="e">
        <f t="shared" si="154"/>
        <v>#N/A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 t="e">
        <f>EXP(-LN(2)/35)*EV191+(1-EXP(-LN(2)/35))/(LN(2)/35)*ER192*ES192*VLOOKUP('Données projet'!$B$15,Paramètres!$A$1:$I$89,3,0)*0.475*44/12</f>
        <v>#N/A</v>
      </c>
      <c r="EW192" s="21" t="e">
        <f>EXP(-LN(2)/25)*EW191+(1-EXP(-LN(2)/25))/(LN(2)/25)*Calculateur!ER192*Calculateur!ET192*VLOOKUP('Données projet'!$B$15,Paramètres!$A$1:$I$89,3,0)*0.475*44/12</f>
        <v>#N/A</v>
      </c>
      <c r="EX192" s="21" t="e">
        <f>EXP(-LN(2)/2)*EX191+(1-EXP(-LN(2)/2))/(LN(2)/2)*ER192*EU192*VLOOKUP('Données projet'!$B$15,Paramètres!$A$1:$I$89,3,0)*0.475*44/12</f>
        <v>#N/A</v>
      </c>
      <c r="EY192" s="22" t="e">
        <f t="shared" si="181"/>
        <v>#N/A</v>
      </c>
      <c r="EZ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9" t="e">
        <f t="shared" si="131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45">
      <c r="A193" s="10">
        <f t="shared" si="161"/>
        <v>190</v>
      </c>
      <c r="B193" s="73">
        <f>'Scénario référence'!$B$16*5+'Scénario référence'!$B$17*0+'Scénario référence'!$B$18*5</f>
        <v>0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168.94799999999969</v>
      </c>
      <c r="D193" s="11">
        <f t="shared" si="140"/>
        <v>42.8543255274462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">
        <f>IF(OR('Scénario référence'!$F$8&gt;0,'Scénario référence'!$F$9&gt;0),('Scénario référence'!$F$8+'Scénario référence'!$F$9)*10,0)</f>
        <v>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1634.965319860986</v>
      </c>
      <c r="H193" s="67">
        <f t="shared" si="110"/>
        <v>625.55571696030165</v>
      </c>
      <c r="I193" s="7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1.7053025658242404E-13</v>
      </c>
      <c r="O193" s="13">
        <f>N193*VLOOKUP('Données projet'!$B$9,Paramètres!$A$1:$I$89,3,0)*VLOOKUP('Données projet'!$B$9,Paramètres!$A$1:$I$89,5,0)</f>
        <v>9.5326413429575044E-14</v>
      </c>
      <c r="P193" s="13">
        <f t="shared" si="141"/>
        <v>1.4400742856080346E-12</v>
      </c>
      <c r="Q193" s="20">
        <f t="shared" si="162"/>
        <v>2.6741562174905032E-12</v>
      </c>
      <c r="R193" s="59">
        <f t="shared" si="109"/>
        <v>293.33333333333599</v>
      </c>
      <c r="S193" s="59">
        <f ca="1">AVERAGE(OFFSET($R$3,0,0,'Données projet'!$E$9+1,1))-AVERAGE(OFFSET($H$3,0,0,'Données projet'!$E$9+1,1))</f>
        <v>280.69347314340195</v>
      </c>
      <c r="T193" s="59">
        <f t="shared" si="142"/>
        <v>152.40533828556482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42.661687405159235</v>
      </c>
      <c r="AA193" s="21">
        <f>EXP(-LN(2)/25)*AA192+(1-EXP(-LN(2)/25))/(LN(2)/25)*Calculateur!V193*Calculateur!X193*VLOOKUP('Données projet'!$B$9,Paramètres!$A$1:$I$89,3,0)*0.475*44/12</f>
        <v>7.8415166920971169</v>
      </c>
      <c r="AB193" s="21">
        <f>EXP(-LN(2)/2)*AB192+(1-EXP(-LN(2)/2))/(LN(2)/2)*V193*Y193*VLOOKUP('Données projet'!$B$9,Paramètres!$A$1:$I$89,3,0)*0.475*44/12</f>
        <v>1.8083166652315588E-9</v>
      </c>
      <c r="AC193" s="22">
        <f t="shared" si="163"/>
        <v>50.503204099064668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0</v>
      </c>
      <c r="AJ193" s="13">
        <f>AI193*VLOOKUP('Données projet'!$B$10,Paramètres!$A$1:$I$89,3,0)*VLOOKUP('Données projet'!$B$10,Paramètres!$A$1:$I$89,5,0)</f>
        <v>0</v>
      </c>
      <c r="AK193" s="13" t="e">
        <f t="shared" si="164"/>
        <v>#NUM!</v>
      </c>
      <c r="AL193" s="20" t="e">
        <f t="shared" si="165"/>
        <v>#NUM!</v>
      </c>
      <c r="AM193" s="59" t="e">
        <f t="shared" si="113"/>
        <v>#NUM!</v>
      </c>
      <c r="AN193" s="59">
        <f ca="1">AVERAGE(OFFSET($AM$3,0,0,'Données projet'!$E$10+1,1))-AVERAGE(OFFSET($H$3,0,0,'Données projet'!$E$10+1,1))</f>
        <v>179.4725256147085</v>
      </c>
      <c r="AO193" s="59">
        <f t="shared" si="144"/>
        <v>282.16750121151176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11.000554402840482</v>
      </c>
      <c r="AV193" s="21">
        <f>EXP(-LN(2)/25)*AV192+(1-EXP(-LN(2)/25))/(LN(2)/25)*Calculateur!AQ193*Calculateur!AS193*VLOOKUP('Données projet'!$B$10,Paramètres!$A$1:$I$89,3,0)*0.475*44/12</f>
        <v>1.3293014518916009</v>
      </c>
      <c r="AW193" s="21">
        <f>EXP(-LN(2)/2)*AW192+(1-EXP(-LN(2)/2))/(LN(2)/2)*AQ193*AT193*VLOOKUP('Données projet'!$B$10,Paramètres!$A$1:$I$89,3,0)*0.475*44/12</f>
        <v>1.1687807263553822E-18</v>
      </c>
      <c r="AX193" s="21">
        <f t="shared" si="166"/>
        <v>12.329855854732083</v>
      </c>
      <c r="AY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6.2527760746888816E-13</v>
      </c>
      <c r="BE193" s="13">
        <f>BD193*VLOOKUP('Données projet'!$B$11,Paramètres!$A$1:$I$89,3,0)*VLOOKUP('Données projet'!$B$11,Paramètres!$A$1:$I$89,5,0)</f>
        <v>5.3648818720830608E-13</v>
      </c>
      <c r="BF193" s="13">
        <f t="shared" si="167"/>
        <v>6.6281362235424649E-12</v>
      </c>
      <c r="BG193" s="20">
        <f t="shared" si="168"/>
        <v>1.2478387515390925E-11</v>
      </c>
      <c r="BH193" s="59">
        <f t="shared" si="116"/>
        <v>293.33333333334582</v>
      </c>
      <c r="BI193" s="59">
        <f ca="1">AVERAGE(OFFSET($BH$3,0,0,'Données projet'!$E$11+1,1))-AVERAGE(OFFSET($H$3,0,0,'Données projet'!$E$11+1,1))</f>
        <v>312.89478437044261</v>
      </c>
      <c r="BJ193" s="59">
        <f t="shared" si="146"/>
        <v>276.16555507854571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>
        <f>EXP(-LN(2)/35)*BP192+(1-EXP(-LN(2)/35))/(LN(2)/35)*BL193*BM193*VLOOKUP('Données projet'!$B$11,Paramètres!$A$1:$I$89,3,0)*0.475*44/12</f>
        <v>44.946571680298902</v>
      </c>
      <c r="BQ193" s="21">
        <f>EXP(-LN(2)/25)*BQ192+(1-EXP(-LN(2)/25))/(LN(2)/25)*Calculateur!BL193*Calculateur!BN193*VLOOKUP('Données projet'!$B$11,Paramètres!$A$1:$I$89,3,0)*0.475*44/12</f>
        <v>7.5788243514699785</v>
      </c>
      <c r="BR193" s="21">
        <f>EXP(-LN(2)/2)*BR192+(1-EXP(-LN(2)/2))/(LN(2)/2)*BL193*BO193*VLOOKUP('Données projet'!$B$11,Paramètres!$A$1:$I$89,3,0)*0.475*44/12</f>
        <v>5.7969545895912005E-7</v>
      </c>
      <c r="BS193" s="22">
        <f t="shared" si="169"/>
        <v>52.525396611464338</v>
      </c>
      <c r="BT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0</v>
      </c>
      <c r="BZ193" s="13" t="e">
        <f>BY193*VLOOKUP('Données projet'!$B$12,Paramètres!$A$1:$I$89,3,0)*VLOOKUP('Données projet'!$B$12,Paramètres!$A$1:$I$89,5,0)</f>
        <v>#N/A</v>
      </c>
      <c r="CA193" s="13" t="e">
        <f t="shared" si="170"/>
        <v>#N/A</v>
      </c>
      <c r="CB193" s="20" t="e">
        <f t="shared" si="171"/>
        <v>#N/A</v>
      </c>
      <c r="CC193" s="59" t="e">
        <f t="shared" si="119"/>
        <v>#N/A</v>
      </c>
      <c r="CD193" s="59" t="e">
        <f ca="1">AVERAGE(OFFSET($CC$3,0,0,'Données projet'!$E$12+1,1))-AVERAGE(OFFSET($H$3,0,0,'Données projet'!$E$12+1,1))</f>
        <v>#N/A</v>
      </c>
      <c r="CE193" s="59" t="e">
        <f t="shared" si="148"/>
        <v>#N/A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 t="e">
        <f>EXP(-LN(2)/35)*CK192+(1-EXP(-LN(2)/35))/(LN(2)/35)*CG193*CH193*VLOOKUP('Données projet'!$B$12,Paramètres!$A$1:$I$89,3,0)*0.475*44/12</f>
        <v>#N/A</v>
      </c>
      <c r="CL193" s="21" t="e">
        <f>EXP(-LN(2)/25)*CL192+(1-EXP(-LN(2)/25))/(LN(2)/25)*Calculateur!CG193*Calculateur!CI193*VLOOKUP('Données projet'!$B$12,Paramètres!$A$1:$I$89,3,0)*0.475*44/12</f>
        <v>#N/A</v>
      </c>
      <c r="CM193" s="21" t="e">
        <f>EXP(-LN(2)/2)*CM192+(1-EXP(-LN(2)/2))/(LN(2)/2)*CG193*CJ193*VLOOKUP('Données projet'!$B$12,Paramètres!$A$1:$I$89,3,0)*0.475*44/12</f>
        <v>#N/A</v>
      </c>
      <c r="CN193" s="22" t="e">
        <f t="shared" si="172"/>
        <v>#N/A</v>
      </c>
      <c r="CO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0</v>
      </c>
      <c r="CU193" s="17" t="e">
        <f>CT193*VLOOKUP('Données projet'!$B$13,Paramètres!$A$1:$I$89,3,0)*VLOOKUP('Données projet'!$B$13,Paramètres!$A$1:$I$89,5,0)</f>
        <v>#N/A</v>
      </c>
      <c r="CV193" s="13" t="e">
        <f t="shared" si="173"/>
        <v>#N/A</v>
      </c>
      <c r="CW193" s="20" t="e">
        <f t="shared" si="174"/>
        <v>#N/A</v>
      </c>
      <c r="CX193" s="59" t="e">
        <f t="shared" si="122"/>
        <v>#N/A</v>
      </c>
      <c r="CY193" s="59" t="e">
        <f ca="1">AVERAGE(OFFSET($CX$3,0,0,'Données projet'!$E$13+1,1))-AVERAGE(OFFSET($H$3,0,0,'Données projet'!$E$13+1,1))</f>
        <v>#N/A</v>
      </c>
      <c r="CZ193" s="59" t="e">
        <f t="shared" si="150"/>
        <v>#N/A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 t="e">
        <f>EXP(-LN(2)/35)*DF192+(1-EXP(-LN(2)/35))/(LN(2)/35)*DB193*DC193*VLOOKUP('Données projet'!$B$13,Paramètres!$A$1:$I$89,3,0)*0.475*44/12</f>
        <v>#N/A</v>
      </c>
      <c r="DG193" s="21" t="e">
        <f>EXP(-LN(2)/25)*DG192+(1-EXP(-LN(2)/25))/(LN(2)/25)*Calculateur!DB193*Calculateur!DD193*VLOOKUP('Données projet'!$B$13,Paramètres!$A$1:$I$89,3,0)*0.475*44/12</f>
        <v>#N/A</v>
      </c>
      <c r="DH193" s="21" t="e">
        <f>EXP(-LN(2)/2)*DH192+(1-EXP(-LN(2)/2))/(LN(2)/2)*DB193*DE193*VLOOKUP('Données projet'!$B$13,Paramètres!$A$1:$I$89,3,0)*0.475*44/12</f>
        <v>#N/A</v>
      </c>
      <c r="DI193" s="22" t="e">
        <f t="shared" si="175"/>
        <v>#N/A</v>
      </c>
      <c r="DJ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0</v>
      </c>
      <c r="DP193" s="17" t="e">
        <f>DO193*VLOOKUP('Données projet'!$B$14,Paramètres!$A$1:$I$89,3,0)*VLOOKUP('Données projet'!$B$14,Paramètres!$A$1:$I$89,5,0)</f>
        <v>#N/A</v>
      </c>
      <c r="DQ193" s="13" t="e">
        <f t="shared" si="176"/>
        <v>#N/A</v>
      </c>
      <c r="DR193" s="20" t="e">
        <f t="shared" si="177"/>
        <v>#N/A</v>
      </c>
      <c r="DS193" s="59" t="e">
        <f t="shared" si="125"/>
        <v>#N/A</v>
      </c>
      <c r="DT193" s="59" t="e">
        <f ca="1">AVERAGE(OFFSET($DS$3,0,0,'Données projet'!$E$14+1,1))-AVERAGE(OFFSET($H$3,0,0,'Données projet'!$E$14+1,1))</f>
        <v>#N/A</v>
      </c>
      <c r="DU193" s="59" t="e">
        <f t="shared" si="152"/>
        <v>#N/A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 t="e">
        <f>EXP(-LN(2)/35)*EA192+(1-EXP(-LN(2)/35))/(LN(2)/35)*DW193*DX193*VLOOKUP('Données projet'!$B$14,Paramètres!$A$1:$I$89,3,0)*0.475*44/12</f>
        <v>#N/A</v>
      </c>
      <c r="EB193" s="21" t="e">
        <f>EXP(-LN(2)/25)*EB192+(1-EXP(-LN(2)/25))/(LN(2)/25)*Calculateur!DW193*Calculateur!DY193*VLOOKUP('Données projet'!$B$14,Paramètres!$A$1:$I$89,3,0)*0.475*44/12</f>
        <v>#N/A</v>
      </c>
      <c r="EC193" s="21" t="e">
        <f>EXP(-LN(2)/2)*EC192+(1-EXP(-LN(2)/2))/(LN(2)/2)*DW193*DZ193*VLOOKUP('Données projet'!$B$14,Paramètres!$A$1:$I$89,3,0)*0.475*44/12</f>
        <v>#N/A</v>
      </c>
      <c r="ED193" s="22" t="e">
        <f t="shared" si="178"/>
        <v>#N/A</v>
      </c>
      <c r="EE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0</v>
      </c>
      <c r="EK193" s="17" t="e">
        <f>EJ193*VLOOKUP('Données projet'!$B$15,Paramètres!$A$1:$I$89,3,0)*VLOOKUP('Données projet'!$B$15,Paramètres!$A$1:$I$89,5,0)</f>
        <v>#N/A</v>
      </c>
      <c r="EL193" s="13" t="e">
        <f t="shared" si="179"/>
        <v>#N/A</v>
      </c>
      <c r="EM193" s="20" t="e">
        <f t="shared" si="180"/>
        <v>#N/A</v>
      </c>
      <c r="EN193" s="59" t="e">
        <f t="shared" si="128"/>
        <v>#N/A</v>
      </c>
      <c r="EO193" s="59" t="e">
        <f ca="1">AVERAGE(OFFSET($EN$3,0,0,'Données projet'!$E$15+1,1))-AVERAGE(OFFSET($H$3,0,0,'Données projet'!$E$15+1,1))</f>
        <v>#N/A</v>
      </c>
      <c r="EP193" s="59" t="e">
        <f t="shared" si="154"/>
        <v>#N/A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 t="e">
        <f>EXP(-LN(2)/35)*EV192+(1-EXP(-LN(2)/35))/(LN(2)/35)*ER193*ES193*VLOOKUP('Données projet'!$B$15,Paramètres!$A$1:$I$89,3,0)*0.475*44/12</f>
        <v>#N/A</v>
      </c>
      <c r="EW193" s="21" t="e">
        <f>EXP(-LN(2)/25)*EW192+(1-EXP(-LN(2)/25))/(LN(2)/25)*Calculateur!ER193*Calculateur!ET193*VLOOKUP('Données projet'!$B$15,Paramètres!$A$1:$I$89,3,0)*0.475*44/12</f>
        <v>#N/A</v>
      </c>
      <c r="EX193" s="21" t="e">
        <f>EXP(-LN(2)/2)*EX192+(1-EXP(-LN(2)/2))/(LN(2)/2)*ER193*EU193*VLOOKUP('Données projet'!$B$15,Paramètres!$A$1:$I$89,3,0)*0.475*44/12</f>
        <v>#N/A</v>
      </c>
      <c r="EY193" s="22" t="e">
        <f t="shared" si="181"/>
        <v>#N/A</v>
      </c>
      <c r="EZ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9" t="e">
        <f t="shared" si="131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45">
      <c r="A194" s="10">
        <f t="shared" si="161"/>
        <v>191</v>
      </c>
      <c r="B194" s="73">
        <f>'Scénario référence'!$B$16*5+'Scénario référence'!$B$17*0+'Scénario référence'!$B$18*5</f>
        <v>0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169.83719999999968</v>
      </c>
      <c r="D194" s="11">
        <f t="shared" si="140"/>
        <v>43.053559768035143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">
        <f>IF(OR('Scénario référence'!$F$8&gt;0,'Scénario référence'!$F$9&gt;0),('Scénario référence'!$F$8+'Scénario référence'!$F$9)*10,0)</f>
        <v>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1643.3672683848301</v>
      </c>
      <c r="H194" s="67">
        <f t="shared" si="110"/>
        <v>627.45140659599406</v>
      </c>
      <c r="I194" s="7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1.7053025658242404E-13</v>
      </c>
      <c r="O194" s="13">
        <f>N194*VLOOKUP('Données projet'!$B$9,Paramètres!$A$1:$I$89,3,0)*VLOOKUP('Données projet'!$B$9,Paramètres!$A$1:$I$89,5,0)</f>
        <v>9.5326413429575044E-14</v>
      </c>
      <c r="P194" s="13">
        <f t="shared" si="141"/>
        <v>1.4400742856080346E-12</v>
      </c>
      <c r="Q194" s="20">
        <f t="shared" si="162"/>
        <v>2.6741562174905032E-12</v>
      </c>
      <c r="R194" s="59">
        <f t="shared" si="109"/>
        <v>293.33333333333599</v>
      </c>
      <c r="S194" s="59">
        <f ca="1">AVERAGE(OFFSET($R$3,0,0,'Données projet'!$E$9+1,1))-AVERAGE(OFFSET($H$3,0,0,'Données projet'!$E$9+1,1))</f>
        <v>280.69347314340195</v>
      </c>
      <c r="T194" s="59">
        <f t="shared" si="142"/>
        <v>152.40533828556482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41.825117736204014</v>
      </c>
      <c r="AA194" s="21">
        <f>EXP(-LN(2)/25)*AA193+(1-EXP(-LN(2)/25))/(LN(2)/25)*Calculateur!V194*Calculateur!X194*VLOOKUP('Données projet'!$B$9,Paramètres!$A$1:$I$89,3,0)*0.475*44/12</f>
        <v>7.6270900057842805</v>
      </c>
      <c r="AB194" s="21">
        <f>EXP(-LN(2)/2)*AB193+(1-EXP(-LN(2)/2))/(LN(2)/2)*V194*Y194*VLOOKUP('Données projet'!$B$9,Paramètres!$A$1:$I$89,3,0)*0.475*44/12</f>
        <v>1.2786729765178793E-9</v>
      </c>
      <c r="AC194" s="22">
        <f t="shared" si="163"/>
        <v>49.452207743266968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0</v>
      </c>
      <c r="AJ194" s="13">
        <f>AI194*VLOOKUP('Données projet'!$B$10,Paramètres!$A$1:$I$89,3,0)*VLOOKUP('Données projet'!$B$10,Paramètres!$A$1:$I$89,5,0)</f>
        <v>0</v>
      </c>
      <c r="AK194" s="13" t="e">
        <f t="shared" si="164"/>
        <v>#NUM!</v>
      </c>
      <c r="AL194" s="20" t="e">
        <f t="shared" si="165"/>
        <v>#NUM!</v>
      </c>
      <c r="AM194" s="59" t="e">
        <f t="shared" si="113"/>
        <v>#NUM!</v>
      </c>
      <c r="AN194" s="59">
        <f ca="1">AVERAGE(OFFSET($AM$3,0,0,'Données projet'!$E$10+1,1))-AVERAGE(OFFSET($H$3,0,0,'Données projet'!$E$10+1,1))</f>
        <v>179.4725256147085</v>
      </c>
      <c r="AO194" s="59">
        <f t="shared" si="144"/>
        <v>282.16750121151176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10.78484024067644</v>
      </c>
      <c r="AV194" s="21">
        <f>EXP(-LN(2)/25)*AV193+(1-EXP(-LN(2)/25))/(LN(2)/25)*Calculateur!AQ194*Calculateur!AS194*VLOOKUP('Données projet'!$B$10,Paramètres!$A$1:$I$89,3,0)*0.475*44/12</f>
        <v>1.2929516337846998</v>
      </c>
      <c r="AW194" s="21">
        <f>EXP(-LN(2)/2)*AW193+(1-EXP(-LN(2)/2))/(LN(2)/2)*AQ194*AT194*VLOOKUP('Données projet'!$B$10,Paramètres!$A$1:$I$89,3,0)*0.475*44/12</f>
        <v>8.2645277732602933E-19</v>
      </c>
      <c r="AX194" s="21">
        <f t="shared" si="166"/>
        <v>12.077791874461139</v>
      </c>
      <c r="AY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6.2527760746888816E-13</v>
      </c>
      <c r="BE194" s="13">
        <f>BD194*VLOOKUP('Données projet'!$B$11,Paramètres!$A$1:$I$89,3,0)*VLOOKUP('Données projet'!$B$11,Paramètres!$A$1:$I$89,5,0)</f>
        <v>5.3648818720830608E-13</v>
      </c>
      <c r="BF194" s="13">
        <f t="shared" si="167"/>
        <v>6.6281362235424649E-12</v>
      </c>
      <c r="BG194" s="20">
        <f t="shared" si="168"/>
        <v>1.2478387515390925E-11</v>
      </c>
      <c r="BH194" s="59">
        <f t="shared" si="116"/>
        <v>293.33333333334582</v>
      </c>
      <c r="BI194" s="59">
        <f ca="1">AVERAGE(OFFSET($BH$3,0,0,'Données projet'!$E$11+1,1))-AVERAGE(OFFSET($H$3,0,0,'Données projet'!$E$11+1,1))</f>
        <v>312.89478437044261</v>
      </c>
      <c r="BJ194" s="59">
        <f t="shared" si="146"/>
        <v>276.16555507854571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>
        <f>EXP(-LN(2)/35)*BP193+(1-EXP(-LN(2)/35))/(LN(2)/35)*BL194*BM194*VLOOKUP('Données projet'!$B$11,Paramètres!$A$1:$I$89,3,0)*0.475*44/12</f>
        <v>44.065196824349989</v>
      </c>
      <c r="BQ194" s="21">
        <f>EXP(-LN(2)/25)*BQ193+(1-EXP(-LN(2)/25))/(LN(2)/25)*Calculateur!BL194*Calculateur!BN194*VLOOKUP('Données projet'!$B$11,Paramètres!$A$1:$I$89,3,0)*0.475*44/12</f>
        <v>7.371581001025981</v>
      </c>
      <c r="BR194" s="21">
        <f>EXP(-LN(2)/2)*BR193+(1-EXP(-LN(2)/2))/(LN(2)/2)*BL194*BO194*VLOOKUP('Données projet'!$B$11,Paramètres!$A$1:$I$89,3,0)*0.475*44/12</f>
        <v>4.0990659005304175E-7</v>
      </c>
      <c r="BS194" s="22">
        <f t="shared" si="169"/>
        <v>51.43677823528256</v>
      </c>
      <c r="BT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0</v>
      </c>
      <c r="BZ194" s="13" t="e">
        <f>BY194*VLOOKUP('Données projet'!$B$12,Paramètres!$A$1:$I$89,3,0)*VLOOKUP('Données projet'!$B$12,Paramètres!$A$1:$I$89,5,0)</f>
        <v>#N/A</v>
      </c>
      <c r="CA194" s="13" t="e">
        <f t="shared" si="170"/>
        <v>#N/A</v>
      </c>
      <c r="CB194" s="20" t="e">
        <f t="shared" si="171"/>
        <v>#N/A</v>
      </c>
      <c r="CC194" s="59" t="e">
        <f t="shared" si="119"/>
        <v>#N/A</v>
      </c>
      <c r="CD194" s="59" t="e">
        <f ca="1">AVERAGE(OFFSET($CC$3,0,0,'Données projet'!$E$12+1,1))-AVERAGE(OFFSET($H$3,0,0,'Données projet'!$E$12+1,1))</f>
        <v>#N/A</v>
      </c>
      <c r="CE194" s="59" t="e">
        <f t="shared" si="148"/>
        <v>#N/A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 t="e">
        <f>EXP(-LN(2)/35)*CK193+(1-EXP(-LN(2)/35))/(LN(2)/35)*CG194*CH194*VLOOKUP('Données projet'!$B$12,Paramètres!$A$1:$I$89,3,0)*0.475*44/12</f>
        <v>#N/A</v>
      </c>
      <c r="CL194" s="21" t="e">
        <f>EXP(-LN(2)/25)*CL193+(1-EXP(-LN(2)/25))/(LN(2)/25)*Calculateur!CG194*Calculateur!CI194*VLOOKUP('Données projet'!$B$12,Paramètres!$A$1:$I$89,3,0)*0.475*44/12</f>
        <v>#N/A</v>
      </c>
      <c r="CM194" s="21" t="e">
        <f>EXP(-LN(2)/2)*CM193+(1-EXP(-LN(2)/2))/(LN(2)/2)*CG194*CJ194*VLOOKUP('Données projet'!$B$12,Paramètres!$A$1:$I$89,3,0)*0.475*44/12</f>
        <v>#N/A</v>
      </c>
      <c r="CN194" s="22" t="e">
        <f t="shared" si="172"/>
        <v>#N/A</v>
      </c>
      <c r="CO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0</v>
      </c>
      <c r="CU194" s="17" t="e">
        <f>CT194*VLOOKUP('Données projet'!$B$13,Paramètres!$A$1:$I$89,3,0)*VLOOKUP('Données projet'!$B$13,Paramètres!$A$1:$I$89,5,0)</f>
        <v>#N/A</v>
      </c>
      <c r="CV194" s="13" t="e">
        <f t="shared" si="173"/>
        <v>#N/A</v>
      </c>
      <c r="CW194" s="20" t="e">
        <f t="shared" si="174"/>
        <v>#N/A</v>
      </c>
      <c r="CX194" s="59" t="e">
        <f t="shared" si="122"/>
        <v>#N/A</v>
      </c>
      <c r="CY194" s="59" t="e">
        <f ca="1">AVERAGE(OFFSET($CX$3,0,0,'Données projet'!$E$13+1,1))-AVERAGE(OFFSET($H$3,0,0,'Données projet'!$E$13+1,1))</f>
        <v>#N/A</v>
      </c>
      <c r="CZ194" s="59" t="e">
        <f t="shared" si="150"/>
        <v>#N/A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 t="e">
        <f>EXP(-LN(2)/35)*DF193+(1-EXP(-LN(2)/35))/(LN(2)/35)*DB194*DC194*VLOOKUP('Données projet'!$B$13,Paramètres!$A$1:$I$89,3,0)*0.475*44/12</f>
        <v>#N/A</v>
      </c>
      <c r="DG194" s="21" t="e">
        <f>EXP(-LN(2)/25)*DG193+(1-EXP(-LN(2)/25))/(LN(2)/25)*Calculateur!DB194*Calculateur!DD194*VLOOKUP('Données projet'!$B$13,Paramètres!$A$1:$I$89,3,0)*0.475*44/12</f>
        <v>#N/A</v>
      </c>
      <c r="DH194" s="21" t="e">
        <f>EXP(-LN(2)/2)*DH193+(1-EXP(-LN(2)/2))/(LN(2)/2)*DB194*DE194*VLOOKUP('Données projet'!$B$13,Paramètres!$A$1:$I$89,3,0)*0.475*44/12</f>
        <v>#N/A</v>
      </c>
      <c r="DI194" s="22" t="e">
        <f t="shared" si="175"/>
        <v>#N/A</v>
      </c>
      <c r="DJ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0</v>
      </c>
      <c r="DP194" s="17" t="e">
        <f>DO194*VLOOKUP('Données projet'!$B$14,Paramètres!$A$1:$I$89,3,0)*VLOOKUP('Données projet'!$B$14,Paramètres!$A$1:$I$89,5,0)</f>
        <v>#N/A</v>
      </c>
      <c r="DQ194" s="13" t="e">
        <f t="shared" si="176"/>
        <v>#N/A</v>
      </c>
      <c r="DR194" s="20" t="e">
        <f t="shared" si="177"/>
        <v>#N/A</v>
      </c>
      <c r="DS194" s="59" t="e">
        <f t="shared" si="125"/>
        <v>#N/A</v>
      </c>
      <c r="DT194" s="59" t="e">
        <f ca="1">AVERAGE(OFFSET($DS$3,0,0,'Données projet'!$E$14+1,1))-AVERAGE(OFFSET($H$3,0,0,'Données projet'!$E$14+1,1))</f>
        <v>#N/A</v>
      </c>
      <c r="DU194" s="59" t="e">
        <f t="shared" si="152"/>
        <v>#N/A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 t="e">
        <f>EXP(-LN(2)/35)*EA193+(1-EXP(-LN(2)/35))/(LN(2)/35)*DW194*DX194*VLOOKUP('Données projet'!$B$14,Paramètres!$A$1:$I$89,3,0)*0.475*44/12</f>
        <v>#N/A</v>
      </c>
      <c r="EB194" s="21" t="e">
        <f>EXP(-LN(2)/25)*EB193+(1-EXP(-LN(2)/25))/(LN(2)/25)*Calculateur!DW194*Calculateur!DY194*VLOOKUP('Données projet'!$B$14,Paramètres!$A$1:$I$89,3,0)*0.475*44/12</f>
        <v>#N/A</v>
      </c>
      <c r="EC194" s="21" t="e">
        <f>EXP(-LN(2)/2)*EC193+(1-EXP(-LN(2)/2))/(LN(2)/2)*DW194*DZ194*VLOOKUP('Données projet'!$B$14,Paramètres!$A$1:$I$89,3,0)*0.475*44/12</f>
        <v>#N/A</v>
      </c>
      <c r="ED194" s="22" t="e">
        <f t="shared" si="178"/>
        <v>#N/A</v>
      </c>
      <c r="EE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0</v>
      </c>
      <c r="EK194" s="17" t="e">
        <f>EJ194*VLOOKUP('Données projet'!$B$15,Paramètres!$A$1:$I$89,3,0)*VLOOKUP('Données projet'!$B$15,Paramètres!$A$1:$I$89,5,0)</f>
        <v>#N/A</v>
      </c>
      <c r="EL194" s="13" t="e">
        <f t="shared" si="179"/>
        <v>#N/A</v>
      </c>
      <c r="EM194" s="20" t="e">
        <f t="shared" si="180"/>
        <v>#N/A</v>
      </c>
      <c r="EN194" s="59" t="e">
        <f t="shared" si="128"/>
        <v>#N/A</v>
      </c>
      <c r="EO194" s="59" t="e">
        <f ca="1">AVERAGE(OFFSET($EN$3,0,0,'Données projet'!$E$15+1,1))-AVERAGE(OFFSET($H$3,0,0,'Données projet'!$E$15+1,1))</f>
        <v>#N/A</v>
      </c>
      <c r="EP194" s="59" t="e">
        <f t="shared" si="154"/>
        <v>#N/A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 t="e">
        <f>EXP(-LN(2)/35)*EV193+(1-EXP(-LN(2)/35))/(LN(2)/35)*ER194*ES194*VLOOKUP('Données projet'!$B$15,Paramètres!$A$1:$I$89,3,0)*0.475*44/12</f>
        <v>#N/A</v>
      </c>
      <c r="EW194" s="21" t="e">
        <f>EXP(-LN(2)/25)*EW193+(1-EXP(-LN(2)/25))/(LN(2)/25)*Calculateur!ER194*Calculateur!ET194*VLOOKUP('Données projet'!$B$15,Paramètres!$A$1:$I$89,3,0)*0.475*44/12</f>
        <v>#N/A</v>
      </c>
      <c r="EX194" s="21" t="e">
        <f>EXP(-LN(2)/2)*EX193+(1-EXP(-LN(2)/2))/(LN(2)/2)*ER194*EU194*VLOOKUP('Données projet'!$B$15,Paramètres!$A$1:$I$89,3,0)*0.475*44/12</f>
        <v>#N/A</v>
      </c>
      <c r="EY194" s="22" t="e">
        <f t="shared" si="181"/>
        <v>#N/A</v>
      </c>
      <c r="EZ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9" t="e">
        <f t="shared" si="131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45">
      <c r="A195" s="10">
        <f t="shared" si="161"/>
        <v>192</v>
      </c>
      <c r="B195" s="73">
        <f>'Scénario référence'!$B$16*5+'Scénario référence'!$B$17*0+'Scénario référence'!$B$18*5</f>
        <v>0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170.72639999999967</v>
      </c>
      <c r="D195" s="11">
        <f t="shared" si="140"/>
        <v>43.252672626882983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">
        <f>IF(OR('Scénario référence'!$F$8&gt;0,'Scénario référence'!$F$9&gt;0),('Scénario référence'!$F$8+'Scénario référence'!$F$9)*10,0)</f>
        <v>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1651.7682799268139</v>
      </c>
      <c r="H195" s="67">
        <f t="shared" si="110"/>
        <v>629.34688482515401</v>
      </c>
      <c r="I195" s="7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1.7053025658242404E-13</v>
      </c>
      <c r="O195" s="13">
        <f>N195*VLOOKUP('Données projet'!$B$9,Paramètres!$A$1:$I$89,3,0)*VLOOKUP('Données projet'!$B$9,Paramètres!$A$1:$I$89,5,0)</f>
        <v>9.5326413429575044E-14</v>
      </c>
      <c r="P195" s="13">
        <f t="shared" si="141"/>
        <v>1.4400742856080346E-12</v>
      </c>
      <c r="Q195" s="20">
        <f t="shared" si="162"/>
        <v>2.6741562174905032E-12</v>
      </c>
      <c r="R195" s="59">
        <f t="shared" ref="R195:R203" si="191">Q195+(I195+J195)*44/12</f>
        <v>293.33333333333599</v>
      </c>
      <c r="S195" s="59">
        <f ca="1">AVERAGE(OFFSET($R$3,0,0,'Données projet'!$E$9+1,1))-AVERAGE(OFFSET($H$3,0,0,'Données projet'!$E$9+1,1))</f>
        <v>280.69347314340195</v>
      </c>
      <c r="T195" s="59">
        <f t="shared" si="142"/>
        <v>152.40533828556482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41.004952688199893</v>
      </c>
      <c r="AA195" s="21">
        <f>EXP(-LN(2)/25)*AA194+(1-EXP(-LN(2)/25))/(LN(2)/25)*Calculateur!V195*Calculateur!X195*VLOOKUP('Données projet'!$B$9,Paramètres!$A$1:$I$89,3,0)*0.475*44/12</f>
        <v>7.418526828484878</v>
      </c>
      <c r="AB195" s="21">
        <f>EXP(-LN(2)/2)*AB194+(1-EXP(-LN(2)/2))/(LN(2)/2)*V195*Y195*VLOOKUP('Données projet'!$B$9,Paramètres!$A$1:$I$89,3,0)*0.475*44/12</f>
        <v>9.0415833261577962E-10</v>
      </c>
      <c r="AC195" s="22">
        <f t="shared" si="163"/>
        <v>48.42347951758893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0</v>
      </c>
      <c r="AJ195" s="13">
        <f>AI195*VLOOKUP('Données projet'!$B$10,Paramètres!$A$1:$I$89,3,0)*VLOOKUP('Données projet'!$B$10,Paramètres!$A$1:$I$89,5,0)</f>
        <v>0</v>
      </c>
      <c r="AK195" s="13" t="e">
        <f t="shared" si="164"/>
        <v>#NUM!</v>
      </c>
      <c r="AL195" s="20" t="e">
        <f t="shared" si="165"/>
        <v>#NUM!</v>
      </c>
      <c r="AM195" s="59" t="e">
        <f t="shared" si="113"/>
        <v>#NUM!</v>
      </c>
      <c r="AN195" s="59">
        <f ca="1">AVERAGE(OFFSET($AM$3,0,0,'Données projet'!$E$10+1,1))-AVERAGE(OFFSET($H$3,0,0,'Données projet'!$E$10+1,1))</f>
        <v>179.4725256147085</v>
      </c>
      <c r="AO195" s="59">
        <f t="shared" si="144"/>
        <v>282.16750121151176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10.573356101659789</v>
      </c>
      <c r="AV195" s="21">
        <f>EXP(-LN(2)/25)*AV194+(1-EXP(-LN(2)/25))/(LN(2)/25)*Calculateur!AQ195*Calculateur!AS195*VLOOKUP('Données projet'!$B$10,Paramètres!$A$1:$I$89,3,0)*0.475*44/12</f>
        <v>1.2575958033654859</v>
      </c>
      <c r="AW195" s="21">
        <f>EXP(-LN(2)/2)*AW194+(1-EXP(-LN(2)/2))/(LN(2)/2)*AQ195*AT195*VLOOKUP('Données projet'!$B$10,Paramètres!$A$1:$I$89,3,0)*0.475*44/12</f>
        <v>5.843903631776911E-19</v>
      </c>
      <c r="AX195" s="21">
        <f t="shared" si="166"/>
        <v>11.830951905025275</v>
      </c>
      <c r="AY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6.2527760746888816E-13</v>
      </c>
      <c r="BE195" s="13">
        <f>BD195*VLOOKUP('Données projet'!$B$11,Paramètres!$A$1:$I$89,3,0)*VLOOKUP('Données projet'!$B$11,Paramètres!$A$1:$I$89,5,0)</f>
        <v>5.3648818720830608E-13</v>
      </c>
      <c r="BF195" s="13">
        <f t="shared" si="167"/>
        <v>6.6281362235424649E-12</v>
      </c>
      <c r="BG195" s="20">
        <f t="shared" si="168"/>
        <v>1.2478387515390925E-11</v>
      </c>
      <c r="BH195" s="59">
        <f t="shared" si="116"/>
        <v>293.33333333334582</v>
      </c>
      <c r="BI195" s="59">
        <f ca="1">AVERAGE(OFFSET($BH$3,0,0,'Données projet'!$E$11+1,1))-AVERAGE(OFFSET($H$3,0,0,'Données projet'!$E$11+1,1))</f>
        <v>312.89478437044261</v>
      </c>
      <c r="BJ195" s="59">
        <f t="shared" si="146"/>
        <v>276.16555507854571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>
        <f>EXP(-LN(2)/35)*BP194+(1-EXP(-LN(2)/35))/(LN(2)/35)*BL195*BM195*VLOOKUP('Données projet'!$B$11,Paramètres!$A$1:$I$89,3,0)*0.475*44/12</f>
        <v>43.201105191740652</v>
      </c>
      <c r="BQ195" s="21">
        <f>EXP(-LN(2)/25)*BQ194+(1-EXP(-LN(2)/25))/(LN(2)/25)*Calculateur!BL195*Calculateur!BN195*VLOOKUP('Données projet'!$B$11,Paramètres!$A$1:$I$89,3,0)*0.475*44/12</f>
        <v>7.170004730898329</v>
      </c>
      <c r="BR195" s="21">
        <f>EXP(-LN(2)/2)*BR194+(1-EXP(-LN(2)/2))/(LN(2)/2)*BL195*BO195*VLOOKUP('Données projet'!$B$11,Paramètres!$A$1:$I$89,3,0)*0.475*44/12</f>
        <v>2.8984772947956002E-7</v>
      </c>
      <c r="BS195" s="22">
        <f t="shared" si="169"/>
        <v>50.371110212486705</v>
      </c>
      <c r="BT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0</v>
      </c>
      <c r="BZ195" s="13" t="e">
        <f>BY195*VLOOKUP('Données projet'!$B$12,Paramètres!$A$1:$I$89,3,0)*VLOOKUP('Données projet'!$B$12,Paramètres!$A$1:$I$89,5,0)</f>
        <v>#N/A</v>
      </c>
      <c r="CA195" s="13" t="e">
        <f t="shared" si="170"/>
        <v>#N/A</v>
      </c>
      <c r="CB195" s="20" t="e">
        <f t="shared" si="171"/>
        <v>#N/A</v>
      </c>
      <c r="CC195" s="59" t="e">
        <f t="shared" si="119"/>
        <v>#N/A</v>
      </c>
      <c r="CD195" s="59" t="e">
        <f ca="1">AVERAGE(OFFSET($CC$3,0,0,'Données projet'!$E$12+1,1))-AVERAGE(OFFSET($H$3,0,0,'Données projet'!$E$12+1,1))</f>
        <v>#N/A</v>
      </c>
      <c r="CE195" s="59" t="e">
        <f t="shared" si="148"/>
        <v>#N/A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 t="e">
        <f>EXP(-LN(2)/35)*CK194+(1-EXP(-LN(2)/35))/(LN(2)/35)*CG195*CH195*VLOOKUP('Données projet'!$B$12,Paramètres!$A$1:$I$89,3,0)*0.475*44/12</f>
        <v>#N/A</v>
      </c>
      <c r="CL195" s="21" t="e">
        <f>EXP(-LN(2)/25)*CL194+(1-EXP(-LN(2)/25))/(LN(2)/25)*Calculateur!CG195*Calculateur!CI195*VLOOKUP('Données projet'!$B$12,Paramètres!$A$1:$I$89,3,0)*0.475*44/12</f>
        <v>#N/A</v>
      </c>
      <c r="CM195" s="21" t="e">
        <f>EXP(-LN(2)/2)*CM194+(1-EXP(-LN(2)/2))/(LN(2)/2)*CG195*CJ195*VLOOKUP('Données projet'!$B$12,Paramètres!$A$1:$I$89,3,0)*0.475*44/12</f>
        <v>#N/A</v>
      </c>
      <c r="CN195" s="22" t="e">
        <f t="shared" si="172"/>
        <v>#N/A</v>
      </c>
      <c r="CO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0</v>
      </c>
      <c r="CU195" s="17" t="e">
        <f>CT195*VLOOKUP('Données projet'!$B$13,Paramètres!$A$1:$I$89,3,0)*VLOOKUP('Données projet'!$B$13,Paramètres!$A$1:$I$89,5,0)</f>
        <v>#N/A</v>
      </c>
      <c r="CV195" s="13" t="e">
        <f t="shared" si="173"/>
        <v>#N/A</v>
      </c>
      <c r="CW195" s="20" t="e">
        <f t="shared" si="174"/>
        <v>#N/A</v>
      </c>
      <c r="CX195" s="59" t="e">
        <f t="shared" si="122"/>
        <v>#N/A</v>
      </c>
      <c r="CY195" s="59" t="e">
        <f ca="1">AVERAGE(OFFSET($CX$3,0,0,'Données projet'!$E$13+1,1))-AVERAGE(OFFSET($H$3,0,0,'Données projet'!$E$13+1,1))</f>
        <v>#N/A</v>
      </c>
      <c r="CZ195" s="59" t="e">
        <f t="shared" si="150"/>
        <v>#N/A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 t="e">
        <f>EXP(-LN(2)/35)*DF194+(1-EXP(-LN(2)/35))/(LN(2)/35)*DB195*DC195*VLOOKUP('Données projet'!$B$13,Paramètres!$A$1:$I$89,3,0)*0.475*44/12</f>
        <v>#N/A</v>
      </c>
      <c r="DG195" s="21" t="e">
        <f>EXP(-LN(2)/25)*DG194+(1-EXP(-LN(2)/25))/(LN(2)/25)*Calculateur!DB195*Calculateur!DD195*VLOOKUP('Données projet'!$B$13,Paramètres!$A$1:$I$89,3,0)*0.475*44/12</f>
        <v>#N/A</v>
      </c>
      <c r="DH195" s="21" t="e">
        <f>EXP(-LN(2)/2)*DH194+(1-EXP(-LN(2)/2))/(LN(2)/2)*DB195*DE195*VLOOKUP('Données projet'!$B$13,Paramètres!$A$1:$I$89,3,0)*0.475*44/12</f>
        <v>#N/A</v>
      </c>
      <c r="DI195" s="22" t="e">
        <f t="shared" si="175"/>
        <v>#N/A</v>
      </c>
      <c r="DJ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0</v>
      </c>
      <c r="DP195" s="17" t="e">
        <f>DO195*VLOOKUP('Données projet'!$B$14,Paramètres!$A$1:$I$89,3,0)*VLOOKUP('Données projet'!$B$14,Paramètres!$A$1:$I$89,5,0)</f>
        <v>#N/A</v>
      </c>
      <c r="DQ195" s="13" t="e">
        <f t="shared" si="176"/>
        <v>#N/A</v>
      </c>
      <c r="DR195" s="20" t="e">
        <f t="shared" si="177"/>
        <v>#N/A</v>
      </c>
      <c r="DS195" s="59" t="e">
        <f t="shared" si="125"/>
        <v>#N/A</v>
      </c>
      <c r="DT195" s="59" t="e">
        <f ca="1">AVERAGE(OFFSET($DS$3,0,0,'Données projet'!$E$14+1,1))-AVERAGE(OFFSET($H$3,0,0,'Données projet'!$E$14+1,1))</f>
        <v>#N/A</v>
      </c>
      <c r="DU195" s="59" t="e">
        <f t="shared" si="152"/>
        <v>#N/A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 t="e">
        <f>EXP(-LN(2)/35)*EA194+(1-EXP(-LN(2)/35))/(LN(2)/35)*DW195*DX195*VLOOKUP('Données projet'!$B$14,Paramètres!$A$1:$I$89,3,0)*0.475*44/12</f>
        <v>#N/A</v>
      </c>
      <c r="EB195" s="21" t="e">
        <f>EXP(-LN(2)/25)*EB194+(1-EXP(-LN(2)/25))/(LN(2)/25)*Calculateur!DW195*Calculateur!DY195*VLOOKUP('Données projet'!$B$14,Paramètres!$A$1:$I$89,3,0)*0.475*44/12</f>
        <v>#N/A</v>
      </c>
      <c r="EC195" s="21" t="e">
        <f>EXP(-LN(2)/2)*EC194+(1-EXP(-LN(2)/2))/(LN(2)/2)*DW195*DZ195*VLOOKUP('Données projet'!$B$14,Paramètres!$A$1:$I$89,3,0)*0.475*44/12</f>
        <v>#N/A</v>
      </c>
      <c r="ED195" s="22" t="e">
        <f t="shared" si="178"/>
        <v>#N/A</v>
      </c>
      <c r="EE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0</v>
      </c>
      <c r="EK195" s="17" t="e">
        <f>EJ195*VLOOKUP('Données projet'!$B$15,Paramètres!$A$1:$I$89,3,0)*VLOOKUP('Données projet'!$B$15,Paramètres!$A$1:$I$89,5,0)</f>
        <v>#N/A</v>
      </c>
      <c r="EL195" s="13" t="e">
        <f t="shared" si="179"/>
        <v>#N/A</v>
      </c>
      <c r="EM195" s="20" t="e">
        <f t="shared" si="180"/>
        <v>#N/A</v>
      </c>
      <c r="EN195" s="59" t="e">
        <f t="shared" si="128"/>
        <v>#N/A</v>
      </c>
      <c r="EO195" s="59" t="e">
        <f ca="1">AVERAGE(OFFSET($EN$3,0,0,'Données projet'!$E$15+1,1))-AVERAGE(OFFSET($H$3,0,0,'Données projet'!$E$15+1,1))</f>
        <v>#N/A</v>
      </c>
      <c r="EP195" s="59" t="e">
        <f t="shared" si="154"/>
        <v>#N/A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 t="e">
        <f>EXP(-LN(2)/35)*EV194+(1-EXP(-LN(2)/35))/(LN(2)/35)*ER195*ES195*VLOOKUP('Données projet'!$B$15,Paramètres!$A$1:$I$89,3,0)*0.475*44/12</f>
        <v>#N/A</v>
      </c>
      <c r="EW195" s="21" t="e">
        <f>EXP(-LN(2)/25)*EW194+(1-EXP(-LN(2)/25))/(LN(2)/25)*Calculateur!ER195*Calculateur!ET195*VLOOKUP('Données projet'!$B$15,Paramètres!$A$1:$I$89,3,0)*0.475*44/12</f>
        <v>#N/A</v>
      </c>
      <c r="EX195" s="21" t="e">
        <f>EXP(-LN(2)/2)*EX194+(1-EXP(-LN(2)/2))/(LN(2)/2)*ER195*EU195*VLOOKUP('Données projet'!$B$15,Paramètres!$A$1:$I$89,3,0)*0.475*44/12</f>
        <v>#N/A</v>
      </c>
      <c r="EY195" s="22" t="e">
        <f t="shared" si="181"/>
        <v>#N/A</v>
      </c>
      <c r="EZ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9" t="e">
        <f t="shared" si="131"/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45">
      <c r="A196" s="10">
        <f t="shared" si="161"/>
        <v>193</v>
      </c>
      <c r="B196" s="73">
        <f>'Scénario référence'!$B$16*5+'Scénario référence'!$B$17*0+'Scénario référence'!$B$18*5</f>
        <v>0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171.61559999999966</v>
      </c>
      <c r="D196" s="11">
        <f t="shared" si="140"/>
        <v>43.451664809566452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">
        <f>IF(OR('Scénario référence'!$F$8&gt;0,'Scénario référence'!$F$9&gt;0),('Scénario référence'!$F$8+'Scénario référence'!$F$9)*10,0)</f>
        <v>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1660.1683599334929</v>
      </c>
      <c r="H196" s="67">
        <f t="shared" ref="H196:H203" si="192">(B196+E196+F196)*44/12+(C196+D196)*0.475*44/12</f>
        <v>631.24215287666095</v>
      </c>
      <c r="I196" s="7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1.7053025658242404E-13</v>
      </c>
      <c r="O196" s="13">
        <f>N196*VLOOKUP('Données projet'!$B$9,Paramètres!$A$1:$I$89,3,0)*VLOOKUP('Données projet'!$B$9,Paramètres!$A$1:$I$89,5,0)</f>
        <v>9.5326413429575044E-14</v>
      </c>
      <c r="P196" s="13">
        <f t="shared" si="141"/>
        <v>1.4400742856080346E-12</v>
      </c>
      <c r="Q196" s="20">
        <f t="shared" si="162"/>
        <v>2.6741562174905032E-12</v>
      </c>
      <c r="R196" s="59">
        <f t="shared" si="191"/>
        <v>293.33333333333599</v>
      </c>
      <c r="S196" s="59">
        <f ca="1">AVERAGE(OFFSET($R$3,0,0,'Données projet'!$E$9+1,1))-AVERAGE(OFFSET($H$3,0,0,'Données projet'!$E$9+1,1))</f>
        <v>280.69347314340195</v>
      </c>
      <c r="T196" s="59">
        <f t="shared" si="142"/>
        <v>152.40533828556482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40.200870576535848</v>
      </c>
      <c r="AA196" s="21">
        <f>EXP(-LN(2)/25)*AA195+(1-EXP(-LN(2)/25))/(LN(2)/25)*Calculateur!V196*Calculateur!X196*VLOOKUP('Données projet'!$B$9,Paramètres!$A$1:$I$89,3,0)*0.475*44/12</f>
        <v>7.2156668222365887</v>
      </c>
      <c r="AB196" s="21">
        <f>EXP(-LN(2)/2)*AB195+(1-EXP(-LN(2)/2))/(LN(2)/2)*V196*Y196*VLOOKUP('Données projet'!$B$9,Paramètres!$A$1:$I$89,3,0)*0.475*44/12</f>
        <v>6.3933648825893977E-10</v>
      </c>
      <c r="AC196" s="22">
        <f t="shared" si="163"/>
        <v>47.416537399411773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0</v>
      </c>
      <c r="AJ196" s="13">
        <f>AI196*VLOOKUP('Données projet'!$B$10,Paramètres!$A$1:$I$89,3,0)*VLOOKUP('Données projet'!$B$10,Paramètres!$A$1:$I$89,5,0)</f>
        <v>0</v>
      </c>
      <c r="AK196" s="13" t="e">
        <f t="shared" si="164"/>
        <v>#NUM!</v>
      </c>
      <c r="AL196" s="20" t="e">
        <f t="shared" si="165"/>
        <v>#NUM!</v>
      </c>
      <c r="AM196" s="59" t="e">
        <f t="shared" ref="AM196:AM203" si="193">AL196+(AD196+AE196)*44/12</f>
        <v>#NUM!</v>
      </c>
      <c r="AN196" s="59">
        <f ca="1">AVERAGE(OFFSET($AM$3,0,0,'Données projet'!$E$10+1,1))-AVERAGE(OFFSET($H$3,0,0,'Données projet'!$E$10+1,1))</f>
        <v>179.4725256147085</v>
      </c>
      <c r="AO196" s="59">
        <f t="shared" si="144"/>
        <v>282.16750121151176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10.366019037616665</v>
      </c>
      <c r="AV196" s="21">
        <f>EXP(-LN(2)/25)*AV195+(1-EXP(-LN(2)/25))/(LN(2)/25)*Calculateur!AQ196*Calculateur!AS196*VLOOKUP('Données projet'!$B$10,Paramètres!$A$1:$I$89,3,0)*0.475*44/12</f>
        <v>1.2232067799883677</v>
      </c>
      <c r="AW196" s="21">
        <f>EXP(-LN(2)/2)*AW195+(1-EXP(-LN(2)/2))/(LN(2)/2)*AQ196*AT196*VLOOKUP('Données projet'!$B$10,Paramètres!$A$1:$I$89,3,0)*0.475*44/12</f>
        <v>4.1322638866301466E-19</v>
      </c>
      <c r="AX196" s="21">
        <f t="shared" si="166"/>
        <v>11.589225817605033</v>
      </c>
      <c r="AY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6.2527760746888816E-13</v>
      </c>
      <c r="BE196" s="13">
        <f>BD196*VLOOKUP('Données projet'!$B$11,Paramètres!$A$1:$I$89,3,0)*VLOOKUP('Données projet'!$B$11,Paramètres!$A$1:$I$89,5,0)</f>
        <v>5.3648818720830608E-13</v>
      </c>
      <c r="BF196" s="13">
        <f t="shared" si="167"/>
        <v>6.6281362235424649E-12</v>
      </c>
      <c r="BG196" s="20">
        <f t="shared" si="168"/>
        <v>1.2478387515390925E-11</v>
      </c>
      <c r="BH196" s="59">
        <f t="shared" ref="BH196:BH203" si="194">BG196+(AY196+AZ196)*44/12</f>
        <v>293.33333333334582</v>
      </c>
      <c r="BI196" s="59">
        <f ca="1">AVERAGE(OFFSET($BH$3,0,0,'Données projet'!$E$11+1,1))-AVERAGE(OFFSET($H$3,0,0,'Données projet'!$E$11+1,1))</f>
        <v>312.89478437044261</v>
      </c>
      <c r="BJ196" s="59">
        <f t="shared" si="146"/>
        <v>276.16555507854571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>
        <f>EXP(-LN(2)/35)*BP195+(1-EXP(-LN(2)/35))/(LN(2)/35)*BL196*BM196*VLOOKUP('Données projet'!$B$11,Paramètres!$A$1:$I$89,3,0)*0.475*44/12</f>
        <v>42.353957869002933</v>
      </c>
      <c r="BQ196" s="21">
        <f>EXP(-LN(2)/25)*BQ195+(1-EXP(-LN(2)/25))/(LN(2)/25)*Calculateur!BL196*Calculateur!BN196*VLOOKUP('Données projet'!$B$11,Paramètres!$A$1:$I$89,3,0)*0.475*44/12</f>
        <v>6.9739405744777523</v>
      </c>
      <c r="BR196" s="21">
        <f>EXP(-LN(2)/2)*BR195+(1-EXP(-LN(2)/2))/(LN(2)/2)*BL196*BO196*VLOOKUP('Données projet'!$B$11,Paramètres!$A$1:$I$89,3,0)*0.475*44/12</f>
        <v>2.0495329502652087E-7</v>
      </c>
      <c r="BS196" s="22">
        <f t="shared" si="169"/>
        <v>49.32789864843398</v>
      </c>
      <c r="BT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0</v>
      </c>
      <c r="BZ196" s="13" t="e">
        <f>BY196*VLOOKUP('Données projet'!$B$12,Paramètres!$A$1:$I$89,3,0)*VLOOKUP('Données projet'!$B$12,Paramètres!$A$1:$I$89,5,0)</f>
        <v>#N/A</v>
      </c>
      <c r="CA196" s="13" t="e">
        <f t="shared" si="170"/>
        <v>#N/A</v>
      </c>
      <c r="CB196" s="20" t="e">
        <f t="shared" si="171"/>
        <v>#N/A</v>
      </c>
      <c r="CC196" s="59" t="e">
        <f t="shared" ref="CC196:CC203" si="195">CB196+(BT196+BU196)*44/12</f>
        <v>#N/A</v>
      </c>
      <c r="CD196" s="59" t="e">
        <f ca="1">AVERAGE(OFFSET($CC$3,0,0,'Données projet'!$E$12+1,1))-AVERAGE(OFFSET($H$3,0,0,'Données projet'!$E$12+1,1))</f>
        <v>#N/A</v>
      </c>
      <c r="CE196" s="59" t="e">
        <f t="shared" si="148"/>
        <v>#N/A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 t="e">
        <f>EXP(-LN(2)/35)*CK195+(1-EXP(-LN(2)/35))/(LN(2)/35)*CG196*CH196*VLOOKUP('Données projet'!$B$12,Paramètres!$A$1:$I$89,3,0)*0.475*44/12</f>
        <v>#N/A</v>
      </c>
      <c r="CL196" s="21" t="e">
        <f>EXP(-LN(2)/25)*CL195+(1-EXP(-LN(2)/25))/(LN(2)/25)*Calculateur!CG196*Calculateur!CI196*VLOOKUP('Données projet'!$B$12,Paramètres!$A$1:$I$89,3,0)*0.475*44/12</f>
        <v>#N/A</v>
      </c>
      <c r="CM196" s="21" t="e">
        <f>EXP(-LN(2)/2)*CM195+(1-EXP(-LN(2)/2))/(LN(2)/2)*CG196*CJ196*VLOOKUP('Données projet'!$B$12,Paramètres!$A$1:$I$89,3,0)*0.475*44/12</f>
        <v>#N/A</v>
      </c>
      <c r="CN196" s="22" t="e">
        <f t="shared" si="172"/>
        <v>#N/A</v>
      </c>
      <c r="CO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0</v>
      </c>
      <c r="CU196" s="17" t="e">
        <f>CT196*VLOOKUP('Données projet'!$B$13,Paramètres!$A$1:$I$89,3,0)*VLOOKUP('Données projet'!$B$13,Paramètres!$A$1:$I$89,5,0)</f>
        <v>#N/A</v>
      </c>
      <c r="CV196" s="13" t="e">
        <f t="shared" si="173"/>
        <v>#N/A</v>
      </c>
      <c r="CW196" s="20" t="e">
        <f t="shared" si="174"/>
        <v>#N/A</v>
      </c>
      <c r="CX196" s="59" t="e">
        <f t="shared" ref="CX196:CX203" si="196">CW196+(CO196+CP196)*44/12</f>
        <v>#N/A</v>
      </c>
      <c r="CY196" s="59" t="e">
        <f ca="1">AVERAGE(OFFSET($CX$3,0,0,'Données projet'!$E$13+1,1))-AVERAGE(OFFSET($H$3,0,0,'Données projet'!$E$13+1,1))</f>
        <v>#N/A</v>
      </c>
      <c r="CZ196" s="59" t="e">
        <f t="shared" si="150"/>
        <v>#N/A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 t="e">
        <f>EXP(-LN(2)/35)*DF195+(1-EXP(-LN(2)/35))/(LN(2)/35)*DB196*DC196*VLOOKUP('Données projet'!$B$13,Paramètres!$A$1:$I$89,3,0)*0.475*44/12</f>
        <v>#N/A</v>
      </c>
      <c r="DG196" s="21" t="e">
        <f>EXP(-LN(2)/25)*DG195+(1-EXP(-LN(2)/25))/(LN(2)/25)*Calculateur!DB196*Calculateur!DD196*VLOOKUP('Données projet'!$B$13,Paramètres!$A$1:$I$89,3,0)*0.475*44/12</f>
        <v>#N/A</v>
      </c>
      <c r="DH196" s="21" t="e">
        <f>EXP(-LN(2)/2)*DH195+(1-EXP(-LN(2)/2))/(LN(2)/2)*DB196*DE196*VLOOKUP('Données projet'!$B$13,Paramètres!$A$1:$I$89,3,0)*0.475*44/12</f>
        <v>#N/A</v>
      </c>
      <c r="DI196" s="22" t="e">
        <f t="shared" si="175"/>
        <v>#N/A</v>
      </c>
      <c r="DJ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0</v>
      </c>
      <c r="DP196" s="17" t="e">
        <f>DO196*VLOOKUP('Données projet'!$B$14,Paramètres!$A$1:$I$89,3,0)*VLOOKUP('Données projet'!$B$14,Paramètres!$A$1:$I$89,5,0)</f>
        <v>#N/A</v>
      </c>
      <c r="DQ196" s="13" t="e">
        <f t="shared" si="176"/>
        <v>#N/A</v>
      </c>
      <c r="DR196" s="20" t="e">
        <f t="shared" si="177"/>
        <v>#N/A</v>
      </c>
      <c r="DS196" s="59" t="e">
        <f t="shared" ref="DS196:DS203" si="197">DR196+(DJ196+DK196)*44/12</f>
        <v>#N/A</v>
      </c>
      <c r="DT196" s="59" t="e">
        <f ca="1">AVERAGE(OFFSET($DS$3,0,0,'Données projet'!$E$14+1,1))-AVERAGE(OFFSET($H$3,0,0,'Données projet'!$E$14+1,1))</f>
        <v>#N/A</v>
      </c>
      <c r="DU196" s="59" t="e">
        <f t="shared" si="152"/>
        <v>#N/A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 t="e">
        <f>EXP(-LN(2)/35)*EA195+(1-EXP(-LN(2)/35))/(LN(2)/35)*DW196*DX196*VLOOKUP('Données projet'!$B$14,Paramètres!$A$1:$I$89,3,0)*0.475*44/12</f>
        <v>#N/A</v>
      </c>
      <c r="EB196" s="21" t="e">
        <f>EXP(-LN(2)/25)*EB195+(1-EXP(-LN(2)/25))/(LN(2)/25)*Calculateur!DW196*Calculateur!DY196*VLOOKUP('Données projet'!$B$14,Paramètres!$A$1:$I$89,3,0)*0.475*44/12</f>
        <v>#N/A</v>
      </c>
      <c r="EC196" s="21" t="e">
        <f>EXP(-LN(2)/2)*EC195+(1-EXP(-LN(2)/2))/(LN(2)/2)*DW196*DZ196*VLOOKUP('Données projet'!$B$14,Paramètres!$A$1:$I$89,3,0)*0.475*44/12</f>
        <v>#N/A</v>
      </c>
      <c r="ED196" s="22" t="e">
        <f t="shared" si="178"/>
        <v>#N/A</v>
      </c>
      <c r="EE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0</v>
      </c>
      <c r="EK196" s="17" t="e">
        <f>EJ196*VLOOKUP('Données projet'!$B$15,Paramètres!$A$1:$I$89,3,0)*VLOOKUP('Données projet'!$B$15,Paramètres!$A$1:$I$89,5,0)</f>
        <v>#N/A</v>
      </c>
      <c r="EL196" s="13" t="e">
        <f t="shared" si="179"/>
        <v>#N/A</v>
      </c>
      <c r="EM196" s="20" t="e">
        <f t="shared" si="180"/>
        <v>#N/A</v>
      </c>
      <c r="EN196" s="59" t="e">
        <f t="shared" ref="EN196:EN203" si="198">EM196+(EE196+EF196)*44/12</f>
        <v>#N/A</v>
      </c>
      <c r="EO196" s="59" t="e">
        <f ca="1">AVERAGE(OFFSET($EN$3,0,0,'Données projet'!$E$15+1,1))-AVERAGE(OFFSET($H$3,0,0,'Données projet'!$E$15+1,1))</f>
        <v>#N/A</v>
      </c>
      <c r="EP196" s="59" t="e">
        <f t="shared" si="154"/>
        <v>#N/A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 t="e">
        <f>EXP(-LN(2)/35)*EV195+(1-EXP(-LN(2)/35))/(LN(2)/35)*ER196*ES196*VLOOKUP('Données projet'!$B$15,Paramètres!$A$1:$I$89,3,0)*0.475*44/12</f>
        <v>#N/A</v>
      </c>
      <c r="EW196" s="21" t="e">
        <f>EXP(-LN(2)/25)*EW195+(1-EXP(-LN(2)/25))/(LN(2)/25)*Calculateur!ER196*Calculateur!ET196*VLOOKUP('Données projet'!$B$15,Paramètres!$A$1:$I$89,3,0)*0.475*44/12</f>
        <v>#N/A</v>
      </c>
      <c r="EX196" s="21" t="e">
        <f>EXP(-LN(2)/2)*EX195+(1-EXP(-LN(2)/2))/(LN(2)/2)*ER196*EU196*VLOOKUP('Données projet'!$B$15,Paramètres!$A$1:$I$89,3,0)*0.475*44/12</f>
        <v>#N/A</v>
      </c>
      <c r="EY196" s="22" t="e">
        <f t="shared" si="181"/>
        <v>#N/A</v>
      </c>
      <c r="EZ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9" t="e">
        <f t="shared" ref="FI196:FI203" si="199">FH196+(EZ196+FA196)*44/12</f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45">
      <c r="A197" s="10">
        <f t="shared" si="161"/>
        <v>194</v>
      </c>
      <c r="B197" s="73">
        <f>'Scénario référence'!$B$16*5+'Scénario référence'!$B$17*0+'Scénario référence'!$B$18*5</f>
        <v>0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172.50479999999965</v>
      </c>
      <c r="D197" s="11">
        <f t="shared" ref="D197:D203" si="202">IFERROR(EXP(-1.0587+0.8836*LN(C197)+0.284),0)</f>
        <v>43.650537013927277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">
        <f>IF(OR('Scénario référence'!$F$8&gt;0,'Scénario référence'!$F$9&gt;0),('Scénario référence'!$F$8+'Scénario référence'!$F$9)*10,0)</f>
        <v>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1668.5675137917167</v>
      </c>
      <c r="H197" s="67">
        <f t="shared" si="192"/>
        <v>633.13721196592269</v>
      </c>
      <c r="I197" s="7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1.7053025658242404E-13</v>
      </c>
      <c r="O197" s="13">
        <f>N197*VLOOKUP('Données projet'!$B$9,Paramètres!$A$1:$I$89,3,0)*VLOOKUP('Données projet'!$B$9,Paramètres!$A$1:$I$89,5,0)</f>
        <v>9.5326413429575044E-14</v>
      </c>
      <c r="P197" s="13">
        <f t="shared" ref="P197:P203" si="203">EXP(-1.0587+0.8836*LN(O197)+0.284)</f>
        <v>1.4400742856080346E-12</v>
      </c>
      <c r="Q197" s="20">
        <f t="shared" si="162"/>
        <v>2.6741562174905032E-12</v>
      </c>
      <c r="R197" s="59">
        <f t="shared" si="191"/>
        <v>293.33333333333599</v>
      </c>
      <c r="S197" s="59">
        <f ca="1">AVERAGE(OFFSET($R$3,0,0,'Données projet'!$E$9+1,1))-AVERAGE(OFFSET($H$3,0,0,'Données projet'!$E$9+1,1))</f>
        <v>280.69347314340195</v>
      </c>
      <c r="T197" s="59">
        <f t="shared" ref="T197:T203" si="204">$T$3</f>
        <v>152.40533828556482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39.412556024639869</v>
      </c>
      <c r="AA197" s="21">
        <f>EXP(-LN(2)/25)*AA196+(1-EXP(-LN(2)/25))/(LN(2)/25)*Calculateur!V197*Calculateur!X197*VLOOKUP('Données projet'!$B$9,Paramètres!$A$1:$I$89,3,0)*0.475*44/12</f>
        <v>7.0183540335271024</v>
      </c>
      <c r="AB197" s="21">
        <f>EXP(-LN(2)/2)*AB196+(1-EXP(-LN(2)/2))/(LN(2)/2)*V197*Y197*VLOOKUP('Données projet'!$B$9,Paramètres!$A$1:$I$89,3,0)*0.475*44/12</f>
        <v>4.5207916630788986E-10</v>
      </c>
      <c r="AC197" s="22">
        <f t="shared" si="163"/>
        <v>46.430910058619048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0</v>
      </c>
      <c r="AJ197" s="13">
        <f>AI197*VLOOKUP('Données projet'!$B$10,Paramètres!$A$1:$I$89,3,0)*VLOOKUP('Données projet'!$B$10,Paramètres!$A$1:$I$89,5,0)</f>
        <v>0</v>
      </c>
      <c r="AK197" s="13" t="e">
        <f t="shared" si="164"/>
        <v>#NUM!</v>
      </c>
      <c r="AL197" s="20" t="e">
        <f t="shared" si="165"/>
        <v>#NUM!</v>
      </c>
      <c r="AM197" s="59" t="e">
        <f t="shared" si="193"/>
        <v>#NUM!</v>
      </c>
      <c r="AN197" s="59">
        <f ca="1">AVERAGE(OFFSET($AM$3,0,0,'Données projet'!$E$10+1,1))-AVERAGE(OFFSET($H$3,0,0,'Données projet'!$E$10+1,1))</f>
        <v>179.4725256147085</v>
      </c>
      <c r="AO197" s="59">
        <f t="shared" ref="AO197:AO203" si="205">$AO$3</f>
        <v>282.16750121151176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10.162747726936306</v>
      </c>
      <c r="AV197" s="21">
        <f>EXP(-LN(2)/25)*AV196+(1-EXP(-LN(2)/25))/(LN(2)/25)*Calculateur!AQ197*Calculateur!AS197*VLOOKUP('Données projet'!$B$10,Paramètres!$A$1:$I$89,3,0)*0.475*44/12</f>
        <v>1.189758126263937</v>
      </c>
      <c r="AW197" s="21">
        <f>EXP(-LN(2)/2)*AW196+(1-EXP(-LN(2)/2))/(LN(2)/2)*AQ197*AT197*VLOOKUP('Données projet'!$B$10,Paramètres!$A$1:$I$89,3,0)*0.475*44/12</f>
        <v>2.9219518158884555E-19</v>
      </c>
      <c r="AX197" s="21">
        <f t="shared" si="166"/>
        <v>11.352505853200244</v>
      </c>
      <c r="AY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6.2527760746888816E-13</v>
      </c>
      <c r="BE197" s="13">
        <f>BD197*VLOOKUP('Données projet'!$B$11,Paramètres!$A$1:$I$89,3,0)*VLOOKUP('Données projet'!$B$11,Paramètres!$A$1:$I$89,5,0)</f>
        <v>5.3648818720830608E-13</v>
      </c>
      <c r="BF197" s="13">
        <f t="shared" si="167"/>
        <v>6.6281362235424649E-12</v>
      </c>
      <c r="BG197" s="20">
        <f t="shared" si="168"/>
        <v>1.2478387515390925E-11</v>
      </c>
      <c r="BH197" s="59">
        <f t="shared" si="194"/>
        <v>293.33333333334582</v>
      </c>
      <c r="BI197" s="59">
        <f ca="1">AVERAGE(OFFSET($BH$3,0,0,'Données projet'!$E$11+1,1))-AVERAGE(OFFSET($H$3,0,0,'Données projet'!$E$11+1,1))</f>
        <v>312.89478437044261</v>
      </c>
      <c r="BJ197" s="59">
        <f t="shared" ref="BJ197:BJ203" si="206">$BJ$3</f>
        <v>276.16555507854571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>
        <f>EXP(-LN(2)/35)*BP196+(1-EXP(-LN(2)/35))/(LN(2)/35)*BL197*BM197*VLOOKUP('Données projet'!$B$11,Paramètres!$A$1:$I$89,3,0)*0.475*44/12</f>
        <v>41.523422588555256</v>
      </c>
      <c r="BQ197" s="21">
        <f>EXP(-LN(2)/25)*BQ196+(1-EXP(-LN(2)/25))/(LN(2)/25)*Calculateur!BL197*Calculateur!BN197*VLOOKUP('Données projet'!$B$11,Paramètres!$A$1:$I$89,3,0)*0.475*44/12</f>
        <v>6.7832378027250622</v>
      </c>
      <c r="BR197" s="21">
        <f>EXP(-LN(2)/2)*BR196+(1-EXP(-LN(2)/2))/(LN(2)/2)*BL197*BO197*VLOOKUP('Données projet'!$B$11,Paramètres!$A$1:$I$89,3,0)*0.475*44/12</f>
        <v>1.4492386473978001E-7</v>
      </c>
      <c r="BS197" s="22">
        <f t="shared" si="169"/>
        <v>48.306660536204184</v>
      </c>
      <c r="BT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0</v>
      </c>
      <c r="BZ197" s="13" t="e">
        <f>BY197*VLOOKUP('Données projet'!$B$12,Paramètres!$A$1:$I$89,3,0)*VLOOKUP('Données projet'!$B$12,Paramètres!$A$1:$I$89,5,0)</f>
        <v>#N/A</v>
      </c>
      <c r="CA197" s="13" t="e">
        <f t="shared" si="170"/>
        <v>#N/A</v>
      </c>
      <c r="CB197" s="20" t="e">
        <f t="shared" si="171"/>
        <v>#N/A</v>
      </c>
      <c r="CC197" s="59" t="e">
        <f t="shared" si="195"/>
        <v>#N/A</v>
      </c>
      <c r="CD197" s="59" t="e">
        <f ca="1">AVERAGE(OFFSET($CC$3,0,0,'Données projet'!$E$12+1,1))-AVERAGE(OFFSET($H$3,0,0,'Données projet'!$E$12+1,1))</f>
        <v>#N/A</v>
      </c>
      <c r="CE197" s="59" t="e">
        <f t="shared" ref="CE197:CE203" si="207">$CE$3</f>
        <v>#N/A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 t="e">
        <f>EXP(-LN(2)/35)*CK196+(1-EXP(-LN(2)/35))/(LN(2)/35)*CG197*CH197*VLOOKUP('Données projet'!$B$12,Paramètres!$A$1:$I$89,3,0)*0.475*44/12</f>
        <v>#N/A</v>
      </c>
      <c r="CL197" s="21" t="e">
        <f>EXP(-LN(2)/25)*CL196+(1-EXP(-LN(2)/25))/(LN(2)/25)*Calculateur!CG197*Calculateur!CI197*VLOOKUP('Données projet'!$B$12,Paramètres!$A$1:$I$89,3,0)*0.475*44/12</f>
        <v>#N/A</v>
      </c>
      <c r="CM197" s="21" t="e">
        <f>EXP(-LN(2)/2)*CM196+(1-EXP(-LN(2)/2))/(LN(2)/2)*CG197*CJ197*VLOOKUP('Données projet'!$B$12,Paramètres!$A$1:$I$89,3,0)*0.475*44/12</f>
        <v>#N/A</v>
      </c>
      <c r="CN197" s="22" t="e">
        <f t="shared" si="172"/>
        <v>#N/A</v>
      </c>
      <c r="CO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0</v>
      </c>
      <c r="CU197" s="17" t="e">
        <f>CT197*VLOOKUP('Données projet'!$B$13,Paramètres!$A$1:$I$89,3,0)*VLOOKUP('Données projet'!$B$13,Paramètres!$A$1:$I$89,5,0)</f>
        <v>#N/A</v>
      </c>
      <c r="CV197" s="13" t="e">
        <f t="shared" si="173"/>
        <v>#N/A</v>
      </c>
      <c r="CW197" s="20" t="e">
        <f t="shared" si="174"/>
        <v>#N/A</v>
      </c>
      <c r="CX197" s="59" t="e">
        <f t="shared" si="196"/>
        <v>#N/A</v>
      </c>
      <c r="CY197" s="59" t="e">
        <f ca="1">AVERAGE(OFFSET($CX$3,0,0,'Données projet'!$E$13+1,1))-AVERAGE(OFFSET($H$3,0,0,'Données projet'!$E$13+1,1))</f>
        <v>#N/A</v>
      </c>
      <c r="CZ197" s="59" t="e">
        <f t="shared" ref="CZ197:CZ203" si="208">$CZ$3</f>
        <v>#N/A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 t="e">
        <f>EXP(-LN(2)/35)*DF196+(1-EXP(-LN(2)/35))/(LN(2)/35)*DB197*DC197*VLOOKUP('Données projet'!$B$13,Paramètres!$A$1:$I$89,3,0)*0.475*44/12</f>
        <v>#N/A</v>
      </c>
      <c r="DG197" s="21" t="e">
        <f>EXP(-LN(2)/25)*DG196+(1-EXP(-LN(2)/25))/(LN(2)/25)*Calculateur!DB197*Calculateur!DD197*VLOOKUP('Données projet'!$B$13,Paramètres!$A$1:$I$89,3,0)*0.475*44/12</f>
        <v>#N/A</v>
      </c>
      <c r="DH197" s="21" t="e">
        <f>EXP(-LN(2)/2)*DH196+(1-EXP(-LN(2)/2))/(LN(2)/2)*DB197*DE197*VLOOKUP('Données projet'!$B$13,Paramètres!$A$1:$I$89,3,0)*0.475*44/12</f>
        <v>#N/A</v>
      </c>
      <c r="DI197" s="22" t="e">
        <f t="shared" si="175"/>
        <v>#N/A</v>
      </c>
      <c r="DJ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0</v>
      </c>
      <c r="DP197" s="17" t="e">
        <f>DO197*VLOOKUP('Données projet'!$B$14,Paramètres!$A$1:$I$89,3,0)*VLOOKUP('Données projet'!$B$14,Paramètres!$A$1:$I$89,5,0)</f>
        <v>#N/A</v>
      </c>
      <c r="DQ197" s="13" t="e">
        <f t="shared" si="176"/>
        <v>#N/A</v>
      </c>
      <c r="DR197" s="20" t="e">
        <f t="shared" si="177"/>
        <v>#N/A</v>
      </c>
      <c r="DS197" s="59" t="e">
        <f t="shared" si="197"/>
        <v>#N/A</v>
      </c>
      <c r="DT197" s="59" t="e">
        <f ca="1">AVERAGE(OFFSET($DS$3,0,0,'Données projet'!$E$14+1,1))-AVERAGE(OFFSET($H$3,0,0,'Données projet'!$E$14+1,1))</f>
        <v>#N/A</v>
      </c>
      <c r="DU197" s="59" t="e">
        <f t="shared" ref="DU197:DU203" si="209">$DU$3</f>
        <v>#N/A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 t="e">
        <f>EXP(-LN(2)/35)*EA196+(1-EXP(-LN(2)/35))/(LN(2)/35)*DW197*DX197*VLOOKUP('Données projet'!$B$14,Paramètres!$A$1:$I$89,3,0)*0.475*44/12</f>
        <v>#N/A</v>
      </c>
      <c r="EB197" s="21" t="e">
        <f>EXP(-LN(2)/25)*EB196+(1-EXP(-LN(2)/25))/(LN(2)/25)*Calculateur!DW197*Calculateur!DY197*VLOOKUP('Données projet'!$B$14,Paramètres!$A$1:$I$89,3,0)*0.475*44/12</f>
        <v>#N/A</v>
      </c>
      <c r="EC197" s="21" t="e">
        <f>EXP(-LN(2)/2)*EC196+(1-EXP(-LN(2)/2))/(LN(2)/2)*DW197*DZ197*VLOOKUP('Données projet'!$B$14,Paramètres!$A$1:$I$89,3,0)*0.475*44/12</f>
        <v>#N/A</v>
      </c>
      <c r="ED197" s="22" t="e">
        <f t="shared" si="178"/>
        <v>#N/A</v>
      </c>
      <c r="EE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0</v>
      </c>
      <c r="EK197" s="17" t="e">
        <f>EJ197*VLOOKUP('Données projet'!$B$15,Paramètres!$A$1:$I$89,3,0)*VLOOKUP('Données projet'!$B$15,Paramètres!$A$1:$I$89,5,0)</f>
        <v>#N/A</v>
      </c>
      <c r="EL197" s="13" t="e">
        <f t="shared" si="179"/>
        <v>#N/A</v>
      </c>
      <c r="EM197" s="20" t="e">
        <f t="shared" si="180"/>
        <v>#N/A</v>
      </c>
      <c r="EN197" s="59" t="e">
        <f t="shared" si="198"/>
        <v>#N/A</v>
      </c>
      <c r="EO197" s="59" t="e">
        <f ca="1">AVERAGE(OFFSET($EN$3,0,0,'Données projet'!$E$15+1,1))-AVERAGE(OFFSET($H$3,0,0,'Données projet'!$E$15+1,1))</f>
        <v>#N/A</v>
      </c>
      <c r="EP197" s="59" t="e">
        <f t="shared" ref="EP197:EP203" si="210">$EP$3</f>
        <v>#N/A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 t="e">
        <f>EXP(-LN(2)/35)*EV196+(1-EXP(-LN(2)/35))/(LN(2)/35)*ER197*ES197*VLOOKUP('Données projet'!$B$15,Paramètres!$A$1:$I$89,3,0)*0.475*44/12</f>
        <v>#N/A</v>
      </c>
      <c r="EW197" s="21" t="e">
        <f>EXP(-LN(2)/25)*EW196+(1-EXP(-LN(2)/25))/(LN(2)/25)*Calculateur!ER197*Calculateur!ET197*VLOOKUP('Données projet'!$B$15,Paramètres!$A$1:$I$89,3,0)*0.475*44/12</f>
        <v>#N/A</v>
      </c>
      <c r="EX197" s="21" t="e">
        <f>EXP(-LN(2)/2)*EX196+(1-EXP(-LN(2)/2))/(LN(2)/2)*ER197*EU197*VLOOKUP('Données projet'!$B$15,Paramètres!$A$1:$I$89,3,0)*0.475*44/12</f>
        <v>#N/A</v>
      </c>
      <c r="EY197" s="22" t="e">
        <f t="shared" si="181"/>
        <v>#N/A</v>
      </c>
      <c r="EZ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9" t="e">
        <f t="shared" si="199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45">
      <c r="A198" s="10">
        <f t="shared" si="161"/>
        <v>195</v>
      </c>
      <c r="B198" s="73">
        <f>'Scénario référence'!$B$16*5+'Scénario référence'!$B$17*0+'Scénario référence'!$B$18*5</f>
        <v>0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173.39399999999964</v>
      </c>
      <c r="D198" s="11">
        <f t="shared" si="202"/>
        <v>43.849289930196555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">
        <f>IF(OR('Scénario référence'!$F$8&gt;0,'Scénario référence'!$F$9&gt;0),('Scénario référence'!$F$8+'Scénario référence'!$F$9)*10,0)</f>
        <v>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1676.9657468295848</v>
      </c>
      <c r="H198" s="67">
        <f t="shared" si="192"/>
        <v>635.0320632950918</v>
      </c>
      <c r="I198" s="7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1.7053025658242404E-13</v>
      </c>
      <c r="O198" s="13">
        <f>N198*VLOOKUP('Données projet'!$B$9,Paramètres!$A$1:$I$89,3,0)*VLOOKUP('Données projet'!$B$9,Paramètres!$A$1:$I$89,5,0)</f>
        <v>9.5326413429575044E-14</v>
      </c>
      <c r="P198" s="13">
        <f t="shared" si="203"/>
        <v>1.4400742856080346E-12</v>
      </c>
      <c r="Q198" s="20">
        <f t="shared" si="162"/>
        <v>2.6741562174905032E-12</v>
      </c>
      <c r="R198" s="59">
        <f t="shared" si="191"/>
        <v>293.33333333333599</v>
      </c>
      <c r="S198" s="59">
        <f ca="1">AVERAGE(OFFSET($R$3,0,0,'Données projet'!$E$9+1,1))-AVERAGE(OFFSET($H$3,0,0,'Données projet'!$E$9+1,1))</f>
        <v>280.69347314340195</v>
      </c>
      <c r="T198" s="59">
        <f t="shared" si="204"/>
        <v>152.40533828556482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38.639699840282177</v>
      </c>
      <c r="AA198" s="21">
        <f>EXP(-LN(2)/25)*AA197+(1-EXP(-LN(2)/25))/(LN(2)/25)*Calculateur!V198*Calculateur!X198*VLOOKUP('Données projet'!$B$9,Paramètres!$A$1:$I$89,3,0)*0.475*44/12</f>
        <v>6.826436773401106</v>
      </c>
      <c r="AB198" s="21">
        <f>EXP(-LN(2)/2)*AB197+(1-EXP(-LN(2)/2))/(LN(2)/2)*V198*Y198*VLOOKUP('Données projet'!$B$9,Paramètres!$A$1:$I$89,3,0)*0.475*44/12</f>
        <v>3.1966824412946994E-10</v>
      </c>
      <c r="AC198" s="22">
        <f t="shared" si="163"/>
        <v>45.466136614002949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0</v>
      </c>
      <c r="AJ198" s="13">
        <f>AI198*VLOOKUP('Données projet'!$B$10,Paramètres!$A$1:$I$89,3,0)*VLOOKUP('Données projet'!$B$10,Paramètres!$A$1:$I$89,5,0)</f>
        <v>0</v>
      </c>
      <c r="AK198" s="13" t="e">
        <f t="shared" si="164"/>
        <v>#NUM!</v>
      </c>
      <c r="AL198" s="20" t="e">
        <f t="shared" si="165"/>
        <v>#NUM!</v>
      </c>
      <c r="AM198" s="59" t="e">
        <f t="shared" si="193"/>
        <v>#NUM!</v>
      </c>
      <c r="AN198" s="59">
        <f ca="1">AVERAGE(OFFSET($AM$3,0,0,'Données projet'!$E$10+1,1))-AVERAGE(OFFSET($H$3,0,0,'Données projet'!$E$10+1,1))</f>
        <v>179.4725256147085</v>
      </c>
      <c r="AO198" s="59">
        <f t="shared" si="205"/>
        <v>282.16750121151176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9.9634624426751319</v>
      </c>
      <c r="AV198" s="21">
        <f>EXP(-LN(2)/25)*AV197+(1-EXP(-LN(2)/25))/(LN(2)/25)*Calculateur!AQ198*Calculateur!AS198*VLOOKUP('Données projet'!$B$10,Paramètres!$A$1:$I$89,3,0)*0.475*44/12</f>
        <v>1.1572241277345889</v>
      </c>
      <c r="AW198" s="21">
        <f>EXP(-LN(2)/2)*AW197+(1-EXP(-LN(2)/2))/(LN(2)/2)*AQ198*AT198*VLOOKUP('Données projet'!$B$10,Paramètres!$A$1:$I$89,3,0)*0.475*44/12</f>
        <v>2.0661319433150733E-19</v>
      </c>
      <c r="AX198" s="21">
        <f t="shared" si="166"/>
        <v>11.12068657040972</v>
      </c>
      <c r="AY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6.2527760746888816E-13</v>
      </c>
      <c r="BE198" s="13">
        <f>BD198*VLOOKUP('Données projet'!$B$11,Paramètres!$A$1:$I$89,3,0)*VLOOKUP('Données projet'!$B$11,Paramètres!$A$1:$I$89,5,0)</f>
        <v>5.3648818720830608E-13</v>
      </c>
      <c r="BF198" s="13">
        <f t="shared" si="167"/>
        <v>6.6281362235424649E-12</v>
      </c>
      <c r="BG198" s="20">
        <f t="shared" si="168"/>
        <v>1.2478387515390925E-11</v>
      </c>
      <c r="BH198" s="59">
        <f t="shared" si="194"/>
        <v>293.33333333334582</v>
      </c>
      <c r="BI198" s="59">
        <f ca="1">AVERAGE(OFFSET($BH$3,0,0,'Données projet'!$E$11+1,1))-AVERAGE(OFFSET($H$3,0,0,'Données projet'!$E$11+1,1))</f>
        <v>312.89478437044261</v>
      </c>
      <c r="BJ198" s="59">
        <f t="shared" si="206"/>
        <v>276.16555507854571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>
        <f>EXP(-LN(2)/35)*BP197+(1-EXP(-LN(2)/35))/(LN(2)/35)*BL198*BM198*VLOOKUP('Données projet'!$B$11,Paramètres!$A$1:$I$89,3,0)*0.475*44/12</f>
        <v>40.709173598380652</v>
      </c>
      <c r="BQ198" s="21">
        <f>EXP(-LN(2)/25)*BQ197+(1-EXP(-LN(2)/25))/(LN(2)/25)*Calculateur!BL198*Calculateur!BN198*VLOOKUP('Données projet'!$B$11,Paramètres!$A$1:$I$89,3,0)*0.475*44/12</f>
        <v>6.5977498082945729</v>
      </c>
      <c r="BR198" s="21">
        <f>EXP(-LN(2)/2)*BR197+(1-EXP(-LN(2)/2))/(LN(2)/2)*BL198*BO198*VLOOKUP('Données projet'!$B$11,Paramètres!$A$1:$I$89,3,0)*0.475*44/12</f>
        <v>1.0247664751326044E-7</v>
      </c>
      <c r="BS198" s="22">
        <f t="shared" si="169"/>
        <v>47.306923509151872</v>
      </c>
      <c r="BT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0</v>
      </c>
      <c r="BZ198" s="13" t="e">
        <f>BY198*VLOOKUP('Données projet'!$B$12,Paramètres!$A$1:$I$89,3,0)*VLOOKUP('Données projet'!$B$12,Paramètres!$A$1:$I$89,5,0)</f>
        <v>#N/A</v>
      </c>
      <c r="CA198" s="13" t="e">
        <f t="shared" si="170"/>
        <v>#N/A</v>
      </c>
      <c r="CB198" s="20" t="e">
        <f t="shared" si="171"/>
        <v>#N/A</v>
      </c>
      <c r="CC198" s="59" t="e">
        <f t="shared" si="195"/>
        <v>#N/A</v>
      </c>
      <c r="CD198" s="59" t="e">
        <f ca="1">AVERAGE(OFFSET($CC$3,0,0,'Données projet'!$E$12+1,1))-AVERAGE(OFFSET($H$3,0,0,'Données projet'!$E$12+1,1))</f>
        <v>#N/A</v>
      </c>
      <c r="CE198" s="59" t="e">
        <f t="shared" si="207"/>
        <v>#N/A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 t="e">
        <f>EXP(-LN(2)/35)*CK197+(1-EXP(-LN(2)/35))/(LN(2)/35)*CG198*CH198*VLOOKUP('Données projet'!$B$12,Paramètres!$A$1:$I$89,3,0)*0.475*44/12</f>
        <v>#N/A</v>
      </c>
      <c r="CL198" s="21" t="e">
        <f>EXP(-LN(2)/25)*CL197+(1-EXP(-LN(2)/25))/(LN(2)/25)*Calculateur!CG198*Calculateur!CI198*VLOOKUP('Données projet'!$B$12,Paramètres!$A$1:$I$89,3,0)*0.475*44/12</f>
        <v>#N/A</v>
      </c>
      <c r="CM198" s="21" t="e">
        <f>EXP(-LN(2)/2)*CM197+(1-EXP(-LN(2)/2))/(LN(2)/2)*CG198*CJ198*VLOOKUP('Données projet'!$B$12,Paramètres!$A$1:$I$89,3,0)*0.475*44/12</f>
        <v>#N/A</v>
      </c>
      <c r="CN198" s="22" t="e">
        <f t="shared" si="172"/>
        <v>#N/A</v>
      </c>
      <c r="CO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0</v>
      </c>
      <c r="CU198" s="17" t="e">
        <f>CT198*VLOOKUP('Données projet'!$B$13,Paramètres!$A$1:$I$89,3,0)*VLOOKUP('Données projet'!$B$13,Paramètres!$A$1:$I$89,5,0)</f>
        <v>#N/A</v>
      </c>
      <c r="CV198" s="13" t="e">
        <f t="shared" si="173"/>
        <v>#N/A</v>
      </c>
      <c r="CW198" s="20" t="e">
        <f t="shared" si="174"/>
        <v>#N/A</v>
      </c>
      <c r="CX198" s="59" t="e">
        <f t="shared" si="196"/>
        <v>#N/A</v>
      </c>
      <c r="CY198" s="59" t="e">
        <f ca="1">AVERAGE(OFFSET($CX$3,0,0,'Données projet'!$E$13+1,1))-AVERAGE(OFFSET($H$3,0,0,'Données projet'!$E$13+1,1))</f>
        <v>#N/A</v>
      </c>
      <c r="CZ198" s="59" t="e">
        <f t="shared" si="208"/>
        <v>#N/A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 t="e">
        <f>EXP(-LN(2)/35)*DF197+(1-EXP(-LN(2)/35))/(LN(2)/35)*DB198*DC198*VLOOKUP('Données projet'!$B$13,Paramètres!$A$1:$I$89,3,0)*0.475*44/12</f>
        <v>#N/A</v>
      </c>
      <c r="DG198" s="21" t="e">
        <f>EXP(-LN(2)/25)*DG197+(1-EXP(-LN(2)/25))/(LN(2)/25)*Calculateur!DB198*Calculateur!DD198*VLOOKUP('Données projet'!$B$13,Paramètres!$A$1:$I$89,3,0)*0.475*44/12</f>
        <v>#N/A</v>
      </c>
      <c r="DH198" s="21" t="e">
        <f>EXP(-LN(2)/2)*DH197+(1-EXP(-LN(2)/2))/(LN(2)/2)*DB198*DE198*VLOOKUP('Données projet'!$B$13,Paramètres!$A$1:$I$89,3,0)*0.475*44/12</f>
        <v>#N/A</v>
      </c>
      <c r="DI198" s="22" t="e">
        <f t="shared" si="175"/>
        <v>#N/A</v>
      </c>
      <c r="DJ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0</v>
      </c>
      <c r="DP198" s="17" t="e">
        <f>DO198*VLOOKUP('Données projet'!$B$14,Paramètres!$A$1:$I$89,3,0)*VLOOKUP('Données projet'!$B$14,Paramètres!$A$1:$I$89,5,0)</f>
        <v>#N/A</v>
      </c>
      <c r="DQ198" s="13" t="e">
        <f t="shared" si="176"/>
        <v>#N/A</v>
      </c>
      <c r="DR198" s="20" t="e">
        <f t="shared" si="177"/>
        <v>#N/A</v>
      </c>
      <c r="DS198" s="59" t="e">
        <f t="shared" si="197"/>
        <v>#N/A</v>
      </c>
      <c r="DT198" s="59" t="e">
        <f ca="1">AVERAGE(OFFSET($DS$3,0,0,'Données projet'!$E$14+1,1))-AVERAGE(OFFSET($H$3,0,0,'Données projet'!$E$14+1,1))</f>
        <v>#N/A</v>
      </c>
      <c r="DU198" s="59" t="e">
        <f t="shared" si="209"/>
        <v>#N/A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 t="e">
        <f>EXP(-LN(2)/35)*EA197+(1-EXP(-LN(2)/35))/(LN(2)/35)*DW198*DX198*VLOOKUP('Données projet'!$B$14,Paramètres!$A$1:$I$89,3,0)*0.475*44/12</f>
        <v>#N/A</v>
      </c>
      <c r="EB198" s="21" t="e">
        <f>EXP(-LN(2)/25)*EB197+(1-EXP(-LN(2)/25))/(LN(2)/25)*Calculateur!DW198*Calculateur!DY198*VLOOKUP('Données projet'!$B$14,Paramètres!$A$1:$I$89,3,0)*0.475*44/12</f>
        <v>#N/A</v>
      </c>
      <c r="EC198" s="21" t="e">
        <f>EXP(-LN(2)/2)*EC197+(1-EXP(-LN(2)/2))/(LN(2)/2)*DW198*DZ198*VLOOKUP('Données projet'!$B$14,Paramètres!$A$1:$I$89,3,0)*0.475*44/12</f>
        <v>#N/A</v>
      </c>
      <c r="ED198" s="22" t="e">
        <f t="shared" si="178"/>
        <v>#N/A</v>
      </c>
      <c r="EE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0</v>
      </c>
      <c r="EK198" s="17" t="e">
        <f>EJ198*VLOOKUP('Données projet'!$B$15,Paramètres!$A$1:$I$89,3,0)*VLOOKUP('Données projet'!$B$15,Paramètres!$A$1:$I$89,5,0)</f>
        <v>#N/A</v>
      </c>
      <c r="EL198" s="13" t="e">
        <f t="shared" si="179"/>
        <v>#N/A</v>
      </c>
      <c r="EM198" s="20" t="e">
        <f t="shared" si="180"/>
        <v>#N/A</v>
      </c>
      <c r="EN198" s="59" t="e">
        <f t="shared" si="198"/>
        <v>#N/A</v>
      </c>
      <c r="EO198" s="59" t="e">
        <f ca="1">AVERAGE(OFFSET($EN$3,0,0,'Données projet'!$E$15+1,1))-AVERAGE(OFFSET($H$3,0,0,'Données projet'!$E$15+1,1))</f>
        <v>#N/A</v>
      </c>
      <c r="EP198" s="59" t="e">
        <f t="shared" si="210"/>
        <v>#N/A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 t="e">
        <f>EXP(-LN(2)/35)*EV197+(1-EXP(-LN(2)/35))/(LN(2)/35)*ER198*ES198*VLOOKUP('Données projet'!$B$15,Paramètres!$A$1:$I$89,3,0)*0.475*44/12</f>
        <v>#N/A</v>
      </c>
      <c r="EW198" s="21" t="e">
        <f>EXP(-LN(2)/25)*EW197+(1-EXP(-LN(2)/25))/(LN(2)/25)*Calculateur!ER198*Calculateur!ET198*VLOOKUP('Données projet'!$B$15,Paramètres!$A$1:$I$89,3,0)*0.475*44/12</f>
        <v>#N/A</v>
      </c>
      <c r="EX198" s="21" t="e">
        <f>EXP(-LN(2)/2)*EX197+(1-EXP(-LN(2)/2))/(LN(2)/2)*ER198*EU198*VLOOKUP('Données projet'!$B$15,Paramètres!$A$1:$I$89,3,0)*0.475*44/12</f>
        <v>#N/A</v>
      </c>
      <c r="EY198" s="22" t="e">
        <f t="shared" si="181"/>
        <v>#N/A</v>
      </c>
      <c r="EZ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9" t="e">
        <f t="shared" si="199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45">
      <c r="A199" s="10">
        <f t="shared" si="161"/>
        <v>196</v>
      </c>
      <c r="B199" s="73">
        <f>'Scénario référence'!$B$16*5+'Scénario référence'!$B$17*0+'Scénario référence'!$B$18*5</f>
        <v>0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174.28319999999962</v>
      </c>
      <c r="D199" s="11">
        <f t="shared" si="202"/>
        <v>44.047924241116036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">
        <f>IF(OR('Scénario référence'!$F$8&gt;0,'Scénario référence'!$F$9&gt;0),('Scénario référence'!$F$8+'Scénario référence'!$F$9)*10,0)</f>
        <v>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1685.3630643173844</v>
      </c>
      <c r="H199" s="67">
        <f t="shared" si="192"/>
        <v>636.92670805327657</v>
      </c>
      <c r="I199" s="7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1.7053025658242404E-13</v>
      </c>
      <c r="O199" s="13">
        <f>N199*VLOOKUP('Données projet'!$B$9,Paramètres!$A$1:$I$89,3,0)*VLOOKUP('Données projet'!$B$9,Paramètres!$A$1:$I$89,5,0)</f>
        <v>9.5326413429575044E-14</v>
      </c>
      <c r="P199" s="13">
        <f t="shared" si="203"/>
        <v>1.4400742856080346E-12</v>
      </c>
      <c r="Q199" s="20">
        <f t="shared" si="162"/>
        <v>2.6741562174905032E-12</v>
      </c>
      <c r="R199" s="59">
        <f t="shared" si="191"/>
        <v>293.33333333333599</v>
      </c>
      <c r="S199" s="59">
        <f ca="1">AVERAGE(OFFSET($R$3,0,0,'Données projet'!$E$9+1,1))-AVERAGE(OFFSET($H$3,0,0,'Données projet'!$E$9+1,1))</f>
        <v>280.69347314340195</v>
      </c>
      <c r="T199" s="59">
        <f t="shared" si="204"/>
        <v>152.40533828556482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37.881998894304012</v>
      </c>
      <c r="AA199" s="21">
        <f>EXP(-LN(2)/25)*AA198+(1-EXP(-LN(2)/25))/(LN(2)/25)*Calculateur!V199*Calculateur!X199*VLOOKUP('Données projet'!$B$9,Paramètres!$A$1:$I$89,3,0)*0.475*44/12</f>
        <v>6.6397675008457453</v>
      </c>
      <c r="AB199" s="21">
        <f>EXP(-LN(2)/2)*AB198+(1-EXP(-LN(2)/2))/(LN(2)/2)*V199*Y199*VLOOKUP('Données projet'!$B$9,Paramètres!$A$1:$I$89,3,0)*0.475*44/12</f>
        <v>2.2603958315394496E-10</v>
      </c>
      <c r="AC199" s="22">
        <f t="shared" si="163"/>
        <v>44.521766395375792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0</v>
      </c>
      <c r="AJ199" s="13">
        <f>AI199*VLOOKUP('Données projet'!$B$10,Paramètres!$A$1:$I$89,3,0)*VLOOKUP('Données projet'!$B$10,Paramètres!$A$1:$I$89,5,0)</f>
        <v>0</v>
      </c>
      <c r="AK199" s="13" t="e">
        <f t="shared" si="164"/>
        <v>#NUM!</v>
      </c>
      <c r="AL199" s="20" t="e">
        <f t="shared" si="165"/>
        <v>#NUM!</v>
      </c>
      <c r="AM199" s="59" t="e">
        <f t="shared" si="193"/>
        <v>#NUM!</v>
      </c>
      <c r="AN199" s="59">
        <f ca="1">AVERAGE(OFFSET($AM$3,0,0,'Données projet'!$E$10+1,1))-AVERAGE(OFFSET($H$3,0,0,'Données projet'!$E$10+1,1))</f>
        <v>179.4725256147085</v>
      </c>
      <c r="AO199" s="59">
        <f t="shared" si="205"/>
        <v>282.16750121151176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9.7680850212862982</v>
      </c>
      <c r="AV199" s="21">
        <f>EXP(-LN(2)/25)*AV198+(1-EXP(-LN(2)/25))/(LN(2)/25)*Calculateur!AQ199*Calculateur!AS199*VLOOKUP('Données projet'!$B$10,Paramètres!$A$1:$I$89,3,0)*0.475*44/12</f>
        <v>1.1255797731059145</v>
      </c>
      <c r="AW199" s="21">
        <f>EXP(-LN(2)/2)*AW198+(1-EXP(-LN(2)/2))/(LN(2)/2)*AQ199*AT199*VLOOKUP('Données projet'!$B$10,Paramètres!$A$1:$I$89,3,0)*0.475*44/12</f>
        <v>1.4609759079442277E-19</v>
      </c>
      <c r="AX199" s="21">
        <f t="shared" si="166"/>
        <v>10.893664794392212</v>
      </c>
      <c r="AY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6.2527760746888816E-13</v>
      </c>
      <c r="BE199" s="13">
        <f>BD199*VLOOKUP('Données projet'!$B$11,Paramètres!$A$1:$I$89,3,0)*VLOOKUP('Données projet'!$B$11,Paramètres!$A$1:$I$89,5,0)</f>
        <v>5.3648818720830608E-13</v>
      </c>
      <c r="BF199" s="13">
        <f t="shared" si="167"/>
        <v>6.6281362235424649E-12</v>
      </c>
      <c r="BG199" s="20">
        <f t="shared" si="168"/>
        <v>1.2478387515390925E-11</v>
      </c>
      <c r="BH199" s="59">
        <f t="shared" si="194"/>
        <v>293.33333333334582</v>
      </c>
      <c r="BI199" s="59">
        <f ca="1">AVERAGE(OFFSET($BH$3,0,0,'Données projet'!$E$11+1,1))-AVERAGE(OFFSET($H$3,0,0,'Données projet'!$E$11+1,1))</f>
        <v>312.89478437044261</v>
      </c>
      <c r="BJ199" s="59">
        <f t="shared" si="206"/>
        <v>276.16555507854571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>
        <f>EXP(-LN(2)/35)*BP198+(1-EXP(-LN(2)/35))/(LN(2)/35)*BL199*BM199*VLOOKUP('Données projet'!$B$11,Paramètres!$A$1:$I$89,3,0)*0.475*44/12</f>
        <v>39.910891534260529</v>
      </c>
      <c r="BQ199" s="21">
        <f>EXP(-LN(2)/25)*BQ198+(1-EXP(-LN(2)/25))/(LN(2)/25)*Calculateur!BL199*Calculateur!BN199*VLOOKUP('Données projet'!$B$11,Paramètres!$A$1:$I$89,3,0)*0.475*44/12</f>
        <v>6.4173339928261743</v>
      </c>
      <c r="BR199" s="21">
        <f>EXP(-LN(2)/2)*BR198+(1-EXP(-LN(2)/2))/(LN(2)/2)*BL199*BO199*VLOOKUP('Données projet'!$B$11,Paramètres!$A$1:$I$89,3,0)*0.475*44/12</f>
        <v>7.2461932369890006E-8</v>
      </c>
      <c r="BS199" s="22">
        <f t="shared" si="169"/>
        <v>46.328225599548631</v>
      </c>
      <c r="BT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0</v>
      </c>
      <c r="BZ199" s="13" t="e">
        <f>BY199*VLOOKUP('Données projet'!$B$12,Paramètres!$A$1:$I$89,3,0)*VLOOKUP('Données projet'!$B$12,Paramètres!$A$1:$I$89,5,0)</f>
        <v>#N/A</v>
      </c>
      <c r="CA199" s="13" t="e">
        <f t="shared" si="170"/>
        <v>#N/A</v>
      </c>
      <c r="CB199" s="20" t="e">
        <f t="shared" si="171"/>
        <v>#N/A</v>
      </c>
      <c r="CC199" s="59" t="e">
        <f t="shared" si="195"/>
        <v>#N/A</v>
      </c>
      <c r="CD199" s="59" t="e">
        <f ca="1">AVERAGE(OFFSET($CC$3,0,0,'Données projet'!$E$12+1,1))-AVERAGE(OFFSET($H$3,0,0,'Données projet'!$E$12+1,1))</f>
        <v>#N/A</v>
      </c>
      <c r="CE199" s="59" t="e">
        <f t="shared" si="207"/>
        <v>#N/A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 t="e">
        <f>EXP(-LN(2)/35)*CK198+(1-EXP(-LN(2)/35))/(LN(2)/35)*CG199*CH199*VLOOKUP('Données projet'!$B$12,Paramètres!$A$1:$I$89,3,0)*0.475*44/12</f>
        <v>#N/A</v>
      </c>
      <c r="CL199" s="21" t="e">
        <f>EXP(-LN(2)/25)*CL198+(1-EXP(-LN(2)/25))/(LN(2)/25)*Calculateur!CG199*Calculateur!CI199*VLOOKUP('Données projet'!$B$12,Paramètres!$A$1:$I$89,3,0)*0.475*44/12</f>
        <v>#N/A</v>
      </c>
      <c r="CM199" s="21" t="e">
        <f>EXP(-LN(2)/2)*CM198+(1-EXP(-LN(2)/2))/(LN(2)/2)*CG199*CJ199*VLOOKUP('Données projet'!$B$12,Paramètres!$A$1:$I$89,3,0)*0.475*44/12</f>
        <v>#N/A</v>
      </c>
      <c r="CN199" s="22" t="e">
        <f t="shared" si="172"/>
        <v>#N/A</v>
      </c>
      <c r="CO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0</v>
      </c>
      <c r="CU199" s="17" t="e">
        <f>CT199*VLOOKUP('Données projet'!$B$13,Paramètres!$A$1:$I$89,3,0)*VLOOKUP('Données projet'!$B$13,Paramètres!$A$1:$I$89,5,0)</f>
        <v>#N/A</v>
      </c>
      <c r="CV199" s="13" t="e">
        <f t="shared" si="173"/>
        <v>#N/A</v>
      </c>
      <c r="CW199" s="20" t="e">
        <f t="shared" si="174"/>
        <v>#N/A</v>
      </c>
      <c r="CX199" s="59" t="e">
        <f t="shared" si="196"/>
        <v>#N/A</v>
      </c>
      <c r="CY199" s="59" t="e">
        <f ca="1">AVERAGE(OFFSET($CX$3,0,0,'Données projet'!$E$13+1,1))-AVERAGE(OFFSET($H$3,0,0,'Données projet'!$E$13+1,1))</f>
        <v>#N/A</v>
      </c>
      <c r="CZ199" s="59" t="e">
        <f t="shared" si="208"/>
        <v>#N/A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 t="e">
        <f>EXP(-LN(2)/35)*DF198+(1-EXP(-LN(2)/35))/(LN(2)/35)*DB199*DC199*VLOOKUP('Données projet'!$B$13,Paramètres!$A$1:$I$89,3,0)*0.475*44/12</f>
        <v>#N/A</v>
      </c>
      <c r="DG199" s="21" t="e">
        <f>EXP(-LN(2)/25)*DG198+(1-EXP(-LN(2)/25))/(LN(2)/25)*Calculateur!DB199*Calculateur!DD199*VLOOKUP('Données projet'!$B$13,Paramètres!$A$1:$I$89,3,0)*0.475*44/12</f>
        <v>#N/A</v>
      </c>
      <c r="DH199" s="21" t="e">
        <f>EXP(-LN(2)/2)*DH198+(1-EXP(-LN(2)/2))/(LN(2)/2)*DB199*DE199*VLOOKUP('Données projet'!$B$13,Paramètres!$A$1:$I$89,3,0)*0.475*44/12</f>
        <v>#N/A</v>
      </c>
      <c r="DI199" s="22" t="e">
        <f t="shared" si="175"/>
        <v>#N/A</v>
      </c>
      <c r="DJ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0</v>
      </c>
      <c r="DP199" s="17" t="e">
        <f>DO199*VLOOKUP('Données projet'!$B$14,Paramètres!$A$1:$I$89,3,0)*VLOOKUP('Données projet'!$B$14,Paramètres!$A$1:$I$89,5,0)</f>
        <v>#N/A</v>
      </c>
      <c r="DQ199" s="13" t="e">
        <f t="shared" si="176"/>
        <v>#N/A</v>
      </c>
      <c r="DR199" s="20" t="e">
        <f t="shared" si="177"/>
        <v>#N/A</v>
      </c>
      <c r="DS199" s="59" t="e">
        <f t="shared" si="197"/>
        <v>#N/A</v>
      </c>
      <c r="DT199" s="59" t="e">
        <f ca="1">AVERAGE(OFFSET($DS$3,0,0,'Données projet'!$E$14+1,1))-AVERAGE(OFFSET($H$3,0,0,'Données projet'!$E$14+1,1))</f>
        <v>#N/A</v>
      </c>
      <c r="DU199" s="59" t="e">
        <f t="shared" si="209"/>
        <v>#N/A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 t="e">
        <f>EXP(-LN(2)/35)*EA198+(1-EXP(-LN(2)/35))/(LN(2)/35)*DW199*DX199*VLOOKUP('Données projet'!$B$14,Paramètres!$A$1:$I$89,3,0)*0.475*44/12</f>
        <v>#N/A</v>
      </c>
      <c r="EB199" s="21" t="e">
        <f>EXP(-LN(2)/25)*EB198+(1-EXP(-LN(2)/25))/(LN(2)/25)*Calculateur!DW199*Calculateur!DY199*VLOOKUP('Données projet'!$B$14,Paramètres!$A$1:$I$89,3,0)*0.475*44/12</f>
        <v>#N/A</v>
      </c>
      <c r="EC199" s="21" t="e">
        <f>EXP(-LN(2)/2)*EC198+(1-EXP(-LN(2)/2))/(LN(2)/2)*DW199*DZ199*VLOOKUP('Données projet'!$B$14,Paramètres!$A$1:$I$89,3,0)*0.475*44/12</f>
        <v>#N/A</v>
      </c>
      <c r="ED199" s="22" t="e">
        <f t="shared" si="178"/>
        <v>#N/A</v>
      </c>
      <c r="EE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0</v>
      </c>
      <c r="EK199" s="17" t="e">
        <f>EJ199*VLOOKUP('Données projet'!$B$15,Paramètres!$A$1:$I$89,3,0)*VLOOKUP('Données projet'!$B$15,Paramètres!$A$1:$I$89,5,0)</f>
        <v>#N/A</v>
      </c>
      <c r="EL199" s="13" t="e">
        <f t="shared" si="179"/>
        <v>#N/A</v>
      </c>
      <c r="EM199" s="20" t="e">
        <f t="shared" si="180"/>
        <v>#N/A</v>
      </c>
      <c r="EN199" s="59" t="e">
        <f t="shared" si="198"/>
        <v>#N/A</v>
      </c>
      <c r="EO199" s="59" t="e">
        <f ca="1">AVERAGE(OFFSET($EN$3,0,0,'Données projet'!$E$15+1,1))-AVERAGE(OFFSET($H$3,0,0,'Données projet'!$E$15+1,1))</f>
        <v>#N/A</v>
      </c>
      <c r="EP199" s="59" t="e">
        <f t="shared" si="210"/>
        <v>#N/A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 t="e">
        <f>EXP(-LN(2)/35)*EV198+(1-EXP(-LN(2)/35))/(LN(2)/35)*ER199*ES199*VLOOKUP('Données projet'!$B$15,Paramètres!$A$1:$I$89,3,0)*0.475*44/12</f>
        <v>#N/A</v>
      </c>
      <c r="EW199" s="21" t="e">
        <f>EXP(-LN(2)/25)*EW198+(1-EXP(-LN(2)/25))/(LN(2)/25)*Calculateur!ER199*Calculateur!ET199*VLOOKUP('Données projet'!$B$15,Paramètres!$A$1:$I$89,3,0)*0.475*44/12</f>
        <v>#N/A</v>
      </c>
      <c r="EX199" s="21" t="e">
        <f>EXP(-LN(2)/2)*EX198+(1-EXP(-LN(2)/2))/(LN(2)/2)*ER199*EU199*VLOOKUP('Données projet'!$B$15,Paramètres!$A$1:$I$89,3,0)*0.475*44/12</f>
        <v>#N/A</v>
      </c>
      <c r="EY199" s="22" t="e">
        <f t="shared" si="181"/>
        <v>#N/A</v>
      </c>
      <c r="EZ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9" t="e">
        <f t="shared" si="199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45">
      <c r="A200" s="10">
        <f t="shared" si="161"/>
        <v>197</v>
      </c>
      <c r="B200" s="73">
        <f>'Scénario référence'!$B$16*5+'Scénario référence'!$B$17*0+'Scénario référence'!$B$18*5</f>
        <v>0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175.17239999999961</v>
      </c>
      <c r="D200" s="11">
        <f t="shared" si="202"/>
        <v>44.246440622057428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">
        <f>IF(OR('Scénario référence'!$F$8&gt;0,'Scénario référence'!$F$9&gt;0),('Scénario référence'!$F$8+'Scénario référence'!$F$9)*10,0)</f>
        <v>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1693.7594714685104</v>
      </c>
      <c r="H200" s="67">
        <f t="shared" si="192"/>
        <v>638.82114741674945</v>
      </c>
      <c r="I200" s="7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1.7053025658242404E-13</v>
      </c>
      <c r="O200" s="13">
        <f>N200*VLOOKUP('Données projet'!$B$9,Paramètres!$A$1:$I$89,3,0)*VLOOKUP('Données projet'!$B$9,Paramètres!$A$1:$I$89,5,0)</f>
        <v>9.5326413429575044E-14</v>
      </c>
      <c r="P200" s="13">
        <f t="shared" si="203"/>
        <v>1.4400742856080346E-12</v>
      </c>
      <c r="Q200" s="20">
        <f t="shared" si="162"/>
        <v>2.6741562174905032E-12</v>
      </c>
      <c r="R200" s="59">
        <f t="shared" si="191"/>
        <v>293.33333333333599</v>
      </c>
      <c r="S200" s="59">
        <f ca="1">AVERAGE(OFFSET($R$3,0,0,'Données projet'!$E$9+1,1))-AVERAGE(OFFSET($H$3,0,0,'Données projet'!$E$9+1,1))</f>
        <v>280.69347314340195</v>
      </c>
      <c r="T200" s="59">
        <f t="shared" si="204"/>
        <v>152.40533828556482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37.139156001724537</v>
      </c>
      <c r="AA200" s="21">
        <f>EXP(-LN(2)/25)*AA199+(1-EXP(-LN(2)/25))/(LN(2)/25)*Calculateur!V200*Calculateur!X200*VLOOKUP('Données projet'!$B$9,Paramètres!$A$1:$I$89,3,0)*0.475*44/12</f>
        <v>6.4582027093649206</v>
      </c>
      <c r="AB200" s="21">
        <f>EXP(-LN(2)/2)*AB199+(1-EXP(-LN(2)/2))/(LN(2)/2)*V200*Y200*VLOOKUP('Données projet'!$B$9,Paramètres!$A$1:$I$89,3,0)*0.475*44/12</f>
        <v>1.5983412206473499E-10</v>
      </c>
      <c r="AC200" s="22">
        <f t="shared" si="163"/>
        <v>43.597358711249292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0</v>
      </c>
      <c r="AJ200" s="13">
        <f>AI200*VLOOKUP('Données projet'!$B$10,Paramètres!$A$1:$I$89,3,0)*VLOOKUP('Données projet'!$B$10,Paramètres!$A$1:$I$89,5,0)</f>
        <v>0</v>
      </c>
      <c r="AK200" s="13" t="e">
        <f t="shared" si="164"/>
        <v>#NUM!</v>
      </c>
      <c r="AL200" s="20" t="e">
        <f t="shared" si="165"/>
        <v>#NUM!</v>
      </c>
      <c r="AM200" s="59" t="e">
        <f t="shared" si="193"/>
        <v>#NUM!</v>
      </c>
      <c r="AN200" s="59">
        <f ca="1">AVERAGE(OFFSET($AM$3,0,0,'Données projet'!$E$10+1,1))-AVERAGE(OFFSET($H$3,0,0,'Données projet'!$E$10+1,1))</f>
        <v>179.4725256147085</v>
      </c>
      <c r="AO200" s="59">
        <f t="shared" si="205"/>
        <v>282.16750121151176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9.5765388319624396</v>
      </c>
      <c r="AV200" s="21">
        <f>EXP(-LN(2)/25)*AV199+(1-EXP(-LN(2)/25))/(LN(2)/25)*Calculateur!AQ200*Calculateur!AS200*VLOOKUP('Données projet'!$B$10,Paramètres!$A$1:$I$89,3,0)*0.475*44/12</f>
        <v>1.0948007350186655</v>
      </c>
      <c r="AW200" s="21">
        <f>EXP(-LN(2)/2)*AW199+(1-EXP(-LN(2)/2))/(LN(2)/2)*AQ200*AT200*VLOOKUP('Données projet'!$B$10,Paramètres!$A$1:$I$89,3,0)*0.475*44/12</f>
        <v>1.0330659716575367E-19</v>
      </c>
      <c r="AX200" s="21">
        <f t="shared" si="166"/>
        <v>10.671339566981105</v>
      </c>
      <c r="AY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6.2527760746888816E-13</v>
      </c>
      <c r="BE200" s="13">
        <f>BD200*VLOOKUP('Données projet'!$B$11,Paramètres!$A$1:$I$89,3,0)*VLOOKUP('Données projet'!$B$11,Paramètres!$A$1:$I$89,5,0)</f>
        <v>5.3648818720830608E-13</v>
      </c>
      <c r="BF200" s="13">
        <f t="shared" si="167"/>
        <v>6.6281362235424649E-12</v>
      </c>
      <c r="BG200" s="20">
        <f t="shared" si="168"/>
        <v>1.2478387515390925E-11</v>
      </c>
      <c r="BH200" s="59">
        <f t="shared" si="194"/>
        <v>293.33333333334582</v>
      </c>
      <c r="BI200" s="59">
        <f ca="1">AVERAGE(OFFSET($BH$3,0,0,'Données projet'!$E$11+1,1))-AVERAGE(OFFSET($H$3,0,0,'Données projet'!$E$11+1,1))</f>
        <v>312.89478437044261</v>
      </c>
      <c r="BJ200" s="59">
        <f t="shared" si="206"/>
        <v>276.16555507854571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>
        <f>EXP(-LN(2)/35)*BP199+(1-EXP(-LN(2)/35))/(LN(2)/35)*BL200*BM200*VLOOKUP('Données projet'!$B$11,Paramètres!$A$1:$I$89,3,0)*0.475*44/12</f>
        <v>39.128263294513822</v>
      </c>
      <c r="BQ200" s="21">
        <f>EXP(-LN(2)/25)*BQ199+(1-EXP(-LN(2)/25))/(LN(2)/25)*Calculateur!BL200*Calculateur!BN200*VLOOKUP('Données projet'!$B$11,Paramètres!$A$1:$I$89,3,0)*0.475*44/12</f>
        <v>6.2418516573194145</v>
      </c>
      <c r="BR200" s="21">
        <f>EXP(-LN(2)/2)*BR199+(1-EXP(-LN(2)/2))/(LN(2)/2)*BL200*BO200*VLOOKUP('Données projet'!$B$11,Paramètres!$A$1:$I$89,3,0)*0.475*44/12</f>
        <v>5.1238323756630218E-8</v>
      </c>
      <c r="BS200" s="22">
        <f t="shared" si="169"/>
        <v>45.370115003071561</v>
      </c>
      <c r="BT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0</v>
      </c>
      <c r="BZ200" s="13" t="e">
        <f>BY200*VLOOKUP('Données projet'!$B$12,Paramètres!$A$1:$I$89,3,0)*VLOOKUP('Données projet'!$B$12,Paramètres!$A$1:$I$89,5,0)</f>
        <v>#N/A</v>
      </c>
      <c r="CA200" s="13" t="e">
        <f t="shared" si="170"/>
        <v>#N/A</v>
      </c>
      <c r="CB200" s="20" t="e">
        <f t="shared" si="171"/>
        <v>#N/A</v>
      </c>
      <c r="CC200" s="59" t="e">
        <f t="shared" si="195"/>
        <v>#N/A</v>
      </c>
      <c r="CD200" s="59" t="e">
        <f ca="1">AVERAGE(OFFSET($CC$3,0,0,'Données projet'!$E$12+1,1))-AVERAGE(OFFSET($H$3,0,0,'Données projet'!$E$12+1,1))</f>
        <v>#N/A</v>
      </c>
      <c r="CE200" s="59" t="e">
        <f t="shared" si="207"/>
        <v>#N/A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 t="e">
        <f>EXP(-LN(2)/35)*CK199+(1-EXP(-LN(2)/35))/(LN(2)/35)*CG200*CH200*VLOOKUP('Données projet'!$B$12,Paramètres!$A$1:$I$89,3,0)*0.475*44/12</f>
        <v>#N/A</v>
      </c>
      <c r="CL200" s="21" t="e">
        <f>EXP(-LN(2)/25)*CL199+(1-EXP(-LN(2)/25))/(LN(2)/25)*Calculateur!CG200*Calculateur!CI200*VLOOKUP('Données projet'!$B$12,Paramètres!$A$1:$I$89,3,0)*0.475*44/12</f>
        <v>#N/A</v>
      </c>
      <c r="CM200" s="21" t="e">
        <f>EXP(-LN(2)/2)*CM199+(1-EXP(-LN(2)/2))/(LN(2)/2)*CG200*CJ200*VLOOKUP('Données projet'!$B$12,Paramètres!$A$1:$I$89,3,0)*0.475*44/12</f>
        <v>#N/A</v>
      </c>
      <c r="CN200" s="22" t="e">
        <f t="shared" si="172"/>
        <v>#N/A</v>
      </c>
      <c r="CO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0</v>
      </c>
      <c r="CU200" s="17" t="e">
        <f>CT200*VLOOKUP('Données projet'!$B$13,Paramètres!$A$1:$I$89,3,0)*VLOOKUP('Données projet'!$B$13,Paramètres!$A$1:$I$89,5,0)</f>
        <v>#N/A</v>
      </c>
      <c r="CV200" s="13" t="e">
        <f t="shared" si="173"/>
        <v>#N/A</v>
      </c>
      <c r="CW200" s="20" t="e">
        <f t="shared" si="174"/>
        <v>#N/A</v>
      </c>
      <c r="CX200" s="59" t="e">
        <f t="shared" si="196"/>
        <v>#N/A</v>
      </c>
      <c r="CY200" s="59" t="e">
        <f ca="1">AVERAGE(OFFSET($CX$3,0,0,'Données projet'!$E$13+1,1))-AVERAGE(OFFSET($H$3,0,0,'Données projet'!$E$13+1,1))</f>
        <v>#N/A</v>
      </c>
      <c r="CZ200" s="59" t="e">
        <f t="shared" si="208"/>
        <v>#N/A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 t="e">
        <f>EXP(-LN(2)/35)*DF199+(1-EXP(-LN(2)/35))/(LN(2)/35)*DB200*DC200*VLOOKUP('Données projet'!$B$13,Paramètres!$A$1:$I$89,3,0)*0.475*44/12</f>
        <v>#N/A</v>
      </c>
      <c r="DG200" s="21" t="e">
        <f>EXP(-LN(2)/25)*DG199+(1-EXP(-LN(2)/25))/(LN(2)/25)*Calculateur!DB200*Calculateur!DD200*VLOOKUP('Données projet'!$B$13,Paramètres!$A$1:$I$89,3,0)*0.475*44/12</f>
        <v>#N/A</v>
      </c>
      <c r="DH200" s="21" t="e">
        <f>EXP(-LN(2)/2)*DH199+(1-EXP(-LN(2)/2))/(LN(2)/2)*DB200*DE200*VLOOKUP('Données projet'!$B$13,Paramètres!$A$1:$I$89,3,0)*0.475*44/12</f>
        <v>#N/A</v>
      </c>
      <c r="DI200" s="22" t="e">
        <f t="shared" si="175"/>
        <v>#N/A</v>
      </c>
      <c r="DJ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0</v>
      </c>
      <c r="DP200" s="17" t="e">
        <f>DO200*VLOOKUP('Données projet'!$B$14,Paramètres!$A$1:$I$89,3,0)*VLOOKUP('Données projet'!$B$14,Paramètres!$A$1:$I$89,5,0)</f>
        <v>#N/A</v>
      </c>
      <c r="DQ200" s="13" t="e">
        <f t="shared" si="176"/>
        <v>#N/A</v>
      </c>
      <c r="DR200" s="20" t="e">
        <f t="shared" si="177"/>
        <v>#N/A</v>
      </c>
      <c r="DS200" s="59" t="e">
        <f t="shared" si="197"/>
        <v>#N/A</v>
      </c>
      <c r="DT200" s="59" t="e">
        <f ca="1">AVERAGE(OFFSET($DS$3,0,0,'Données projet'!$E$14+1,1))-AVERAGE(OFFSET($H$3,0,0,'Données projet'!$E$14+1,1))</f>
        <v>#N/A</v>
      </c>
      <c r="DU200" s="59" t="e">
        <f t="shared" si="209"/>
        <v>#N/A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 t="e">
        <f>EXP(-LN(2)/35)*EA199+(1-EXP(-LN(2)/35))/(LN(2)/35)*DW200*DX200*VLOOKUP('Données projet'!$B$14,Paramètres!$A$1:$I$89,3,0)*0.475*44/12</f>
        <v>#N/A</v>
      </c>
      <c r="EB200" s="21" t="e">
        <f>EXP(-LN(2)/25)*EB199+(1-EXP(-LN(2)/25))/(LN(2)/25)*Calculateur!DW200*Calculateur!DY200*VLOOKUP('Données projet'!$B$14,Paramètres!$A$1:$I$89,3,0)*0.475*44/12</f>
        <v>#N/A</v>
      </c>
      <c r="EC200" s="21" t="e">
        <f>EXP(-LN(2)/2)*EC199+(1-EXP(-LN(2)/2))/(LN(2)/2)*DW200*DZ200*VLOOKUP('Données projet'!$B$14,Paramètres!$A$1:$I$89,3,0)*0.475*44/12</f>
        <v>#N/A</v>
      </c>
      <c r="ED200" s="22" t="e">
        <f t="shared" si="178"/>
        <v>#N/A</v>
      </c>
      <c r="EE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0</v>
      </c>
      <c r="EK200" s="17" t="e">
        <f>EJ200*VLOOKUP('Données projet'!$B$15,Paramètres!$A$1:$I$89,3,0)*VLOOKUP('Données projet'!$B$15,Paramètres!$A$1:$I$89,5,0)</f>
        <v>#N/A</v>
      </c>
      <c r="EL200" s="13" t="e">
        <f t="shared" si="179"/>
        <v>#N/A</v>
      </c>
      <c r="EM200" s="20" t="e">
        <f t="shared" si="180"/>
        <v>#N/A</v>
      </c>
      <c r="EN200" s="59" t="e">
        <f t="shared" si="198"/>
        <v>#N/A</v>
      </c>
      <c r="EO200" s="59" t="e">
        <f ca="1">AVERAGE(OFFSET($EN$3,0,0,'Données projet'!$E$15+1,1))-AVERAGE(OFFSET($H$3,0,0,'Données projet'!$E$15+1,1))</f>
        <v>#N/A</v>
      </c>
      <c r="EP200" s="59" t="e">
        <f t="shared" si="210"/>
        <v>#N/A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 t="e">
        <f>EXP(-LN(2)/35)*EV199+(1-EXP(-LN(2)/35))/(LN(2)/35)*ER200*ES200*VLOOKUP('Données projet'!$B$15,Paramètres!$A$1:$I$89,3,0)*0.475*44/12</f>
        <v>#N/A</v>
      </c>
      <c r="EW200" s="21" t="e">
        <f>EXP(-LN(2)/25)*EW199+(1-EXP(-LN(2)/25))/(LN(2)/25)*Calculateur!ER200*Calculateur!ET200*VLOOKUP('Données projet'!$B$15,Paramètres!$A$1:$I$89,3,0)*0.475*44/12</f>
        <v>#N/A</v>
      </c>
      <c r="EX200" s="21" t="e">
        <f>EXP(-LN(2)/2)*EX199+(1-EXP(-LN(2)/2))/(LN(2)/2)*ER200*EU200*VLOOKUP('Données projet'!$B$15,Paramètres!$A$1:$I$89,3,0)*0.475*44/12</f>
        <v>#N/A</v>
      </c>
      <c r="EY200" s="22" t="e">
        <f t="shared" si="181"/>
        <v>#N/A</v>
      </c>
      <c r="EZ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9" t="e">
        <f t="shared" si="199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45">
      <c r="A201" s="10">
        <f>A200+1</f>
        <v>198</v>
      </c>
      <c r="B201" s="73">
        <f>'Scénario référence'!$B$16*5+'Scénario référence'!$B$17*0+'Scénario référence'!$B$18*5</f>
        <v>0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176.0615999999996</v>
      </c>
      <c r="D201" s="11">
        <f t="shared" si="202"/>
        <v>44.44483974113885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">
        <f>IF(OR('Scénario référence'!$F$8&gt;0,'Scénario référence'!$F$9&gt;0),('Scénario référence'!$F$8+'Scénario référence'!$F$9)*10,0)</f>
        <v>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1702.154973440367</v>
      </c>
      <c r="H201" s="67">
        <f t="shared" si="192"/>
        <v>640.71538254914947</v>
      </c>
      <c r="I201" s="7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1.7053025658242404E-13</v>
      </c>
      <c r="O201" s="13">
        <f>N201*VLOOKUP('Données projet'!$B$9,Paramètres!$A$1:$I$89,3,0)*VLOOKUP('Données projet'!$B$9,Paramètres!$A$1:$I$89,5,0)</f>
        <v>9.5326413429575044E-14</v>
      </c>
      <c r="P201" s="13">
        <f t="shared" si="203"/>
        <v>1.4400742856080346E-12</v>
      </c>
      <c r="Q201" s="20">
        <f t="shared" si="162"/>
        <v>2.6741562174905032E-12</v>
      </c>
      <c r="R201" s="59">
        <f t="shared" si="191"/>
        <v>293.33333333333599</v>
      </c>
      <c r="S201" s="59">
        <f ca="1">AVERAGE(OFFSET($R$3,0,0,'Données projet'!$E$9+1,1))-AVERAGE(OFFSET($H$3,0,0,'Données projet'!$E$9+1,1))</f>
        <v>280.69347314340195</v>
      </c>
      <c r="T201" s="59">
        <f t="shared" si="204"/>
        <v>152.40533828556482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36.410879805179114</v>
      </c>
      <c r="AA201" s="21">
        <f>EXP(-LN(2)/25)*AA200+(1-EXP(-LN(2)/25))/(LN(2)/25)*Calculateur!V201*Calculateur!X201*VLOOKUP('Données projet'!$B$9,Paramètres!$A$1:$I$89,3,0)*0.475*44/12</f>
        <v>6.2816028166552167</v>
      </c>
      <c r="AB201" s="21">
        <f>EXP(-LN(2)/2)*AB200+(1-EXP(-LN(2)/2))/(LN(2)/2)*V201*Y201*VLOOKUP('Données projet'!$B$9,Paramètres!$A$1:$I$89,3,0)*0.475*44/12</f>
        <v>1.130197915769725E-10</v>
      </c>
      <c r="AC201" s="22">
        <f t="shared" si="163"/>
        <v>42.692482621947349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0</v>
      </c>
      <c r="AJ201" s="13">
        <f>AI201*VLOOKUP('Données projet'!$B$10,Paramètres!$A$1:$I$89,3,0)*VLOOKUP('Données projet'!$B$10,Paramètres!$A$1:$I$89,5,0)</f>
        <v>0</v>
      </c>
      <c r="AK201" s="13" t="e">
        <f t="shared" si="164"/>
        <v>#NUM!</v>
      </c>
      <c r="AL201" s="20" t="e">
        <f t="shared" si="165"/>
        <v>#NUM!</v>
      </c>
      <c r="AM201" s="59" t="e">
        <f t="shared" si="193"/>
        <v>#NUM!</v>
      </c>
      <c r="AN201" s="59">
        <f ca="1">AVERAGE(OFFSET($AM$3,0,0,'Données projet'!$E$10+1,1))-AVERAGE(OFFSET($H$3,0,0,'Données projet'!$E$10+1,1))</f>
        <v>179.4725256147085</v>
      </c>
      <c r="AO201" s="59">
        <f t="shared" si="205"/>
        <v>282.16750121151176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9.3887487465795818</v>
      </c>
      <c r="AV201" s="21">
        <f>EXP(-LN(2)/25)*AV200+(1-EXP(-LN(2)/25))/(LN(2)/25)*Calculateur!AQ201*Calculateur!AS201*VLOOKUP('Données projet'!$B$10,Paramètres!$A$1:$I$89,3,0)*0.475*44/12</f>
        <v>1.0648633513465116</v>
      </c>
      <c r="AW201" s="21">
        <f>EXP(-LN(2)/2)*AW200+(1-EXP(-LN(2)/2))/(LN(2)/2)*AQ201*AT201*VLOOKUP('Données projet'!$B$10,Paramètres!$A$1:$I$89,3,0)*0.475*44/12</f>
        <v>7.3048795397211387E-20</v>
      </c>
      <c r="AX201" s="21">
        <f t="shared" si="166"/>
        <v>10.453612097926094</v>
      </c>
      <c r="AY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6.2527760746888816E-13</v>
      </c>
      <c r="BE201" s="13">
        <f>BD201*VLOOKUP('Données projet'!$B$11,Paramètres!$A$1:$I$89,3,0)*VLOOKUP('Données projet'!$B$11,Paramètres!$A$1:$I$89,5,0)</f>
        <v>5.3648818720830608E-13</v>
      </c>
      <c r="BF201" s="13">
        <f t="shared" si="167"/>
        <v>6.6281362235424649E-12</v>
      </c>
      <c r="BG201" s="20">
        <f t="shared" si="168"/>
        <v>1.2478387515390925E-11</v>
      </c>
      <c r="BH201" s="59">
        <f t="shared" si="194"/>
        <v>293.33333333334582</v>
      </c>
      <c r="BI201" s="59">
        <f ca="1">AVERAGE(OFFSET($BH$3,0,0,'Données projet'!$E$11+1,1))-AVERAGE(OFFSET($H$3,0,0,'Données projet'!$E$11+1,1))</f>
        <v>312.89478437044261</v>
      </c>
      <c r="BJ201" s="59">
        <f t="shared" si="206"/>
        <v>276.16555507854571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>
        <f>EXP(-LN(2)/35)*BP200+(1-EXP(-LN(2)/35))/(LN(2)/35)*BL201*BM201*VLOOKUP('Données projet'!$B$11,Paramètres!$A$1:$I$89,3,0)*0.475*44/12</f>
        <v>38.360981917192454</v>
      </c>
      <c r="BQ201" s="21">
        <f>EXP(-LN(2)/25)*BQ200+(1-EXP(-LN(2)/25))/(LN(2)/25)*Calculateur!BL201*Calculateur!BN201*VLOOKUP('Données projet'!$B$11,Paramètres!$A$1:$I$89,3,0)*0.475*44/12</f>
        <v>6.0711678955053028</v>
      </c>
      <c r="BR201" s="21">
        <f>EXP(-LN(2)/2)*BR200+(1-EXP(-LN(2)/2))/(LN(2)/2)*BL201*BO201*VLOOKUP('Données projet'!$B$11,Paramètres!$A$1:$I$89,3,0)*0.475*44/12</f>
        <v>3.6230966184945003E-8</v>
      </c>
      <c r="BS201" s="22">
        <f t="shared" si="169"/>
        <v>44.432149848928724</v>
      </c>
      <c r="BT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0</v>
      </c>
      <c r="BZ201" s="13" t="e">
        <f>BY201*VLOOKUP('Données projet'!$B$12,Paramètres!$A$1:$I$89,3,0)*VLOOKUP('Données projet'!$B$12,Paramètres!$A$1:$I$89,5,0)</f>
        <v>#N/A</v>
      </c>
      <c r="CA201" s="13" t="e">
        <f t="shared" si="170"/>
        <v>#N/A</v>
      </c>
      <c r="CB201" s="20" t="e">
        <f t="shared" si="171"/>
        <v>#N/A</v>
      </c>
      <c r="CC201" s="59" t="e">
        <f t="shared" si="195"/>
        <v>#N/A</v>
      </c>
      <c r="CD201" s="59" t="e">
        <f ca="1">AVERAGE(OFFSET($CC$3,0,0,'Données projet'!$E$12+1,1))-AVERAGE(OFFSET($H$3,0,0,'Données projet'!$E$12+1,1))</f>
        <v>#N/A</v>
      </c>
      <c r="CE201" s="59" t="e">
        <f t="shared" si="207"/>
        <v>#N/A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 t="e">
        <f>EXP(-LN(2)/35)*CK200+(1-EXP(-LN(2)/35))/(LN(2)/35)*CG201*CH201*VLOOKUP('Données projet'!$B$12,Paramètres!$A$1:$I$89,3,0)*0.475*44/12</f>
        <v>#N/A</v>
      </c>
      <c r="CL201" s="21" t="e">
        <f>EXP(-LN(2)/25)*CL200+(1-EXP(-LN(2)/25))/(LN(2)/25)*Calculateur!CG201*Calculateur!CI201*VLOOKUP('Données projet'!$B$12,Paramètres!$A$1:$I$89,3,0)*0.475*44/12</f>
        <v>#N/A</v>
      </c>
      <c r="CM201" s="21" t="e">
        <f>EXP(-LN(2)/2)*CM200+(1-EXP(-LN(2)/2))/(LN(2)/2)*CG201*CJ201*VLOOKUP('Données projet'!$B$12,Paramètres!$A$1:$I$89,3,0)*0.475*44/12</f>
        <v>#N/A</v>
      </c>
      <c r="CN201" s="22" t="e">
        <f t="shared" si="172"/>
        <v>#N/A</v>
      </c>
      <c r="CO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0</v>
      </c>
      <c r="CU201" s="17" t="e">
        <f>CT201*VLOOKUP('Données projet'!$B$13,Paramètres!$A$1:$I$89,3,0)*VLOOKUP('Données projet'!$B$13,Paramètres!$A$1:$I$89,5,0)</f>
        <v>#N/A</v>
      </c>
      <c r="CV201" s="13" t="e">
        <f t="shared" si="173"/>
        <v>#N/A</v>
      </c>
      <c r="CW201" s="20" t="e">
        <f t="shared" si="174"/>
        <v>#N/A</v>
      </c>
      <c r="CX201" s="59" t="e">
        <f t="shared" si="196"/>
        <v>#N/A</v>
      </c>
      <c r="CY201" s="59" t="e">
        <f ca="1">AVERAGE(OFFSET($CX$3,0,0,'Données projet'!$E$13+1,1))-AVERAGE(OFFSET($H$3,0,0,'Données projet'!$E$13+1,1))</f>
        <v>#N/A</v>
      </c>
      <c r="CZ201" s="59" t="e">
        <f t="shared" si="208"/>
        <v>#N/A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 t="e">
        <f>EXP(-LN(2)/35)*DF200+(1-EXP(-LN(2)/35))/(LN(2)/35)*DB201*DC201*VLOOKUP('Données projet'!$B$13,Paramètres!$A$1:$I$89,3,0)*0.475*44/12</f>
        <v>#N/A</v>
      </c>
      <c r="DG201" s="21" t="e">
        <f>EXP(-LN(2)/25)*DG200+(1-EXP(-LN(2)/25))/(LN(2)/25)*Calculateur!DB201*Calculateur!DD201*VLOOKUP('Données projet'!$B$13,Paramètres!$A$1:$I$89,3,0)*0.475*44/12</f>
        <v>#N/A</v>
      </c>
      <c r="DH201" s="21" t="e">
        <f>EXP(-LN(2)/2)*DH200+(1-EXP(-LN(2)/2))/(LN(2)/2)*DB201*DE201*VLOOKUP('Données projet'!$B$13,Paramètres!$A$1:$I$89,3,0)*0.475*44/12</f>
        <v>#N/A</v>
      </c>
      <c r="DI201" s="22" t="e">
        <f t="shared" si="175"/>
        <v>#N/A</v>
      </c>
      <c r="DJ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0</v>
      </c>
      <c r="DP201" s="17" t="e">
        <f>DO201*VLOOKUP('Données projet'!$B$14,Paramètres!$A$1:$I$89,3,0)*VLOOKUP('Données projet'!$B$14,Paramètres!$A$1:$I$89,5,0)</f>
        <v>#N/A</v>
      </c>
      <c r="DQ201" s="13" t="e">
        <f t="shared" si="176"/>
        <v>#N/A</v>
      </c>
      <c r="DR201" s="20" t="e">
        <f t="shared" si="177"/>
        <v>#N/A</v>
      </c>
      <c r="DS201" s="59" t="e">
        <f t="shared" si="197"/>
        <v>#N/A</v>
      </c>
      <c r="DT201" s="59" t="e">
        <f ca="1">AVERAGE(OFFSET($DS$3,0,0,'Données projet'!$E$14+1,1))-AVERAGE(OFFSET($H$3,0,0,'Données projet'!$E$14+1,1))</f>
        <v>#N/A</v>
      </c>
      <c r="DU201" s="59" t="e">
        <f t="shared" si="209"/>
        <v>#N/A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 t="e">
        <f>EXP(-LN(2)/35)*EA200+(1-EXP(-LN(2)/35))/(LN(2)/35)*DW201*DX201*VLOOKUP('Données projet'!$B$14,Paramètres!$A$1:$I$89,3,0)*0.475*44/12</f>
        <v>#N/A</v>
      </c>
      <c r="EB201" s="21" t="e">
        <f>EXP(-LN(2)/25)*EB200+(1-EXP(-LN(2)/25))/(LN(2)/25)*Calculateur!DW201*Calculateur!DY201*VLOOKUP('Données projet'!$B$14,Paramètres!$A$1:$I$89,3,0)*0.475*44/12</f>
        <v>#N/A</v>
      </c>
      <c r="EC201" s="21" t="e">
        <f>EXP(-LN(2)/2)*EC200+(1-EXP(-LN(2)/2))/(LN(2)/2)*DW201*DZ201*VLOOKUP('Données projet'!$B$14,Paramètres!$A$1:$I$89,3,0)*0.475*44/12</f>
        <v>#N/A</v>
      </c>
      <c r="ED201" s="22" t="e">
        <f t="shared" si="178"/>
        <v>#N/A</v>
      </c>
      <c r="EE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0</v>
      </c>
      <c r="EK201" s="17" t="e">
        <f>EJ201*VLOOKUP('Données projet'!$B$15,Paramètres!$A$1:$I$89,3,0)*VLOOKUP('Données projet'!$B$15,Paramètres!$A$1:$I$89,5,0)</f>
        <v>#N/A</v>
      </c>
      <c r="EL201" s="13" t="e">
        <f t="shared" si="179"/>
        <v>#N/A</v>
      </c>
      <c r="EM201" s="20" t="e">
        <f t="shared" si="180"/>
        <v>#N/A</v>
      </c>
      <c r="EN201" s="59" t="e">
        <f t="shared" si="198"/>
        <v>#N/A</v>
      </c>
      <c r="EO201" s="59" t="e">
        <f ca="1">AVERAGE(OFFSET($EN$3,0,0,'Données projet'!$E$15+1,1))-AVERAGE(OFFSET($H$3,0,0,'Données projet'!$E$15+1,1))</f>
        <v>#N/A</v>
      </c>
      <c r="EP201" s="59" t="e">
        <f t="shared" si="210"/>
        <v>#N/A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 t="e">
        <f>EXP(-LN(2)/35)*EV200+(1-EXP(-LN(2)/35))/(LN(2)/35)*ER201*ES201*VLOOKUP('Données projet'!$B$15,Paramètres!$A$1:$I$89,3,0)*0.475*44/12</f>
        <v>#N/A</v>
      </c>
      <c r="EW201" s="21" t="e">
        <f>EXP(-LN(2)/25)*EW200+(1-EXP(-LN(2)/25))/(LN(2)/25)*Calculateur!ER201*Calculateur!ET201*VLOOKUP('Données projet'!$B$15,Paramètres!$A$1:$I$89,3,0)*0.475*44/12</f>
        <v>#N/A</v>
      </c>
      <c r="EX201" s="21" t="e">
        <f>EXP(-LN(2)/2)*EX200+(1-EXP(-LN(2)/2))/(LN(2)/2)*ER201*EU201*VLOOKUP('Données projet'!$B$15,Paramètres!$A$1:$I$89,3,0)*0.475*44/12</f>
        <v>#N/A</v>
      </c>
      <c r="EY201" s="22" t="e">
        <f t="shared" si="181"/>
        <v>#N/A</v>
      </c>
      <c r="EZ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9" t="e">
        <f t="shared" si="199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45">
      <c r="A202" s="10">
        <f t="shared" si="161"/>
        <v>199</v>
      </c>
      <c r="B202" s="73">
        <f>'Scénario référence'!$B$16*5+'Scénario référence'!$B$17*0+'Scénario référence'!$B$18*5</f>
        <v>0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176.95079999999959</v>
      </c>
      <c r="D202" s="11">
        <f t="shared" si="202"/>
        <v>44.643122259339037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">
        <f>IF(OR('Scénario référence'!$F$8&gt;0,'Scénario référence'!$F$9&gt;0),('Scénario référence'!$F$8+'Scénario référence'!$F$9)*10,0)</f>
        <v>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1710.5495753352454</v>
      </c>
      <c r="H202" s="67">
        <f t="shared" si="192"/>
        <v>642.60941460168146</v>
      </c>
      <c r="I202" s="7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1.7053025658242404E-13</v>
      </c>
      <c r="O202" s="13">
        <f>N202*VLOOKUP('Données projet'!$B$9,Paramètres!$A$1:$I$89,3,0)*VLOOKUP('Données projet'!$B$9,Paramètres!$A$1:$I$89,5,0)</f>
        <v>9.5326413429575044E-14</v>
      </c>
      <c r="P202" s="13">
        <f t="shared" si="203"/>
        <v>1.4400742856080346E-12</v>
      </c>
      <c r="Q202" s="20">
        <f t="shared" si="162"/>
        <v>2.6741562174905032E-12</v>
      </c>
      <c r="R202" s="59">
        <f t="shared" si="191"/>
        <v>293.33333333333599</v>
      </c>
      <c r="S202" s="59">
        <f ca="1">AVERAGE(OFFSET($R$3,0,0,'Données projet'!$E$9+1,1))-AVERAGE(OFFSET($H$3,0,0,'Données projet'!$E$9+1,1))</f>
        <v>280.69347314340195</v>
      </c>
      <c r="T202" s="59">
        <f t="shared" si="204"/>
        <v>152.40533828556482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35.696884660643335</v>
      </c>
      <c r="AA202" s="21">
        <f>EXP(-LN(2)/25)*AA201+(1-EXP(-LN(2)/25))/(LN(2)/25)*Calculateur!V202*Calculateur!X202*VLOOKUP('Données projet'!$B$9,Paramètres!$A$1:$I$89,3,0)*0.475*44/12</f>
        <v>6.1098320572986449</v>
      </c>
      <c r="AB202" s="21">
        <f>EXP(-LN(2)/2)*AB201+(1-EXP(-LN(2)/2))/(LN(2)/2)*V202*Y202*VLOOKUP('Données projet'!$B$9,Paramètres!$A$1:$I$89,3,0)*0.475*44/12</f>
        <v>7.991706103236751E-11</v>
      </c>
      <c r="AC202" s="22">
        <f t="shared" si="163"/>
        <v>41.806716718021896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0</v>
      </c>
      <c r="AJ202" s="13">
        <f>AI202*VLOOKUP('Données projet'!$B$10,Paramètres!$A$1:$I$89,3,0)*VLOOKUP('Données projet'!$B$10,Paramètres!$A$1:$I$89,5,0)</f>
        <v>0</v>
      </c>
      <c r="AK202" s="13" t="e">
        <f t="shared" si="164"/>
        <v>#NUM!</v>
      </c>
      <c r="AL202" s="20" t="e">
        <f t="shared" si="165"/>
        <v>#NUM!</v>
      </c>
      <c r="AM202" s="59" t="e">
        <f t="shared" si="193"/>
        <v>#NUM!</v>
      </c>
      <c r="AN202" s="59">
        <f ca="1">AVERAGE(OFFSET($AM$3,0,0,'Données projet'!$E$10+1,1))-AVERAGE(OFFSET($H$3,0,0,'Données projet'!$E$10+1,1))</f>
        <v>179.4725256147085</v>
      </c>
      <c r="AO202" s="59">
        <f t="shared" si="205"/>
        <v>282.16750121151176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9.2046411102304404</v>
      </c>
      <c r="AV202" s="21">
        <f>EXP(-LN(2)/25)*AV201+(1-EXP(-LN(2)/25))/(LN(2)/25)*Calculateur!AQ202*Calculateur!AS202*VLOOKUP('Données projet'!$B$10,Paramètres!$A$1:$I$89,3,0)*0.475*44/12</f>
        <v>1.0357446070052114</v>
      </c>
      <c r="AW202" s="21">
        <f>EXP(-LN(2)/2)*AW201+(1-EXP(-LN(2)/2))/(LN(2)/2)*AQ202*AT202*VLOOKUP('Données projet'!$B$10,Paramètres!$A$1:$I$89,3,0)*0.475*44/12</f>
        <v>5.1653298582876833E-20</v>
      </c>
      <c r="AX202" s="21">
        <f t="shared" si="166"/>
        <v>10.240385717235652</v>
      </c>
      <c r="AY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6.2527760746888816E-13</v>
      </c>
      <c r="BE202" s="13">
        <f>BD202*VLOOKUP('Données projet'!$B$11,Paramètres!$A$1:$I$89,3,0)*VLOOKUP('Données projet'!$B$11,Paramètres!$A$1:$I$89,5,0)</f>
        <v>5.3648818720830608E-13</v>
      </c>
      <c r="BF202" s="13">
        <f t="shared" si="167"/>
        <v>6.6281362235424649E-12</v>
      </c>
      <c r="BG202" s="20">
        <f t="shared" si="168"/>
        <v>1.2478387515390925E-11</v>
      </c>
      <c r="BH202" s="59">
        <f t="shared" si="194"/>
        <v>293.33333333334582</v>
      </c>
      <c r="BI202" s="59">
        <f ca="1">AVERAGE(OFFSET($BH$3,0,0,'Données projet'!$E$11+1,1))-AVERAGE(OFFSET($H$3,0,0,'Données projet'!$E$11+1,1))</f>
        <v>312.89478437044261</v>
      </c>
      <c r="BJ202" s="59">
        <f t="shared" si="206"/>
        <v>276.16555507854571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>
        <f>EXP(-LN(2)/35)*BP201+(1-EXP(-LN(2)/35))/(LN(2)/35)*BL202*BM202*VLOOKUP('Données projet'!$B$11,Paramètres!$A$1:$I$89,3,0)*0.475*44/12</f>
        <v>37.60874645968493</v>
      </c>
      <c r="BQ202" s="21">
        <f>EXP(-LN(2)/25)*BQ201+(1-EXP(-LN(2)/25))/(LN(2)/25)*Calculateur!BL202*Calculateur!BN202*VLOOKUP('Données projet'!$B$11,Paramètres!$A$1:$I$89,3,0)*0.475*44/12</f>
        <v>5.9051514901338669</v>
      </c>
      <c r="BR202" s="21">
        <f>EXP(-LN(2)/2)*BR201+(1-EXP(-LN(2)/2))/(LN(2)/2)*BL202*BO202*VLOOKUP('Données projet'!$B$11,Paramètres!$A$1:$I$89,3,0)*0.475*44/12</f>
        <v>2.5619161878315109E-8</v>
      </c>
      <c r="BS202" s="22">
        <f t="shared" si="169"/>
        <v>43.513897975437956</v>
      </c>
      <c r="BT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0</v>
      </c>
      <c r="BZ202" s="13" t="e">
        <f>BY202*VLOOKUP('Données projet'!$B$12,Paramètres!$A$1:$I$89,3,0)*VLOOKUP('Données projet'!$B$12,Paramètres!$A$1:$I$89,5,0)</f>
        <v>#N/A</v>
      </c>
      <c r="CA202" s="13" t="e">
        <f t="shared" si="170"/>
        <v>#N/A</v>
      </c>
      <c r="CB202" s="20" t="e">
        <f t="shared" si="171"/>
        <v>#N/A</v>
      </c>
      <c r="CC202" s="59" t="e">
        <f t="shared" si="195"/>
        <v>#N/A</v>
      </c>
      <c r="CD202" s="59" t="e">
        <f ca="1">AVERAGE(OFFSET($CC$3,0,0,'Données projet'!$E$12+1,1))-AVERAGE(OFFSET($H$3,0,0,'Données projet'!$E$12+1,1))</f>
        <v>#N/A</v>
      </c>
      <c r="CE202" s="59" t="e">
        <f t="shared" si="207"/>
        <v>#N/A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 t="e">
        <f>EXP(-LN(2)/35)*CK201+(1-EXP(-LN(2)/35))/(LN(2)/35)*CG202*CH202*VLOOKUP('Données projet'!$B$12,Paramètres!$A$1:$I$89,3,0)*0.475*44/12</f>
        <v>#N/A</v>
      </c>
      <c r="CL202" s="21" t="e">
        <f>EXP(-LN(2)/25)*CL201+(1-EXP(-LN(2)/25))/(LN(2)/25)*Calculateur!CG202*Calculateur!CI202*VLOOKUP('Données projet'!$B$12,Paramètres!$A$1:$I$89,3,0)*0.475*44/12</f>
        <v>#N/A</v>
      </c>
      <c r="CM202" s="21" t="e">
        <f>EXP(-LN(2)/2)*CM201+(1-EXP(-LN(2)/2))/(LN(2)/2)*CG202*CJ202*VLOOKUP('Données projet'!$B$12,Paramètres!$A$1:$I$89,3,0)*0.475*44/12</f>
        <v>#N/A</v>
      </c>
      <c r="CN202" s="22" t="e">
        <f t="shared" si="172"/>
        <v>#N/A</v>
      </c>
      <c r="CO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0</v>
      </c>
      <c r="CU202" s="17" t="e">
        <f>CT202*VLOOKUP('Données projet'!$B$13,Paramètres!$A$1:$I$89,3,0)*VLOOKUP('Données projet'!$B$13,Paramètres!$A$1:$I$89,5,0)</f>
        <v>#N/A</v>
      </c>
      <c r="CV202" s="13" t="e">
        <f t="shared" si="173"/>
        <v>#N/A</v>
      </c>
      <c r="CW202" s="20" t="e">
        <f t="shared" si="174"/>
        <v>#N/A</v>
      </c>
      <c r="CX202" s="59" t="e">
        <f t="shared" si="196"/>
        <v>#N/A</v>
      </c>
      <c r="CY202" s="59" t="e">
        <f ca="1">AVERAGE(OFFSET($CX$3,0,0,'Données projet'!$E$13+1,1))-AVERAGE(OFFSET($H$3,0,0,'Données projet'!$E$13+1,1))</f>
        <v>#N/A</v>
      </c>
      <c r="CZ202" s="59" t="e">
        <f t="shared" si="208"/>
        <v>#N/A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 t="e">
        <f>EXP(-LN(2)/35)*DF201+(1-EXP(-LN(2)/35))/(LN(2)/35)*DB202*DC202*VLOOKUP('Données projet'!$B$13,Paramètres!$A$1:$I$89,3,0)*0.475*44/12</f>
        <v>#N/A</v>
      </c>
      <c r="DG202" s="21" t="e">
        <f>EXP(-LN(2)/25)*DG201+(1-EXP(-LN(2)/25))/(LN(2)/25)*Calculateur!DB202*Calculateur!DD202*VLOOKUP('Données projet'!$B$13,Paramètres!$A$1:$I$89,3,0)*0.475*44/12</f>
        <v>#N/A</v>
      </c>
      <c r="DH202" s="21" t="e">
        <f>EXP(-LN(2)/2)*DH201+(1-EXP(-LN(2)/2))/(LN(2)/2)*DB202*DE202*VLOOKUP('Données projet'!$B$13,Paramètres!$A$1:$I$89,3,0)*0.475*44/12</f>
        <v>#N/A</v>
      </c>
      <c r="DI202" s="22" t="e">
        <f t="shared" si="175"/>
        <v>#N/A</v>
      </c>
      <c r="DJ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0</v>
      </c>
      <c r="DP202" s="17" t="e">
        <f>DO202*VLOOKUP('Données projet'!$B$14,Paramètres!$A$1:$I$89,3,0)*VLOOKUP('Données projet'!$B$14,Paramètres!$A$1:$I$89,5,0)</f>
        <v>#N/A</v>
      </c>
      <c r="DQ202" s="13" t="e">
        <f t="shared" si="176"/>
        <v>#N/A</v>
      </c>
      <c r="DR202" s="20" t="e">
        <f t="shared" si="177"/>
        <v>#N/A</v>
      </c>
      <c r="DS202" s="59" t="e">
        <f t="shared" si="197"/>
        <v>#N/A</v>
      </c>
      <c r="DT202" s="59" t="e">
        <f ca="1">AVERAGE(OFFSET($DS$3,0,0,'Données projet'!$E$14+1,1))-AVERAGE(OFFSET($H$3,0,0,'Données projet'!$E$14+1,1))</f>
        <v>#N/A</v>
      </c>
      <c r="DU202" s="59" t="e">
        <f t="shared" si="209"/>
        <v>#N/A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 t="e">
        <f>EXP(-LN(2)/35)*EA201+(1-EXP(-LN(2)/35))/(LN(2)/35)*DW202*DX202*VLOOKUP('Données projet'!$B$14,Paramètres!$A$1:$I$89,3,0)*0.475*44/12</f>
        <v>#N/A</v>
      </c>
      <c r="EB202" s="21" t="e">
        <f>EXP(-LN(2)/25)*EB201+(1-EXP(-LN(2)/25))/(LN(2)/25)*Calculateur!DW202*Calculateur!DY202*VLOOKUP('Données projet'!$B$14,Paramètres!$A$1:$I$89,3,0)*0.475*44/12</f>
        <v>#N/A</v>
      </c>
      <c r="EC202" s="21" t="e">
        <f>EXP(-LN(2)/2)*EC201+(1-EXP(-LN(2)/2))/(LN(2)/2)*DW202*DZ202*VLOOKUP('Données projet'!$B$14,Paramètres!$A$1:$I$89,3,0)*0.475*44/12</f>
        <v>#N/A</v>
      </c>
      <c r="ED202" s="22" t="e">
        <f t="shared" si="178"/>
        <v>#N/A</v>
      </c>
      <c r="EE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0</v>
      </c>
      <c r="EK202" s="17" t="e">
        <f>EJ202*VLOOKUP('Données projet'!$B$15,Paramètres!$A$1:$I$89,3,0)*VLOOKUP('Données projet'!$B$15,Paramètres!$A$1:$I$89,5,0)</f>
        <v>#N/A</v>
      </c>
      <c r="EL202" s="13" t="e">
        <f t="shared" si="179"/>
        <v>#N/A</v>
      </c>
      <c r="EM202" s="20" t="e">
        <f t="shared" si="180"/>
        <v>#N/A</v>
      </c>
      <c r="EN202" s="59" t="e">
        <f t="shared" si="198"/>
        <v>#N/A</v>
      </c>
      <c r="EO202" s="59" t="e">
        <f ca="1">AVERAGE(OFFSET($EN$3,0,0,'Données projet'!$E$15+1,1))-AVERAGE(OFFSET($H$3,0,0,'Données projet'!$E$15+1,1))</f>
        <v>#N/A</v>
      </c>
      <c r="EP202" s="59" t="e">
        <f t="shared" si="210"/>
        <v>#N/A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 t="e">
        <f>EXP(-LN(2)/35)*EV201+(1-EXP(-LN(2)/35))/(LN(2)/35)*ER202*ES202*VLOOKUP('Données projet'!$B$15,Paramètres!$A$1:$I$89,3,0)*0.475*44/12</f>
        <v>#N/A</v>
      </c>
      <c r="EW202" s="21" t="e">
        <f>EXP(-LN(2)/25)*EW201+(1-EXP(-LN(2)/25))/(LN(2)/25)*Calculateur!ER202*Calculateur!ET202*VLOOKUP('Données projet'!$B$15,Paramètres!$A$1:$I$89,3,0)*0.475*44/12</f>
        <v>#N/A</v>
      </c>
      <c r="EX202" s="21" t="e">
        <f>EXP(-LN(2)/2)*EX201+(1-EXP(-LN(2)/2))/(LN(2)/2)*ER202*EU202*VLOOKUP('Données projet'!$B$15,Paramètres!$A$1:$I$89,3,0)*0.475*44/12</f>
        <v>#N/A</v>
      </c>
      <c r="EY202" s="22" t="e">
        <f t="shared" si="181"/>
        <v>#N/A</v>
      </c>
      <c r="EZ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9" t="e">
        <f t="shared" si="199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4.65" thickBot="1" x14ac:dyDescent="0.5">
      <c r="A203" s="10">
        <f>A202+1</f>
        <v>200</v>
      </c>
      <c r="B203" s="73">
        <f>'Scénario référence'!$B$16*5+'Scénario référence'!$B$17*0+'Scénario référence'!$B$18*5</f>
        <v>0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177.83999999999958</v>
      </c>
      <c r="D203" s="11">
        <f t="shared" si="202"/>
        <v>44.841288830609059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">
        <f>IF(OR('Scénario référence'!$F$8&gt;0,'Scénario référence'!$F$9&gt;0),('Scénario référence'!$F$8+'Scénario référence'!$F$9)*10,0)</f>
        <v>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1718.9432822011897</v>
      </c>
      <c r="H203" s="67">
        <f t="shared" si="192"/>
        <v>644.5032447133101</v>
      </c>
      <c r="I203" s="7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1.7053025658242404E-13</v>
      </c>
      <c r="O203" s="13">
        <f>N203*VLOOKUP('Données projet'!$B$9,Paramètres!$A$1:$I$89,3,0)*VLOOKUP('Données projet'!$B$9,Paramètres!$A$1:$I$89,5,0)</f>
        <v>9.5326413429575044E-14</v>
      </c>
      <c r="P203" s="13">
        <f t="shared" si="203"/>
        <v>1.4400742856080346E-12</v>
      </c>
      <c r="Q203" s="20">
        <f t="shared" si="162"/>
        <v>2.6741562174905032E-12</v>
      </c>
      <c r="R203" s="59">
        <f t="shared" si="191"/>
        <v>293.33333333333599</v>
      </c>
      <c r="S203" s="59">
        <f ca="1">AVERAGE(OFFSET($R$3,0,0,'Données projet'!$E$9+1,1))-AVERAGE(OFFSET($H$3,0,0,'Données projet'!$E$9+1,1))</f>
        <v>280.69347314340195</v>
      </c>
      <c r="T203" s="59">
        <f t="shared" si="204"/>
        <v>152.40533828556482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34.996890525397859</v>
      </c>
      <c r="AA203" s="21">
        <f>EXP(-LN(2)/25)*AA202+(1-EXP(-LN(2)/25))/(LN(2)/25)*Calculateur!V203*Calculateur!X203*VLOOKUP('Données projet'!$B$9,Paramètres!$A$1:$I$89,3,0)*0.475*44/12</f>
        <v>5.9427583783897093</v>
      </c>
      <c r="AB203" s="21">
        <f>EXP(-LN(2)/2)*AB202+(1-EXP(-LN(2)/2))/(LN(2)/2)*V203*Y203*VLOOKUP('Données projet'!$B$9,Paramètres!$A$1:$I$89,3,0)*0.475*44/12</f>
        <v>5.6509895788486258E-11</v>
      </c>
      <c r="AC203" s="22">
        <f t="shared" si="163"/>
        <v>40.939648903844081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0</v>
      </c>
      <c r="AJ203" s="13">
        <f>AI203*VLOOKUP('Données projet'!$B$10,Paramètres!$A$1:$I$89,3,0)*VLOOKUP('Données projet'!$B$10,Paramètres!$A$1:$I$89,5,0)</f>
        <v>0</v>
      </c>
      <c r="AK203" s="13" t="e">
        <f t="shared" si="164"/>
        <v>#NUM!</v>
      </c>
      <c r="AL203" s="20" t="e">
        <f t="shared" si="165"/>
        <v>#NUM!</v>
      </c>
      <c r="AM203" s="59" t="e">
        <f t="shared" si="193"/>
        <v>#NUM!</v>
      </c>
      <c r="AN203" s="59">
        <f ca="1">AVERAGE(OFFSET($AM$3,0,0,'Données projet'!$E$10+1,1))-AVERAGE(OFFSET($H$3,0,0,'Données projet'!$E$10+1,1))</f>
        <v>179.4725256147085</v>
      </c>
      <c r="AO203" s="59">
        <f t="shared" si="205"/>
        <v>282.16750121151176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9.024143712335535</v>
      </c>
      <c r="AV203" s="21">
        <f>EXP(-LN(2)/25)*AV202+(1-EXP(-LN(2)/25))/(LN(2)/25)*Calculateur!AQ203*Calculateur!AS203*VLOOKUP('Données projet'!$B$10,Paramètres!$A$1:$I$89,3,0)*0.475*44/12</f>
        <v>1.0074221162592123</v>
      </c>
      <c r="AW203" s="21">
        <f>EXP(-LN(2)/2)*AW202+(1-EXP(-LN(2)/2))/(LN(2)/2)*AQ203*AT203*VLOOKUP('Données projet'!$B$10,Paramètres!$A$1:$I$89,3,0)*0.475*44/12</f>
        <v>3.6524397698605694E-20</v>
      </c>
      <c r="AX203" s="21">
        <f t="shared" si="166"/>
        <v>10.031565828594747</v>
      </c>
      <c r="AY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6.2527760746888816E-13</v>
      </c>
      <c r="BE203" s="13">
        <f>BD203*VLOOKUP('Données projet'!$B$11,Paramètres!$A$1:$I$89,3,0)*VLOOKUP('Données projet'!$B$11,Paramètres!$A$1:$I$89,5,0)</f>
        <v>5.3648818720830608E-13</v>
      </c>
      <c r="BF203" s="13">
        <f t="shared" si="167"/>
        <v>6.6281362235424649E-12</v>
      </c>
      <c r="BG203" s="20">
        <f t="shared" si="168"/>
        <v>1.2478387515390925E-11</v>
      </c>
      <c r="BH203" s="59">
        <f t="shared" si="194"/>
        <v>293.33333333334582</v>
      </c>
      <c r="BI203" s="59">
        <f ca="1">AVERAGE(OFFSET($BH$3,0,0,'Données projet'!$E$11+1,1))-AVERAGE(OFFSET($H$3,0,0,'Données projet'!$E$11+1,1))</f>
        <v>312.89478437044261</v>
      </c>
      <c r="BJ203" s="59">
        <f t="shared" si="206"/>
        <v>276.16555507854571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>
        <f>EXP(-LN(2)/35)*BP202+(1-EXP(-LN(2)/35))/(LN(2)/35)*BL203*BM203*VLOOKUP('Données projet'!$B$11,Paramètres!$A$1:$I$89,3,0)*0.475*44/12</f>
        <v>36.871261880680805</v>
      </c>
      <c r="BQ203" s="21">
        <f>EXP(-LN(2)/25)*BQ202+(1-EXP(-LN(2)/25))/(LN(2)/25)*Calculateur!BL203*Calculateur!BN203*VLOOKUP('Données projet'!$B$11,Paramètres!$A$1:$I$89,3,0)*0.475*44/12</f>
        <v>5.7436748120977361</v>
      </c>
      <c r="BR203" s="21">
        <f>EXP(-LN(2)/2)*BR202+(1-EXP(-LN(2)/2))/(LN(2)/2)*BL203*BO203*VLOOKUP('Données projet'!$B$11,Paramètres!$A$1:$I$89,3,0)*0.475*44/12</f>
        <v>1.8115483092472501E-8</v>
      </c>
      <c r="BS203" s="22">
        <f t="shared" si="169"/>
        <v>42.614936710894028</v>
      </c>
      <c r="BT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0</v>
      </c>
      <c r="BZ203" s="13" t="e">
        <f>BY203*VLOOKUP('Données projet'!$B$12,Paramètres!$A$1:$I$89,3,0)*VLOOKUP('Données projet'!$B$12,Paramètres!$A$1:$I$89,5,0)</f>
        <v>#N/A</v>
      </c>
      <c r="CA203" s="13" t="e">
        <f t="shared" si="170"/>
        <v>#N/A</v>
      </c>
      <c r="CB203" s="20" t="e">
        <f t="shared" si="171"/>
        <v>#N/A</v>
      </c>
      <c r="CC203" s="59" t="e">
        <f t="shared" si="195"/>
        <v>#N/A</v>
      </c>
      <c r="CD203" s="59" t="e">
        <f ca="1">AVERAGE(OFFSET($CC$3,0,0,'Données projet'!$E$12+1,1))-AVERAGE(OFFSET($H$3,0,0,'Données projet'!$E$12+1,1))</f>
        <v>#N/A</v>
      </c>
      <c r="CE203" s="59" t="e">
        <f t="shared" si="207"/>
        <v>#N/A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 t="e">
        <f>EXP(-LN(2)/35)*CK202+(1-EXP(-LN(2)/35))/(LN(2)/35)*CG203*CH203*VLOOKUP('Données projet'!$B$12,Paramètres!$A$1:$I$89,3,0)*0.475*44/12</f>
        <v>#N/A</v>
      </c>
      <c r="CL203" s="21" t="e">
        <f>EXP(-LN(2)/25)*CL202+(1-EXP(-LN(2)/25))/(LN(2)/25)*Calculateur!CG203*Calculateur!CI203*VLOOKUP('Données projet'!$B$12,Paramètres!$A$1:$I$89,3,0)*0.475*44/12</f>
        <v>#N/A</v>
      </c>
      <c r="CM203" s="21" t="e">
        <f>EXP(-LN(2)/2)*CM202+(1-EXP(-LN(2)/2))/(LN(2)/2)*CG203*CJ203*VLOOKUP('Données projet'!$B$12,Paramètres!$A$1:$I$89,3,0)*0.475*44/12</f>
        <v>#N/A</v>
      </c>
      <c r="CN203" s="22" t="e">
        <f t="shared" si="172"/>
        <v>#N/A</v>
      </c>
      <c r="CO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0</v>
      </c>
      <c r="CU203" s="17" t="e">
        <f>CT203*VLOOKUP('Données projet'!$B$13,Paramètres!$A$1:$I$89,3,0)*VLOOKUP('Données projet'!$B$13,Paramètres!$A$1:$I$89,5,0)</f>
        <v>#N/A</v>
      </c>
      <c r="CV203" s="13" t="e">
        <f t="shared" si="173"/>
        <v>#N/A</v>
      </c>
      <c r="CW203" s="20" t="e">
        <f t="shared" si="174"/>
        <v>#N/A</v>
      </c>
      <c r="CX203" s="59" t="e">
        <f t="shared" si="196"/>
        <v>#N/A</v>
      </c>
      <c r="CY203" s="59" t="e">
        <f ca="1">AVERAGE(OFFSET($CX$3,0,0,'Données projet'!$E$13+1,1))-AVERAGE(OFFSET($H$3,0,0,'Données projet'!$E$13+1,1))</f>
        <v>#N/A</v>
      </c>
      <c r="CZ203" s="59" t="e">
        <f t="shared" si="208"/>
        <v>#N/A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 t="e">
        <f>EXP(-LN(2)/35)*DF202+(1-EXP(-LN(2)/35))/(LN(2)/35)*DB203*DC203*VLOOKUP('Données projet'!$B$13,Paramètres!$A$1:$I$89,3,0)*0.475*44/12</f>
        <v>#N/A</v>
      </c>
      <c r="DG203" s="21" t="e">
        <f>EXP(-LN(2)/25)*DG202+(1-EXP(-LN(2)/25))/(LN(2)/25)*Calculateur!DB203*Calculateur!DD203*VLOOKUP('Données projet'!$B$13,Paramètres!$A$1:$I$89,3,0)*0.475*44/12</f>
        <v>#N/A</v>
      </c>
      <c r="DH203" s="21" t="e">
        <f>EXP(-LN(2)/2)*DH202+(1-EXP(-LN(2)/2))/(LN(2)/2)*DB203*DE203*VLOOKUP('Données projet'!$B$13,Paramètres!$A$1:$I$89,3,0)*0.475*44/12</f>
        <v>#N/A</v>
      </c>
      <c r="DI203" s="22" t="e">
        <f t="shared" si="175"/>
        <v>#N/A</v>
      </c>
      <c r="DJ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0</v>
      </c>
      <c r="DP203" s="17" t="e">
        <f>DO203*VLOOKUP('Données projet'!$B$14,Paramètres!$A$1:$I$89,3,0)*VLOOKUP('Données projet'!$B$14,Paramètres!$A$1:$I$89,5,0)</f>
        <v>#N/A</v>
      </c>
      <c r="DQ203" s="13" t="e">
        <f t="shared" si="176"/>
        <v>#N/A</v>
      </c>
      <c r="DR203" s="20" t="e">
        <f t="shared" si="177"/>
        <v>#N/A</v>
      </c>
      <c r="DS203" s="59" t="e">
        <f t="shared" si="197"/>
        <v>#N/A</v>
      </c>
      <c r="DT203" s="59" t="e">
        <f ca="1">AVERAGE(OFFSET($DS$3,0,0,'Données projet'!$E$14+1,1))-AVERAGE(OFFSET($H$3,0,0,'Données projet'!$E$14+1,1))</f>
        <v>#N/A</v>
      </c>
      <c r="DU203" s="59" t="e">
        <f t="shared" si="209"/>
        <v>#N/A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 t="e">
        <f>EXP(-LN(2)/35)*EA202+(1-EXP(-LN(2)/35))/(LN(2)/35)*DW203*DX203*VLOOKUP('Données projet'!$B$14,Paramètres!$A$1:$I$89,3,0)*0.475*44/12</f>
        <v>#N/A</v>
      </c>
      <c r="EB203" s="21" t="e">
        <f>EXP(-LN(2)/25)*EB202+(1-EXP(-LN(2)/25))/(LN(2)/25)*Calculateur!DW203*Calculateur!DY203*VLOOKUP('Données projet'!$B$14,Paramètres!$A$1:$I$89,3,0)*0.475*44/12</f>
        <v>#N/A</v>
      </c>
      <c r="EC203" s="21" t="e">
        <f>EXP(-LN(2)/2)*EC202+(1-EXP(-LN(2)/2))/(LN(2)/2)*DW203*DZ203*VLOOKUP('Données projet'!$B$14,Paramètres!$A$1:$I$89,3,0)*0.475*44/12</f>
        <v>#N/A</v>
      </c>
      <c r="ED203" s="22" t="e">
        <f t="shared" si="178"/>
        <v>#N/A</v>
      </c>
      <c r="EE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0</v>
      </c>
      <c r="EK203" s="17" t="e">
        <f>EJ203*VLOOKUP('Données projet'!$B$15,Paramètres!$A$1:$I$89,3,0)*VLOOKUP('Données projet'!$B$15,Paramètres!$A$1:$I$89,5,0)</f>
        <v>#N/A</v>
      </c>
      <c r="EL203" s="13" t="e">
        <f t="shared" si="179"/>
        <v>#N/A</v>
      </c>
      <c r="EM203" s="20" t="e">
        <f t="shared" si="180"/>
        <v>#N/A</v>
      </c>
      <c r="EN203" s="59" t="e">
        <f t="shared" si="198"/>
        <v>#N/A</v>
      </c>
      <c r="EO203" s="59" t="e">
        <f ca="1">AVERAGE(OFFSET($EN$3,0,0,'Données projet'!$E$15+1,1))-AVERAGE(OFFSET($H$3,0,0,'Données projet'!$E$15+1,1))</f>
        <v>#N/A</v>
      </c>
      <c r="EP203" s="59" t="e">
        <f t="shared" si="210"/>
        <v>#N/A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 t="e">
        <f>EXP(-LN(2)/35)*EV202+(1-EXP(-LN(2)/35))/(LN(2)/35)*ER203*ES203*VLOOKUP('Données projet'!$B$15,Paramètres!$A$1:$I$89,3,0)*0.475*44/12</f>
        <v>#N/A</v>
      </c>
      <c r="EW203" s="21" t="e">
        <f>EXP(-LN(2)/25)*EW202+(1-EXP(-LN(2)/25))/(LN(2)/25)*Calculateur!ER203*Calculateur!ET203*VLOOKUP('Données projet'!$B$15,Paramètres!$A$1:$I$89,3,0)*0.475*44/12</f>
        <v>#N/A</v>
      </c>
      <c r="EX203" s="21" t="e">
        <f>EXP(-LN(2)/2)*EX202+(1-EXP(-LN(2)/2))/(LN(2)/2)*ER203*EU203*VLOOKUP('Données projet'!$B$15,Paramètres!$A$1:$I$89,3,0)*0.475*44/12</f>
        <v>#N/A</v>
      </c>
      <c r="EY203" s="22" t="e">
        <f t="shared" si="181"/>
        <v>#N/A</v>
      </c>
      <c r="EZ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9" t="e">
        <f t="shared" si="199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4.65" thickBot="1" x14ac:dyDescent="0.5">
      <c r="B204" s="10"/>
      <c r="C204" s="76"/>
      <c r="D204" s="77"/>
      <c r="E204" s="77"/>
      <c r="F204" s="77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6"/>
      <c r="I204" s="76"/>
      <c r="J204" s="76"/>
      <c r="K204" s="84" t="s">
        <v>293</v>
      </c>
      <c r="L204" s="78"/>
      <c r="M204" s="78"/>
      <c r="N204" s="78"/>
      <c r="O204" s="76"/>
      <c r="P204" s="76"/>
      <c r="Q204" s="77"/>
      <c r="R204" s="79"/>
      <c r="S204" s="79"/>
      <c r="T204" s="79"/>
      <c r="U204" s="78"/>
      <c r="V204" s="78"/>
      <c r="W204" s="80"/>
      <c r="X204" s="80"/>
      <c r="Y204" s="80"/>
      <c r="Z204" s="76"/>
      <c r="AA204" s="76"/>
      <c r="AB204" s="76"/>
      <c r="AC204" s="76"/>
      <c r="AD204" s="76"/>
      <c r="AE204" s="76"/>
      <c r="AF204" s="81" t="s">
        <v>293</v>
      </c>
      <c r="BA204" s="81" t="s">
        <v>293</v>
      </c>
      <c r="BV204" s="81" t="s">
        <v>293</v>
      </c>
      <c r="CQ204" s="81" t="s">
        <v>293</v>
      </c>
      <c r="DL204" s="81" t="s">
        <v>293</v>
      </c>
      <c r="EG204" s="81" t="s">
        <v>293</v>
      </c>
      <c r="FB204" s="81" t="s">
        <v>293</v>
      </c>
      <c r="FW204" s="81" t="s">
        <v>293</v>
      </c>
      <c r="GR204" s="81" t="s">
        <v>293</v>
      </c>
    </row>
    <row r="205" spans="1:218" ht="14.65" thickBot="1" x14ac:dyDescent="0.5">
      <c r="B205" s="10"/>
      <c r="C205" s="76"/>
      <c r="D205" s="77"/>
      <c r="E205" s="77"/>
      <c r="F205" s="77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6"/>
      <c r="I205" s="76"/>
      <c r="J205" s="76"/>
      <c r="K205" s="82">
        <f>EXP(LN('Données projet'!B36)/'Données projet'!A36)</f>
        <v>1.1796834870079891</v>
      </c>
      <c r="L205" s="78"/>
      <c r="M205" s="78"/>
      <c r="N205" s="78"/>
      <c r="O205" s="76"/>
      <c r="P205" s="76"/>
      <c r="Q205" s="77"/>
      <c r="R205" s="79"/>
      <c r="S205" s="79"/>
      <c r="T205" s="79"/>
      <c r="U205" s="78"/>
      <c r="V205" s="78"/>
      <c r="W205" s="80"/>
      <c r="X205" s="80"/>
      <c r="Y205" s="80"/>
      <c r="Z205" s="76"/>
      <c r="AA205" s="76"/>
      <c r="AB205" s="76"/>
      <c r="AC205" s="76"/>
      <c r="AD205" s="76"/>
      <c r="AE205" s="76"/>
      <c r="AF205" s="83">
        <f>EXP(LN('Données projet'!B62)/'Données projet'!A62)</f>
        <v>1.2997069632623315</v>
      </c>
      <c r="BA205" s="82">
        <f>EXP(LN('Données projet'!B88)/'Données projet'!A88)</f>
        <v>1.1054576861265979</v>
      </c>
      <c r="BV205" s="82" t="e">
        <f>EXP(LN('Données projet'!B114)/'Données projet'!A114)</f>
        <v>#NUM!</v>
      </c>
      <c r="CQ205" s="82" t="e">
        <f>EXP(LN('Données projet'!B140)/'Données projet'!A140)</f>
        <v>#NUM!</v>
      </c>
      <c r="DL205" s="82" t="e">
        <f>EXP(LN('Données projet'!B166)/'Données projet'!A166)</f>
        <v>#NUM!</v>
      </c>
      <c r="EG205" s="82" t="e">
        <f>EXP(LN('Données projet'!B192)/'Données projet'!A192)</f>
        <v>#NUM!</v>
      </c>
      <c r="FB205" s="82" t="e">
        <f>EXP(LN('Données projet'!B218)/'Données projet'!A218)</f>
        <v>#NUM!</v>
      </c>
      <c r="FW205" s="82" t="e">
        <f>EXP(LN('Données projet'!B244)/'Données projet'!A244)</f>
        <v>#NUM!</v>
      </c>
      <c r="GR205" s="82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6484375" defaultRowHeight="14.25" x14ac:dyDescent="0.45"/>
  <cols>
    <col min="1" max="1" width="23.46484375" style="4" bestFit="1" customWidth="1"/>
    <col min="2" max="2" width="27.6640625" style="4" bestFit="1" customWidth="1"/>
    <col min="3" max="3" width="11.86328125" style="4" bestFit="1" customWidth="1"/>
    <col min="4" max="4" width="40" style="4" bestFit="1" customWidth="1"/>
    <col min="5" max="5" width="11.86328125" style="4" bestFit="1" customWidth="1"/>
    <col min="6" max="6" width="13.6640625" style="4" bestFit="1" customWidth="1"/>
    <col min="7" max="7" width="11.46484375" style="4" bestFit="1" customWidth="1"/>
    <col min="8" max="8" width="39" style="4" bestFit="1" customWidth="1"/>
    <col min="9" max="9" width="16.6640625" style="4" customWidth="1"/>
    <col min="10" max="14" width="11.46484375" style="4"/>
    <col min="15" max="15" width="23.46484375" style="4" bestFit="1" customWidth="1"/>
    <col min="16" max="16384" width="11.46484375" style="4"/>
  </cols>
  <sheetData>
    <row r="1" spans="1:16" ht="43.15" thickBot="1" x14ac:dyDescent="0.5">
      <c r="A1" s="111" t="s">
        <v>0</v>
      </c>
      <c r="B1" s="112" t="s">
        <v>106</v>
      </c>
      <c r="C1" s="113" t="s">
        <v>144</v>
      </c>
      <c r="D1" s="112" t="s">
        <v>100</v>
      </c>
      <c r="E1" s="113" t="s">
        <v>145</v>
      </c>
      <c r="F1" s="113" t="s">
        <v>100</v>
      </c>
      <c r="G1" s="113" t="s">
        <v>146</v>
      </c>
      <c r="H1" s="113" t="s">
        <v>100</v>
      </c>
      <c r="I1" s="114" t="s">
        <v>147</v>
      </c>
      <c r="J1" s="78"/>
      <c r="K1" s="78"/>
      <c r="L1" s="78"/>
      <c r="M1" s="78"/>
      <c r="N1" s="78"/>
    </row>
    <row r="2" spans="1:16" x14ac:dyDescent="0.45">
      <c r="A2" s="115" t="s">
        <v>1</v>
      </c>
      <c r="B2" s="116" t="s">
        <v>53</v>
      </c>
      <c r="C2" s="117">
        <v>0.62</v>
      </c>
      <c r="D2" s="117" t="s">
        <v>161</v>
      </c>
      <c r="E2" s="117">
        <v>1.56</v>
      </c>
      <c r="F2" s="117" t="s">
        <v>274</v>
      </c>
      <c r="G2" s="118">
        <v>0.43</v>
      </c>
      <c r="H2" s="119" t="s">
        <v>278</v>
      </c>
      <c r="I2" s="120">
        <v>0.25</v>
      </c>
      <c r="J2" s="78"/>
      <c r="K2" s="78"/>
      <c r="L2" s="78"/>
      <c r="M2" s="78"/>
      <c r="N2" s="78"/>
      <c r="O2" s="281" t="s">
        <v>238</v>
      </c>
      <c r="P2" s="121">
        <v>0</v>
      </c>
    </row>
    <row r="3" spans="1:16" ht="14.65" thickBot="1" x14ac:dyDescent="0.5">
      <c r="A3" s="122" t="s">
        <v>2</v>
      </c>
      <c r="B3" s="123" t="s">
        <v>54</v>
      </c>
      <c r="C3" s="124">
        <v>0.64</v>
      </c>
      <c r="D3" s="124" t="s">
        <v>161</v>
      </c>
      <c r="E3" s="124">
        <v>1.56</v>
      </c>
      <c r="F3" s="125" t="s">
        <v>274</v>
      </c>
      <c r="G3" s="126">
        <v>0.43</v>
      </c>
      <c r="H3" s="124" t="s">
        <v>278</v>
      </c>
      <c r="I3" s="127">
        <v>0.25</v>
      </c>
      <c r="J3" s="78"/>
      <c r="K3" s="78"/>
      <c r="L3" s="78"/>
      <c r="M3" s="78"/>
      <c r="N3" s="78"/>
      <c r="O3" s="282"/>
      <c r="P3" s="128">
        <v>0.2</v>
      </c>
    </row>
    <row r="4" spans="1:16" ht="14.65" thickBot="1" x14ac:dyDescent="0.5">
      <c r="A4" s="122" t="s">
        <v>98</v>
      </c>
      <c r="B4" s="123" t="s">
        <v>99</v>
      </c>
      <c r="C4" s="124">
        <v>0.42</v>
      </c>
      <c r="D4" s="124" t="s">
        <v>161</v>
      </c>
      <c r="E4" s="124">
        <v>1.56</v>
      </c>
      <c r="F4" s="125" t="s">
        <v>274</v>
      </c>
      <c r="G4" s="126">
        <v>0.43</v>
      </c>
      <c r="H4" s="124" t="s">
        <v>278</v>
      </c>
      <c r="I4" s="127">
        <v>0.25</v>
      </c>
      <c r="J4" s="78"/>
      <c r="K4" s="78"/>
      <c r="L4" s="78"/>
      <c r="M4" s="78"/>
      <c r="N4" s="78"/>
    </row>
    <row r="5" spans="1:16" x14ac:dyDescent="0.45">
      <c r="A5" s="122" t="s">
        <v>4</v>
      </c>
      <c r="B5" s="123" t="s">
        <v>55</v>
      </c>
      <c r="C5" s="124">
        <v>0.42</v>
      </c>
      <c r="D5" s="124" t="s">
        <v>161</v>
      </c>
      <c r="E5" s="124">
        <v>1.56</v>
      </c>
      <c r="F5" s="125" t="s">
        <v>274</v>
      </c>
      <c r="G5" s="126">
        <v>0.43</v>
      </c>
      <c r="H5" s="124" t="s">
        <v>278</v>
      </c>
      <c r="I5" s="127">
        <v>0.25</v>
      </c>
      <c r="J5" s="78"/>
      <c r="K5" s="78"/>
      <c r="L5" s="78"/>
      <c r="M5" s="78"/>
      <c r="N5" s="78"/>
      <c r="O5" s="281" t="s">
        <v>237</v>
      </c>
      <c r="P5" s="121">
        <v>0</v>
      </c>
    </row>
    <row r="6" spans="1:16" x14ac:dyDescent="0.45">
      <c r="A6" s="122" t="s">
        <v>3</v>
      </c>
      <c r="B6" s="123" t="s">
        <v>97</v>
      </c>
      <c r="C6" s="124">
        <v>0.42</v>
      </c>
      <c r="D6" s="124" t="s">
        <v>161</v>
      </c>
      <c r="E6" s="124">
        <v>1.56</v>
      </c>
      <c r="F6" s="125" t="s">
        <v>274</v>
      </c>
      <c r="G6" s="126">
        <v>0.43</v>
      </c>
      <c r="H6" s="124" t="s">
        <v>278</v>
      </c>
      <c r="I6" s="127">
        <v>0.25</v>
      </c>
      <c r="J6" s="78"/>
      <c r="K6" s="78"/>
      <c r="L6" s="78"/>
      <c r="M6" s="78"/>
      <c r="N6" s="78"/>
      <c r="O6" s="283"/>
      <c r="P6" s="129">
        <v>0.05</v>
      </c>
    </row>
    <row r="7" spans="1:16" x14ac:dyDescent="0.45">
      <c r="A7" s="122" t="s">
        <v>5</v>
      </c>
      <c r="B7" s="123" t="s">
        <v>56</v>
      </c>
      <c r="C7" s="124">
        <v>0.52</v>
      </c>
      <c r="D7" s="124" t="s">
        <v>161</v>
      </c>
      <c r="E7" s="124">
        <v>1.56</v>
      </c>
      <c r="F7" s="125" t="s">
        <v>274</v>
      </c>
      <c r="G7" s="126">
        <v>0.43</v>
      </c>
      <c r="H7" s="124" t="s">
        <v>278</v>
      </c>
      <c r="I7" s="127">
        <v>0.25</v>
      </c>
      <c r="J7" s="78"/>
      <c r="K7" s="78"/>
      <c r="L7" s="78"/>
      <c r="M7" s="78"/>
      <c r="N7" s="78"/>
      <c r="O7" s="283"/>
      <c r="P7" s="129">
        <v>0.1</v>
      </c>
    </row>
    <row r="8" spans="1:16" ht="14.65" thickBot="1" x14ac:dyDescent="0.5">
      <c r="A8" s="122" t="s">
        <v>164</v>
      </c>
      <c r="B8" s="123" t="s">
        <v>57</v>
      </c>
      <c r="C8" s="124">
        <v>0.36</v>
      </c>
      <c r="D8" s="124" t="s">
        <v>161</v>
      </c>
      <c r="E8" s="124">
        <v>1.3</v>
      </c>
      <c r="F8" s="125" t="s">
        <v>274</v>
      </c>
      <c r="G8" s="126">
        <v>0.55000000000000004</v>
      </c>
      <c r="H8" s="124" t="s">
        <v>153</v>
      </c>
      <c r="I8" s="127">
        <v>0.43</v>
      </c>
      <c r="J8" s="78"/>
      <c r="K8" s="78"/>
      <c r="L8" s="78"/>
      <c r="M8" s="78"/>
      <c r="N8" s="78"/>
      <c r="O8" s="282"/>
      <c r="P8" s="128">
        <v>0.15</v>
      </c>
    </row>
    <row r="9" spans="1:16" ht="14.65" thickBot="1" x14ac:dyDescent="0.5">
      <c r="A9" s="122" t="s">
        <v>6</v>
      </c>
      <c r="B9" s="123" t="s">
        <v>58</v>
      </c>
      <c r="C9" s="124">
        <v>0.61</v>
      </c>
      <c r="D9" s="124" t="s">
        <v>161</v>
      </c>
      <c r="E9" s="124">
        <v>1.56</v>
      </c>
      <c r="F9" s="125" t="s">
        <v>274</v>
      </c>
      <c r="G9" s="126">
        <v>0.43</v>
      </c>
      <c r="H9" s="124" t="s">
        <v>278</v>
      </c>
      <c r="I9" s="127">
        <v>0.25</v>
      </c>
      <c r="J9" s="78"/>
      <c r="K9" s="78"/>
      <c r="L9" s="78"/>
      <c r="M9" s="78"/>
      <c r="N9" s="78"/>
    </row>
    <row r="10" spans="1:16" x14ac:dyDescent="0.45">
      <c r="A10" s="122" t="s">
        <v>7</v>
      </c>
      <c r="B10" s="123" t="s">
        <v>59</v>
      </c>
      <c r="C10" s="124">
        <v>0.66</v>
      </c>
      <c r="D10" s="124" t="s">
        <v>161</v>
      </c>
      <c r="E10" s="124">
        <v>1.56</v>
      </c>
      <c r="F10" s="125" t="s">
        <v>274</v>
      </c>
      <c r="G10" s="126">
        <v>0.43</v>
      </c>
      <c r="H10" s="124" t="s">
        <v>278</v>
      </c>
      <c r="I10" s="127">
        <v>0.25</v>
      </c>
      <c r="J10" s="78"/>
      <c r="K10" s="78"/>
      <c r="L10" s="78"/>
      <c r="M10" s="78"/>
      <c r="N10" s="78"/>
      <c r="O10" s="281" t="s">
        <v>236</v>
      </c>
      <c r="P10" s="121">
        <v>0</v>
      </c>
    </row>
    <row r="11" spans="1:16" ht="14.65" thickBot="1" x14ac:dyDescent="0.5">
      <c r="A11" s="122" t="s">
        <v>8</v>
      </c>
      <c r="B11" s="123" t="s">
        <v>60</v>
      </c>
      <c r="C11" s="124">
        <v>0.47</v>
      </c>
      <c r="D11" s="124" t="s">
        <v>161</v>
      </c>
      <c r="E11" s="124">
        <v>1.56</v>
      </c>
      <c r="F11" s="125" t="s">
        <v>274</v>
      </c>
      <c r="G11" s="126">
        <v>0.43</v>
      </c>
      <c r="H11" s="124" t="s">
        <v>278</v>
      </c>
      <c r="I11" s="127">
        <v>0.25</v>
      </c>
      <c r="J11" s="78"/>
      <c r="K11" s="78"/>
      <c r="L11" s="78"/>
      <c r="M11" s="78"/>
      <c r="N11" s="78"/>
      <c r="O11" s="282"/>
      <c r="P11" s="128">
        <v>0.1</v>
      </c>
    </row>
    <row r="12" spans="1:16" x14ac:dyDescent="0.45">
      <c r="A12" s="122" t="s">
        <v>9</v>
      </c>
      <c r="B12" s="123" t="s">
        <v>61</v>
      </c>
      <c r="C12" s="124">
        <v>0.67</v>
      </c>
      <c r="D12" s="124" t="s">
        <v>161</v>
      </c>
      <c r="E12" s="124">
        <v>1.56</v>
      </c>
      <c r="F12" s="125" t="s">
        <v>274</v>
      </c>
      <c r="G12" s="126">
        <v>0.43</v>
      </c>
      <c r="H12" s="124" t="s">
        <v>152</v>
      </c>
      <c r="I12" s="127">
        <v>0.25</v>
      </c>
      <c r="J12" s="78"/>
      <c r="K12" s="78"/>
      <c r="L12" s="78"/>
      <c r="M12" s="78"/>
      <c r="N12" s="78"/>
    </row>
    <row r="13" spans="1:16" x14ac:dyDescent="0.45">
      <c r="A13" s="122" t="s">
        <v>10</v>
      </c>
      <c r="B13" s="123" t="s">
        <v>62</v>
      </c>
      <c r="C13" s="124">
        <v>0.7</v>
      </c>
      <c r="D13" s="124" t="s">
        <v>161</v>
      </c>
      <c r="E13" s="124">
        <v>1.56</v>
      </c>
      <c r="F13" s="125" t="s">
        <v>274</v>
      </c>
      <c r="G13" s="126">
        <v>0.43</v>
      </c>
      <c r="H13" s="124" t="s">
        <v>152</v>
      </c>
      <c r="I13" s="127">
        <v>0.25</v>
      </c>
      <c r="J13" s="78"/>
      <c r="K13" s="78"/>
      <c r="L13" s="78"/>
      <c r="M13" s="78"/>
      <c r="N13" s="78"/>
    </row>
    <row r="14" spans="1:16" x14ac:dyDescent="0.45">
      <c r="A14" s="122" t="s">
        <v>11</v>
      </c>
      <c r="B14" s="123" t="s">
        <v>63</v>
      </c>
      <c r="C14" s="124">
        <v>0.54</v>
      </c>
      <c r="D14" s="124" t="s">
        <v>161</v>
      </c>
      <c r="E14" s="124">
        <v>1.56</v>
      </c>
      <c r="F14" s="125" t="s">
        <v>274</v>
      </c>
      <c r="G14" s="126">
        <v>0.43</v>
      </c>
      <c r="H14" s="124" t="s">
        <v>152</v>
      </c>
      <c r="I14" s="127">
        <v>0.25</v>
      </c>
      <c r="J14" s="78"/>
      <c r="K14" s="78"/>
      <c r="L14" s="78"/>
      <c r="M14" s="78"/>
      <c r="N14" s="78"/>
    </row>
    <row r="15" spans="1:16" x14ac:dyDescent="0.45">
      <c r="A15" s="122" t="s">
        <v>12</v>
      </c>
      <c r="B15" s="123" t="s">
        <v>64</v>
      </c>
      <c r="C15" s="124">
        <v>0.65</v>
      </c>
      <c r="D15" s="124" t="s">
        <v>161</v>
      </c>
      <c r="E15" s="124">
        <v>1.56</v>
      </c>
      <c r="F15" s="125" t="s">
        <v>274</v>
      </c>
      <c r="G15" s="126">
        <v>0.43</v>
      </c>
      <c r="H15" s="124" t="s">
        <v>152</v>
      </c>
      <c r="I15" s="127">
        <v>0.25</v>
      </c>
      <c r="J15" s="78"/>
      <c r="K15" s="78"/>
      <c r="L15" s="78"/>
      <c r="M15" s="78"/>
      <c r="N15" s="78"/>
    </row>
    <row r="16" spans="1:16" x14ac:dyDescent="0.45">
      <c r="A16" s="122" t="s">
        <v>13</v>
      </c>
      <c r="B16" s="123" t="s">
        <v>65</v>
      </c>
      <c r="C16" s="124">
        <v>0.56000000000000005</v>
      </c>
      <c r="D16" s="124" t="s">
        <v>161</v>
      </c>
      <c r="E16" s="124">
        <v>1.56</v>
      </c>
      <c r="F16" s="125" t="s">
        <v>274</v>
      </c>
      <c r="G16" s="126">
        <v>0.43</v>
      </c>
      <c r="H16" s="124" t="s">
        <v>152</v>
      </c>
      <c r="I16" s="127">
        <v>0.25</v>
      </c>
      <c r="J16" s="78"/>
      <c r="K16" s="78"/>
      <c r="L16" s="78"/>
      <c r="M16" s="78"/>
      <c r="N16" s="78"/>
    </row>
    <row r="17" spans="1:14" x14ac:dyDescent="0.45">
      <c r="A17" s="122" t="s">
        <v>14</v>
      </c>
      <c r="B17" s="123" t="s">
        <v>66</v>
      </c>
      <c r="C17" s="124">
        <v>0.57999999999999996</v>
      </c>
      <c r="D17" s="124" t="s">
        <v>161</v>
      </c>
      <c r="E17" s="124">
        <v>1.56</v>
      </c>
      <c r="F17" s="125" t="s">
        <v>274</v>
      </c>
      <c r="G17" s="126">
        <v>0.43</v>
      </c>
      <c r="H17" s="124" t="s">
        <v>152</v>
      </c>
      <c r="I17" s="127">
        <v>0.25</v>
      </c>
      <c r="J17" s="78"/>
      <c r="K17" s="78"/>
      <c r="L17" s="78"/>
      <c r="M17" s="78"/>
      <c r="N17" s="78"/>
    </row>
    <row r="18" spans="1:14" x14ac:dyDescent="0.45">
      <c r="A18" s="122" t="s">
        <v>15</v>
      </c>
      <c r="B18" s="123" t="s">
        <v>67</v>
      </c>
      <c r="C18" s="124">
        <v>0.64</v>
      </c>
      <c r="D18" s="124" t="s">
        <v>161</v>
      </c>
      <c r="E18" s="124">
        <v>1.56</v>
      </c>
      <c r="F18" s="125" t="s">
        <v>274</v>
      </c>
      <c r="G18" s="126">
        <v>0.43</v>
      </c>
      <c r="H18" s="124" t="s">
        <v>152</v>
      </c>
      <c r="I18" s="127">
        <v>0.25</v>
      </c>
      <c r="J18" s="78"/>
      <c r="K18" s="78"/>
      <c r="L18" s="78"/>
      <c r="M18" s="78"/>
      <c r="N18" s="78"/>
    </row>
    <row r="19" spans="1:14" x14ac:dyDescent="0.45">
      <c r="A19" s="122" t="s">
        <v>16</v>
      </c>
      <c r="B19" s="123" t="s">
        <v>68</v>
      </c>
      <c r="C19" s="124">
        <v>0.73</v>
      </c>
      <c r="D19" s="124" t="s">
        <v>161</v>
      </c>
      <c r="E19" s="124">
        <v>1.56</v>
      </c>
      <c r="F19" s="125" t="s">
        <v>274</v>
      </c>
      <c r="G19" s="126">
        <v>0.43</v>
      </c>
      <c r="H19" s="124" t="s">
        <v>152</v>
      </c>
      <c r="I19" s="127">
        <v>0.25</v>
      </c>
      <c r="J19" s="78"/>
      <c r="K19" s="78"/>
      <c r="L19" s="78"/>
      <c r="M19" s="78"/>
      <c r="N19" s="78"/>
    </row>
    <row r="20" spans="1:14" x14ac:dyDescent="0.45">
      <c r="A20" s="122" t="s">
        <v>52</v>
      </c>
      <c r="B20" s="123" t="s">
        <v>69</v>
      </c>
      <c r="C20" s="124">
        <v>0.69</v>
      </c>
      <c r="D20" s="124" t="s">
        <v>131</v>
      </c>
      <c r="E20" s="124">
        <v>1.56</v>
      </c>
      <c r="F20" s="125" t="s">
        <v>274</v>
      </c>
      <c r="G20" s="126">
        <v>0.43</v>
      </c>
      <c r="H20" s="124" t="s">
        <v>282</v>
      </c>
      <c r="I20" s="127">
        <v>0.25</v>
      </c>
      <c r="J20" s="78"/>
      <c r="K20" s="78"/>
      <c r="L20" s="78"/>
      <c r="M20" s="78"/>
      <c r="N20" s="78"/>
    </row>
    <row r="21" spans="1:14" x14ac:dyDescent="0.45">
      <c r="A21" s="122" t="s">
        <v>154</v>
      </c>
      <c r="B21" s="123" t="s">
        <v>155</v>
      </c>
      <c r="C21" s="124">
        <v>0.36</v>
      </c>
      <c r="D21" s="124" t="s">
        <v>161</v>
      </c>
      <c r="E21" s="124">
        <v>1.3</v>
      </c>
      <c r="F21" s="125" t="s">
        <v>274</v>
      </c>
      <c r="G21" s="126">
        <v>0.55000000000000004</v>
      </c>
      <c r="H21" s="124" t="s">
        <v>153</v>
      </c>
      <c r="I21" s="127">
        <v>0.43</v>
      </c>
      <c r="J21" s="78"/>
      <c r="K21" s="78"/>
      <c r="L21" s="78"/>
      <c r="M21" s="78"/>
      <c r="N21" s="78"/>
    </row>
    <row r="22" spans="1:14" x14ac:dyDescent="0.45">
      <c r="A22" s="122" t="s">
        <v>17</v>
      </c>
      <c r="B22" s="123" t="s">
        <v>70</v>
      </c>
      <c r="C22" s="124">
        <v>0.4</v>
      </c>
      <c r="D22" s="124" t="s">
        <v>161</v>
      </c>
      <c r="E22" s="124">
        <v>1.3</v>
      </c>
      <c r="F22" s="125" t="s">
        <v>274</v>
      </c>
      <c r="G22" s="126">
        <v>0.55000000000000004</v>
      </c>
      <c r="H22" s="124" t="s">
        <v>153</v>
      </c>
      <c r="I22" s="127">
        <v>0.43</v>
      </c>
      <c r="J22" s="78"/>
      <c r="K22" s="78"/>
      <c r="L22" s="78"/>
      <c r="M22" s="78"/>
      <c r="N22" s="78"/>
    </row>
    <row r="23" spans="1:14" x14ac:dyDescent="0.45">
      <c r="A23" s="122" t="s">
        <v>18</v>
      </c>
      <c r="B23" s="123" t="s">
        <v>71</v>
      </c>
      <c r="C23" s="124">
        <v>0.43</v>
      </c>
      <c r="D23" s="124" t="s">
        <v>161</v>
      </c>
      <c r="E23" s="124">
        <v>1.3</v>
      </c>
      <c r="F23" s="125" t="s">
        <v>274</v>
      </c>
      <c r="G23" s="126">
        <v>0.55000000000000004</v>
      </c>
      <c r="H23" s="124" t="s">
        <v>153</v>
      </c>
      <c r="I23" s="127">
        <v>0.43</v>
      </c>
      <c r="J23" s="78"/>
      <c r="K23" s="78"/>
      <c r="L23" s="78"/>
      <c r="M23" s="78"/>
      <c r="N23" s="78"/>
    </row>
    <row r="24" spans="1:14" x14ac:dyDescent="0.45">
      <c r="A24" s="122" t="s">
        <v>19</v>
      </c>
      <c r="B24" s="123" t="s">
        <v>72</v>
      </c>
      <c r="C24" s="124">
        <v>0.37</v>
      </c>
      <c r="D24" s="124" t="s">
        <v>161</v>
      </c>
      <c r="E24" s="124">
        <v>1.3</v>
      </c>
      <c r="F24" s="125" t="s">
        <v>274</v>
      </c>
      <c r="G24" s="126">
        <v>0.55000000000000004</v>
      </c>
      <c r="H24" s="124" t="s">
        <v>152</v>
      </c>
      <c r="I24" s="127">
        <v>0.43</v>
      </c>
      <c r="J24" s="78"/>
      <c r="K24" s="78"/>
      <c r="L24" s="78"/>
      <c r="M24" s="78"/>
      <c r="N24" s="78"/>
    </row>
    <row r="25" spans="1:14" x14ac:dyDescent="0.45">
      <c r="A25" s="122" t="s">
        <v>20</v>
      </c>
      <c r="B25" s="123" t="s">
        <v>73</v>
      </c>
      <c r="C25" s="124">
        <v>0.36</v>
      </c>
      <c r="D25" s="124" t="s">
        <v>161</v>
      </c>
      <c r="E25" s="124">
        <v>1.3</v>
      </c>
      <c r="F25" s="125" t="s">
        <v>274</v>
      </c>
      <c r="G25" s="126">
        <v>0.55000000000000004</v>
      </c>
      <c r="H25" s="124" t="s">
        <v>152</v>
      </c>
      <c r="I25" s="127">
        <v>0.43</v>
      </c>
      <c r="J25" s="78"/>
      <c r="K25" s="78"/>
      <c r="L25" s="78"/>
      <c r="M25" s="78"/>
      <c r="N25" s="78"/>
    </row>
    <row r="26" spans="1:14" x14ac:dyDescent="0.45">
      <c r="A26" s="122" t="s">
        <v>21</v>
      </c>
      <c r="B26" s="123" t="s">
        <v>74</v>
      </c>
      <c r="C26" s="124">
        <v>0.56000000000000005</v>
      </c>
      <c r="D26" s="124" t="s">
        <v>161</v>
      </c>
      <c r="E26" s="124">
        <v>1.56</v>
      </c>
      <c r="F26" s="125" t="s">
        <v>274</v>
      </c>
      <c r="G26" s="126">
        <v>0.53</v>
      </c>
      <c r="H26" s="124" t="s">
        <v>275</v>
      </c>
      <c r="I26" s="127">
        <v>0.25</v>
      </c>
      <c r="J26" s="78"/>
      <c r="K26" s="78"/>
      <c r="L26" s="78"/>
      <c r="M26" s="78"/>
      <c r="N26" s="78"/>
    </row>
    <row r="27" spans="1:14" x14ac:dyDescent="0.45">
      <c r="A27" s="122" t="s">
        <v>22</v>
      </c>
      <c r="B27" s="123" t="s">
        <v>75</v>
      </c>
      <c r="C27" s="124">
        <v>0.51</v>
      </c>
      <c r="D27" s="124" t="s">
        <v>161</v>
      </c>
      <c r="E27" s="124">
        <v>1.56</v>
      </c>
      <c r="F27" s="125" t="s">
        <v>274</v>
      </c>
      <c r="G27" s="126">
        <v>0.53</v>
      </c>
      <c r="H27" s="124" t="s">
        <v>275</v>
      </c>
      <c r="I27" s="127">
        <v>0.25</v>
      </c>
      <c r="J27" s="78"/>
      <c r="K27" s="78"/>
      <c r="L27" s="78"/>
      <c r="M27" s="78"/>
      <c r="N27" s="78"/>
    </row>
    <row r="28" spans="1:14" x14ac:dyDescent="0.45">
      <c r="A28" s="122" t="s">
        <v>23</v>
      </c>
      <c r="B28" s="123" t="s">
        <v>76</v>
      </c>
      <c r="C28" s="124">
        <v>0.51</v>
      </c>
      <c r="D28" s="124" t="s">
        <v>161</v>
      </c>
      <c r="E28" s="124">
        <v>1.56</v>
      </c>
      <c r="F28" s="125" t="s">
        <v>274</v>
      </c>
      <c r="G28" s="126">
        <v>0.53</v>
      </c>
      <c r="H28" s="124" t="s">
        <v>275</v>
      </c>
      <c r="I28" s="127">
        <v>0.25</v>
      </c>
      <c r="J28" s="78"/>
      <c r="K28" s="78"/>
      <c r="L28" s="78"/>
      <c r="M28" s="78"/>
      <c r="N28" s="78"/>
    </row>
    <row r="29" spans="1:14" x14ac:dyDescent="0.45">
      <c r="A29" s="122" t="s">
        <v>24</v>
      </c>
      <c r="B29" s="123" t="s">
        <v>24</v>
      </c>
      <c r="C29" s="124">
        <v>0.56000000000000005</v>
      </c>
      <c r="D29" s="124" t="s">
        <v>161</v>
      </c>
      <c r="E29" s="124">
        <v>1.56</v>
      </c>
      <c r="F29" s="125" t="s">
        <v>274</v>
      </c>
      <c r="G29" s="126">
        <v>0.53</v>
      </c>
      <c r="H29" s="124" t="s">
        <v>275</v>
      </c>
      <c r="I29" s="127">
        <v>0.25</v>
      </c>
      <c r="J29" s="78"/>
      <c r="K29" s="78"/>
      <c r="L29" s="78"/>
      <c r="M29" s="78"/>
      <c r="N29" s="78"/>
    </row>
    <row r="30" spans="1:14" x14ac:dyDescent="0.45">
      <c r="A30" s="122" t="s">
        <v>25</v>
      </c>
      <c r="B30" s="123" t="s">
        <v>77</v>
      </c>
      <c r="C30" s="124">
        <v>0.55000000000000004</v>
      </c>
      <c r="D30" s="124" t="s">
        <v>161</v>
      </c>
      <c r="E30" s="124">
        <v>1.56</v>
      </c>
      <c r="F30" s="125" t="s">
        <v>274</v>
      </c>
      <c r="G30" s="126">
        <v>0.53</v>
      </c>
      <c r="H30" s="124" t="s">
        <v>152</v>
      </c>
      <c r="I30" s="127">
        <v>0.25</v>
      </c>
      <c r="J30" s="78"/>
      <c r="K30" s="78"/>
      <c r="L30" s="78"/>
      <c r="M30" s="78"/>
      <c r="N30" s="78"/>
    </row>
    <row r="31" spans="1:14" x14ac:dyDescent="0.45">
      <c r="A31" s="122" t="s">
        <v>26</v>
      </c>
      <c r="B31" s="123" t="s">
        <v>78</v>
      </c>
      <c r="C31" s="124">
        <v>0.56000000000000005</v>
      </c>
      <c r="D31" s="124" t="s">
        <v>161</v>
      </c>
      <c r="E31" s="124">
        <v>1.56</v>
      </c>
      <c r="F31" s="125" t="s">
        <v>274</v>
      </c>
      <c r="G31" s="126">
        <v>0.43</v>
      </c>
      <c r="H31" s="124" t="s">
        <v>278</v>
      </c>
      <c r="I31" s="127">
        <v>0.25</v>
      </c>
      <c r="J31" s="78"/>
      <c r="K31" s="78"/>
      <c r="L31" s="78"/>
      <c r="M31" s="78"/>
      <c r="N31" s="78"/>
    </row>
    <row r="32" spans="1:14" x14ac:dyDescent="0.45">
      <c r="A32" s="122" t="s">
        <v>27</v>
      </c>
      <c r="B32" s="123" t="s">
        <v>79</v>
      </c>
      <c r="C32" s="124">
        <v>0.48</v>
      </c>
      <c r="D32" s="124" t="s">
        <v>161</v>
      </c>
      <c r="E32" s="124">
        <v>1.3</v>
      </c>
      <c r="F32" s="125" t="s">
        <v>274</v>
      </c>
      <c r="G32" s="126">
        <v>0.6</v>
      </c>
      <c r="H32" s="124" t="s">
        <v>281</v>
      </c>
      <c r="I32" s="127">
        <v>0.43</v>
      </c>
      <c r="J32" s="78"/>
      <c r="K32" s="78"/>
      <c r="L32" s="78"/>
      <c r="M32" s="78"/>
      <c r="N32" s="78"/>
    </row>
    <row r="33" spans="1:14" x14ac:dyDescent="0.45">
      <c r="A33" s="122" t="s">
        <v>28</v>
      </c>
      <c r="B33" s="123" t="s">
        <v>80</v>
      </c>
      <c r="C33" s="124">
        <v>0.42</v>
      </c>
      <c r="D33" s="124" t="s">
        <v>161</v>
      </c>
      <c r="E33" s="124">
        <v>1.3</v>
      </c>
      <c r="F33" s="125" t="s">
        <v>274</v>
      </c>
      <c r="G33" s="126">
        <v>0.6</v>
      </c>
      <c r="H33" s="124" t="s">
        <v>281</v>
      </c>
      <c r="I33" s="127">
        <v>0.43</v>
      </c>
      <c r="J33" s="78"/>
      <c r="K33" s="78"/>
      <c r="L33" s="78"/>
      <c r="M33" s="78"/>
      <c r="N33" s="78"/>
    </row>
    <row r="34" spans="1:14" x14ac:dyDescent="0.45">
      <c r="A34" s="122" t="s">
        <v>81</v>
      </c>
      <c r="B34" s="123" t="s">
        <v>163</v>
      </c>
      <c r="C34" s="124">
        <v>0.42</v>
      </c>
      <c r="D34" s="124" t="s">
        <v>103</v>
      </c>
      <c r="E34" s="124">
        <v>1.3</v>
      </c>
      <c r="F34" s="125" t="s">
        <v>274</v>
      </c>
      <c r="G34" s="126">
        <v>0.6</v>
      </c>
      <c r="H34" s="123" t="s">
        <v>280</v>
      </c>
      <c r="I34" s="127">
        <v>0.43</v>
      </c>
      <c r="J34" s="78"/>
      <c r="K34" s="78"/>
      <c r="L34" s="78"/>
      <c r="M34" s="78"/>
      <c r="N34" s="78"/>
    </row>
    <row r="35" spans="1:14" x14ac:dyDescent="0.45">
      <c r="A35" s="122" t="s">
        <v>29</v>
      </c>
      <c r="B35" s="123" t="s">
        <v>82</v>
      </c>
      <c r="C35" s="124">
        <v>0.5</v>
      </c>
      <c r="D35" s="124" t="s">
        <v>161</v>
      </c>
      <c r="E35" s="124">
        <v>1.56</v>
      </c>
      <c r="F35" s="125" t="s">
        <v>274</v>
      </c>
      <c r="G35" s="126">
        <v>0.43</v>
      </c>
      <c r="H35" s="124" t="s">
        <v>278</v>
      </c>
      <c r="I35" s="127">
        <v>0.25</v>
      </c>
      <c r="J35" s="78"/>
      <c r="K35" s="78"/>
      <c r="L35" s="78"/>
      <c r="M35" s="78"/>
      <c r="N35" s="78"/>
    </row>
    <row r="36" spans="1:14" x14ac:dyDescent="0.45">
      <c r="A36" s="122" t="s">
        <v>102</v>
      </c>
      <c r="B36" s="123" t="s">
        <v>101</v>
      </c>
      <c r="C36" s="124">
        <v>0.55000000000000004</v>
      </c>
      <c r="D36" s="124" t="s">
        <v>161</v>
      </c>
      <c r="E36" s="124">
        <v>1.56</v>
      </c>
      <c r="F36" s="125" t="s">
        <v>274</v>
      </c>
      <c r="G36" s="126">
        <v>0.53</v>
      </c>
      <c r="H36" s="124" t="s">
        <v>275</v>
      </c>
      <c r="I36" s="127">
        <v>0.25</v>
      </c>
      <c r="J36" s="78"/>
      <c r="K36" s="78"/>
      <c r="L36" s="78"/>
      <c r="M36" s="78"/>
      <c r="N36" s="78"/>
    </row>
    <row r="37" spans="1:14" x14ac:dyDescent="0.45">
      <c r="A37" s="122" t="s">
        <v>30</v>
      </c>
      <c r="B37" s="123" t="s">
        <v>104</v>
      </c>
      <c r="C37" s="124">
        <v>0.52</v>
      </c>
      <c r="D37" s="124" t="s">
        <v>161</v>
      </c>
      <c r="E37" s="124">
        <v>1.56</v>
      </c>
      <c r="F37" s="125" t="s">
        <v>274</v>
      </c>
      <c r="G37" s="126">
        <v>0.53</v>
      </c>
      <c r="H37" s="124" t="s">
        <v>275</v>
      </c>
      <c r="I37" s="127">
        <v>0.25</v>
      </c>
      <c r="J37" s="78"/>
      <c r="K37" s="78"/>
      <c r="L37" s="78"/>
      <c r="M37" s="78"/>
      <c r="N37" s="78"/>
    </row>
    <row r="38" spans="1:14" x14ac:dyDescent="0.45">
      <c r="A38" s="122" t="s">
        <v>31</v>
      </c>
      <c r="B38" s="123" t="s">
        <v>105</v>
      </c>
      <c r="C38" s="124">
        <v>0.52</v>
      </c>
      <c r="D38" s="124" t="s">
        <v>161</v>
      </c>
      <c r="E38" s="124">
        <v>1.56</v>
      </c>
      <c r="F38" s="125" t="s">
        <v>274</v>
      </c>
      <c r="G38" s="126">
        <v>0.43</v>
      </c>
      <c r="H38" s="124" t="s">
        <v>278</v>
      </c>
      <c r="I38" s="127">
        <v>0.25</v>
      </c>
      <c r="J38" s="78"/>
      <c r="K38" s="78"/>
      <c r="L38" s="78"/>
      <c r="M38" s="78"/>
      <c r="N38" s="78"/>
    </row>
    <row r="39" spans="1:14" x14ac:dyDescent="0.45">
      <c r="A39" s="122" t="s">
        <v>107</v>
      </c>
      <c r="B39" s="123" t="s">
        <v>132</v>
      </c>
      <c r="C39" s="124">
        <v>0.313</v>
      </c>
      <c r="D39" s="124" t="s">
        <v>130</v>
      </c>
      <c r="E39" s="124">
        <v>1.56</v>
      </c>
      <c r="F39" s="125" t="s">
        <v>274</v>
      </c>
      <c r="G39" s="126">
        <v>0.6</v>
      </c>
      <c r="H39" s="124" t="s">
        <v>283</v>
      </c>
      <c r="I39" s="127">
        <v>1.03</v>
      </c>
      <c r="J39" s="78"/>
      <c r="K39" s="78"/>
      <c r="L39" s="78"/>
      <c r="M39" s="78"/>
      <c r="N39" s="78"/>
    </row>
    <row r="40" spans="1:14" x14ac:dyDescent="0.45">
      <c r="A40" s="122" t="s">
        <v>108</v>
      </c>
      <c r="B40" s="123" t="s">
        <v>132</v>
      </c>
      <c r="C40" s="124">
        <v>0.35199999999999998</v>
      </c>
      <c r="D40" s="124" t="s">
        <v>130</v>
      </c>
      <c r="E40" s="124">
        <v>1.56</v>
      </c>
      <c r="F40" s="125" t="s">
        <v>274</v>
      </c>
      <c r="G40" s="126">
        <v>0.6</v>
      </c>
      <c r="H40" s="124" t="s">
        <v>283</v>
      </c>
      <c r="I40" s="127">
        <v>1.03</v>
      </c>
      <c r="J40" s="78"/>
      <c r="K40" s="78"/>
      <c r="L40" s="78"/>
      <c r="M40" s="78"/>
      <c r="N40" s="78"/>
    </row>
    <row r="41" spans="1:14" x14ac:dyDescent="0.45">
      <c r="A41" s="122" t="s">
        <v>121</v>
      </c>
      <c r="B41" s="123" t="s">
        <v>132</v>
      </c>
      <c r="C41" s="124">
        <v>0.32200000000000001</v>
      </c>
      <c r="D41" s="124" t="s">
        <v>130</v>
      </c>
      <c r="E41" s="124">
        <v>1.56</v>
      </c>
      <c r="F41" s="125" t="s">
        <v>274</v>
      </c>
      <c r="G41" s="126">
        <v>0.6</v>
      </c>
      <c r="H41" s="124" t="s">
        <v>283</v>
      </c>
      <c r="I41" s="127">
        <v>1.03</v>
      </c>
      <c r="J41" s="78"/>
      <c r="K41" s="78"/>
      <c r="L41" s="78"/>
      <c r="M41" s="78"/>
      <c r="N41" s="78"/>
    </row>
    <row r="42" spans="1:14" x14ac:dyDescent="0.45">
      <c r="A42" s="122" t="s">
        <v>122</v>
      </c>
      <c r="B42" s="123" t="s">
        <v>132</v>
      </c>
      <c r="C42" s="124">
        <v>0.311</v>
      </c>
      <c r="D42" s="124" t="s">
        <v>130</v>
      </c>
      <c r="E42" s="124">
        <v>1.56</v>
      </c>
      <c r="F42" s="125" t="s">
        <v>274</v>
      </c>
      <c r="G42" s="126">
        <v>0.6</v>
      </c>
      <c r="H42" s="124" t="s">
        <v>283</v>
      </c>
      <c r="I42" s="127">
        <v>1.03</v>
      </c>
      <c r="J42" s="78"/>
      <c r="K42" s="78"/>
      <c r="L42" s="78"/>
      <c r="M42" s="78"/>
      <c r="N42" s="78"/>
    </row>
    <row r="43" spans="1:14" x14ac:dyDescent="0.45">
      <c r="A43" s="122" t="s">
        <v>109</v>
      </c>
      <c r="B43" s="123" t="s">
        <v>132</v>
      </c>
      <c r="C43" s="124">
        <v>0.33900000000000002</v>
      </c>
      <c r="D43" s="124" t="s">
        <v>130</v>
      </c>
      <c r="E43" s="124">
        <v>1.56</v>
      </c>
      <c r="F43" s="125" t="s">
        <v>274</v>
      </c>
      <c r="G43" s="126">
        <v>0.6</v>
      </c>
      <c r="H43" s="124" t="s">
        <v>283</v>
      </c>
      <c r="I43" s="127">
        <v>1.03</v>
      </c>
      <c r="J43" s="78"/>
      <c r="K43" s="78"/>
      <c r="L43" s="78"/>
      <c r="M43" s="78"/>
      <c r="N43" s="78"/>
    </row>
    <row r="44" spans="1:14" x14ac:dyDescent="0.45">
      <c r="A44" s="122" t="s">
        <v>123</v>
      </c>
      <c r="B44" s="123" t="s">
        <v>132</v>
      </c>
      <c r="C44" s="124">
        <v>0.33600000000000002</v>
      </c>
      <c r="D44" s="124" t="s">
        <v>130</v>
      </c>
      <c r="E44" s="124">
        <v>1.56</v>
      </c>
      <c r="F44" s="125" t="s">
        <v>274</v>
      </c>
      <c r="G44" s="126">
        <v>0.6</v>
      </c>
      <c r="H44" s="124" t="s">
        <v>283</v>
      </c>
      <c r="I44" s="127">
        <v>1.03</v>
      </c>
      <c r="J44" s="78"/>
      <c r="K44" s="78"/>
      <c r="L44" s="78"/>
      <c r="M44" s="78"/>
      <c r="N44" s="78"/>
    </row>
    <row r="45" spans="1:14" x14ac:dyDescent="0.45">
      <c r="A45" s="122" t="s">
        <v>110</v>
      </c>
      <c r="B45" s="123" t="s">
        <v>132</v>
      </c>
      <c r="C45" s="124">
        <v>0.32900000000000001</v>
      </c>
      <c r="D45" s="124" t="s">
        <v>130</v>
      </c>
      <c r="E45" s="124">
        <v>1.56</v>
      </c>
      <c r="F45" s="125" t="s">
        <v>274</v>
      </c>
      <c r="G45" s="126">
        <v>0.6</v>
      </c>
      <c r="H45" s="124" t="s">
        <v>283</v>
      </c>
      <c r="I45" s="127">
        <v>1.03</v>
      </c>
      <c r="J45" s="78"/>
      <c r="K45" s="78"/>
      <c r="L45" s="78"/>
      <c r="M45" s="78"/>
      <c r="N45" s="78"/>
    </row>
    <row r="46" spans="1:14" x14ac:dyDescent="0.45">
      <c r="A46" s="122" t="s">
        <v>124</v>
      </c>
      <c r="B46" s="123" t="s">
        <v>132</v>
      </c>
      <c r="C46" s="124">
        <v>0.34300000000000003</v>
      </c>
      <c r="D46" s="124" t="s">
        <v>130</v>
      </c>
      <c r="E46" s="124">
        <v>1.56</v>
      </c>
      <c r="F46" s="125" t="s">
        <v>274</v>
      </c>
      <c r="G46" s="126">
        <v>0.6</v>
      </c>
      <c r="H46" s="124" t="s">
        <v>283</v>
      </c>
      <c r="I46" s="127">
        <v>1.03</v>
      </c>
      <c r="J46" s="78"/>
      <c r="K46" s="78"/>
      <c r="L46" s="78"/>
      <c r="M46" s="78"/>
      <c r="N46" s="78"/>
    </row>
    <row r="47" spans="1:14" x14ac:dyDescent="0.45">
      <c r="A47" s="122" t="s">
        <v>125</v>
      </c>
      <c r="B47" s="123" t="s">
        <v>132</v>
      </c>
      <c r="C47" s="124">
        <v>0.32500000000000001</v>
      </c>
      <c r="D47" s="124" t="s">
        <v>130</v>
      </c>
      <c r="E47" s="124">
        <v>1.56</v>
      </c>
      <c r="F47" s="125" t="s">
        <v>274</v>
      </c>
      <c r="G47" s="126">
        <v>0.6</v>
      </c>
      <c r="H47" s="124" t="s">
        <v>283</v>
      </c>
      <c r="I47" s="127">
        <v>1.03</v>
      </c>
      <c r="J47" s="78"/>
      <c r="K47" s="78"/>
      <c r="L47" s="78"/>
      <c r="M47" s="78"/>
      <c r="N47" s="78"/>
    </row>
    <row r="48" spans="1:14" x14ac:dyDescent="0.45">
      <c r="A48" s="122" t="s">
        <v>126</v>
      </c>
      <c r="B48" s="123" t="s">
        <v>132</v>
      </c>
      <c r="C48" s="124">
        <v>0.32</v>
      </c>
      <c r="D48" s="124" t="s">
        <v>130</v>
      </c>
      <c r="E48" s="124">
        <v>1.56</v>
      </c>
      <c r="F48" s="125" t="s">
        <v>274</v>
      </c>
      <c r="G48" s="126">
        <v>0.6</v>
      </c>
      <c r="H48" s="124" t="s">
        <v>283</v>
      </c>
      <c r="I48" s="127">
        <v>1.03</v>
      </c>
      <c r="J48" s="78"/>
      <c r="K48" s="78"/>
      <c r="L48" s="78"/>
      <c r="M48" s="78"/>
      <c r="N48" s="78"/>
    </row>
    <row r="49" spans="1:14" x14ac:dyDescent="0.45">
      <c r="A49" s="122" t="s">
        <v>111</v>
      </c>
      <c r="B49" s="123" t="s">
        <v>132</v>
      </c>
      <c r="C49" s="124">
        <v>0.28199999999999997</v>
      </c>
      <c r="D49" s="124" t="s">
        <v>130</v>
      </c>
      <c r="E49" s="124">
        <v>1.56</v>
      </c>
      <c r="F49" s="125" t="s">
        <v>274</v>
      </c>
      <c r="G49" s="126">
        <v>0.6</v>
      </c>
      <c r="H49" s="124" t="s">
        <v>283</v>
      </c>
      <c r="I49" s="127">
        <v>1.03</v>
      </c>
      <c r="J49" s="78"/>
      <c r="K49" s="78"/>
      <c r="L49" s="78"/>
      <c r="M49" s="78"/>
      <c r="N49" s="78"/>
    </row>
    <row r="50" spans="1:14" x14ac:dyDescent="0.45">
      <c r="A50" s="122" t="s">
        <v>127</v>
      </c>
      <c r="B50" s="123" t="s">
        <v>132</v>
      </c>
      <c r="C50" s="124">
        <v>0.32800000000000001</v>
      </c>
      <c r="D50" s="124" t="s">
        <v>130</v>
      </c>
      <c r="E50" s="124">
        <v>1.56</v>
      </c>
      <c r="F50" s="125" t="s">
        <v>274</v>
      </c>
      <c r="G50" s="126">
        <v>0.6</v>
      </c>
      <c r="H50" s="124" t="s">
        <v>283</v>
      </c>
      <c r="I50" s="127">
        <v>1.03</v>
      </c>
      <c r="J50" s="78"/>
      <c r="K50" s="78"/>
      <c r="L50" s="78"/>
      <c r="M50" s="78"/>
      <c r="N50" s="78"/>
    </row>
    <row r="51" spans="1:14" x14ac:dyDescent="0.45">
      <c r="A51" s="122" t="s">
        <v>112</v>
      </c>
      <c r="B51" s="123" t="s">
        <v>132</v>
      </c>
      <c r="C51" s="124">
        <v>0.32600000000000001</v>
      </c>
      <c r="D51" s="124" t="s">
        <v>130</v>
      </c>
      <c r="E51" s="124">
        <v>1.56</v>
      </c>
      <c r="F51" s="125" t="s">
        <v>274</v>
      </c>
      <c r="G51" s="126">
        <v>0.6</v>
      </c>
      <c r="H51" s="124" t="s">
        <v>283</v>
      </c>
      <c r="I51" s="127">
        <v>1.03</v>
      </c>
      <c r="J51" s="78"/>
      <c r="K51" s="78"/>
      <c r="L51" s="78"/>
      <c r="M51" s="78"/>
      <c r="N51" s="78"/>
    </row>
    <row r="52" spans="1:14" x14ac:dyDescent="0.45">
      <c r="A52" s="122" t="s">
        <v>113</v>
      </c>
      <c r="B52" s="123" t="s">
        <v>132</v>
      </c>
      <c r="C52" s="124">
        <v>0.35899999999999999</v>
      </c>
      <c r="D52" s="124" t="s">
        <v>130</v>
      </c>
      <c r="E52" s="124">
        <v>1.56</v>
      </c>
      <c r="F52" s="125" t="s">
        <v>274</v>
      </c>
      <c r="G52" s="126">
        <v>0.6</v>
      </c>
      <c r="H52" s="124" t="s">
        <v>283</v>
      </c>
      <c r="I52" s="127">
        <v>1.03</v>
      </c>
      <c r="J52" s="78"/>
      <c r="K52" s="78"/>
      <c r="L52" s="78"/>
      <c r="M52" s="78"/>
      <c r="N52" s="78"/>
    </row>
    <row r="53" spans="1:14" x14ac:dyDescent="0.45">
      <c r="A53" s="122" t="s">
        <v>114</v>
      </c>
      <c r="B53" s="123" t="s">
        <v>132</v>
      </c>
      <c r="C53" s="124">
        <v>0.34599999999999997</v>
      </c>
      <c r="D53" s="124" t="s">
        <v>130</v>
      </c>
      <c r="E53" s="124">
        <v>1.56</v>
      </c>
      <c r="F53" s="125" t="s">
        <v>274</v>
      </c>
      <c r="G53" s="126">
        <v>0.6</v>
      </c>
      <c r="H53" s="124" t="s">
        <v>283</v>
      </c>
      <c r="I53" s="127">
        <v>1.03</v>
      </c>
      <c r="J53" s="78"/>
      <c r="K53" s="78"/>
      <c r="L53" s="78"/>
      <c r="M53" s="78"/>
      <c r="N53" s="78"/>
    </row>
    <row r="54" spans="1:14" x14ac:dyDescent="0.45">
      <c r="A54" s="122" t="s">
        <v>115</v>
      </c>
      <c r="B54" s="123" t="s">
        <v>132</v>
      </c>
      <c r="C54" s="124">
        <v>0.32600000000000001</v>
      </c>
      <c r="D54" s="124" t="s">
        <v>130</v>
      </c>
      <c r="E54" s="124">
        <v>1.56</v>
      </c>
      <c r="F54" s="125" t="s">
        <v>274</v>
      </c>
      <c r="G54" s="126">
        <v>0.6</v>
      </c>
      <c r="H54" s="124" t="s">
        <v>283</v>
      </c>
      <c r="I54" s="127">
        <v>1.03</v>
      </c>
      <c r="J54" s="78"/>
      <c r="K54" s="78"/>
      <c r="L54" s="78"/>
      <c r="M54" s="78"/>
      <c r="N54" s="78"/>
    </row>
    <row r="55" spans="1:14" x14ac:dyDescent="0.45">
      <c r="A55" s="122" t="s">
        <v>116</v>
      </c>
      <c r="B55" s="123" t="s">
        <v>132</v>
      </c>
      <c r="C55" s="124">
        <v>0.30499999999999999</v>
      </c>
      <c r="D55" s="124" t="s">
        <v>130</v>
      </c>
      <c r="E55" s="124">
        <v>1.56</v>
      </c>
      <c r="F55" s="125" t="s">
        <v>274</v>
      </c>
      <c r="G55" s="126">
        <v>0.6</v>
      </c>
      <c r="H55" s="124" t="s">
        <v>283</v>
      </c>
      <c r="I55" s="127">
        <v>1.03</v>
      </c>
      <c r="J55" s="78"/>
      <c r="K55" s="78"/>
      <c r="L55" s="78"/>
      <c r="M55" s="78"/>
      <c r="N55" s="78"/>
    </row>
    <row r="56" spans="1:14" x14ac:dyDescent="0.45">
      <c r="A56" s="122" t="s">
        <v>128</v>
      </c>
      <c r="B56" s="123" t="s">
        <v>132</v>
      </c>
      <c r="C56" s="124">
        <v>0.32300000000000001</v>
      </c>
      <c r="D56" s="124" t="s">
        <v>130</v>
      </c>
      <c r="E56" s="124">
        <v>1.56</v>
      </c>
      <c r="F56" s="125" t="s">
        <v>274</v>
      </c>
      <c r="G56" s="126">
        <v>0.6</v>
      </c>
      <c r="H56" s="124" t="s">
        <v>283</v>
      </c>
      <c r="I56" s="127">
        <v>1.03</v>
      </c>
      <c r="J56" s="78"/>
      <c r="K56" s="78"/>
      <c r="L56" s="78"/>
      <c r="M56" s="78"/>
      <c r="N56" s="78"/>
    </row>
    <row r="57" spans="1:14" x14ac:dyDescent="0.45">
      <c r="A57" s="122" t="s">
        <v>129</v>
      </c>
      <c r="B57" s="123" t="s">
        <v>132</v>
      </c>
      <c r="C57" s="124">
        <v>0.36699999999999999</v>
      </c>
      <c r="D57" s="124" t="s">
        <v>130</v>
      </c>
      <c r="E57" s="124">
        <v>1.56</v>
      </c>
      <c r="F57" s="125" t="s">
        <v>274</v>
      </c>
      <c r="G57" s="126">
        <v>0.6</v>
      </c>
      <c r="H57" s="124" t="s">
        <v>283</v>
      </c>
      <c r="I57" s="127">
        <v>1.03</v>
      </c>
      <c r="J57" s="78"/>
      <c r="K57" s="78"/>
      <c r="L57" s="78"/>
      <c r="M57" s="78"/>
      <c r="N57" s="78"/>
    </row>
    <row r="58" spans="1:14" x14ac:dyDescent="0.45">
      <c r="A58" s="122" t="s">
        <v>117</v>
      </c>
      <c r="B58" s="123" t="s">
        <v>132</v>
      </c>
      <c r="C58" s="124">
        <v>0.36</v>
      </c>
      <c r="D58" s="124" t="s">
        <v>130</v>
      </c>
      <c r="E58" s="124">
        <v>1.56</v>
      </c>
      <c r="F58" s="125" t="s">
        <v>274</v>
      </c>
      <c r="G58" s="126">
        <v>0.6</v>
      </c>
      <c r="H58" s="124" t="s">
        <v>283</v>
      </c>
      <c r="I58" s="127">
        <v>1.03</v>
      </c>
      <c r="J58" s="78"/>
      <c r="K58" s="78"/>
      <c r="L58" s="78"/>
      <c r="M58" s="78"/>
      <c r="N58" s="78"/>
    </row>
    <row r="59" spans="1:14" x14ac:dyDescent="0.45">
      <c r="A59" s="122" t="s">
        <v>118</v>
      </c>
      <c r="B59" s="123" t="s">
        <v>132</v>
      </c>
      <c r="C59" s="124">
        <v>0.36799999999999999</v>
      </c>
      <c r="D59" s="124" t="s">
        <v>130</v>
      </c>
      <c r="E59" s="124">
        <v>1.56</v>
      </c>
      <c r="F59" s="125" t="s">
        <v>274</v>
      </c>
      <c r="G59" s="126">
        <v>0.6</v>
      </c>
      <c r="H59" s="124" t="s">
        <v>283</v>
      </c>
      <c r="I59" s="127">
        <v>1.03</v>
      </c>
      <c r="J59" s="78"/>
      <c r="K59" s="78"/>
      <c r="L59" s="78"/>
      <c r="M59" s="78"/>
      <c r="N59" s="78"/>
    </row>
    <row r="60" spans="1:14" x14ac:dyDescent="0.45">
      <c r="A60" s="122" t="s">
        <v>119</v>
      </c>
      <c r="B60" s="123" t="s">
        <v>132</v>
      </c>
      <c r="C60" s="124">
        <v>0.30599999999999999</v>
      </c>
      <c r="D60" s="124" t="s">
        <v>130</v>
      </c>
      <c r="E60" s="124">
        <v>1.56</v>
      </c>
      <c r="F60" s="125" t="s">
        <v>274</v>
      </c>
      <c r="G60" s="126">
        <v>0.6</v>
      </c>
      <c r="H60" s="124" t="s">
        <v>283</v>
      </c>
      <c r="I60" s="127">
        <v>1.03</v>
      </c>
      <c r="J60" s="78"/>
      <c r="K60" s="78"/>
      <c r="L60" s="78"/>
      <c r="M60" s="78"/>
      <c r="N60" s="78"/>
    </row>
    <row r="61" spans="1:14" x14ac:dyDescent="0.45">
      <c r="A61" s="122" t="s">
        <v>120</v>
      </c>
      <c r="B61" s="123" t="s">
        <v>132</v>
      </c>
      <c r="C61" s="124">
        <v>0.313</v>
      </c>
      <c r="D61" s="124" t="s">
        <v>130</v>
      </c>
      <c r="E61" s="124">
        <v>1.56</v>
      </c>
      <c r="F61" s="125" t="s">
        <v>274</v>
      </c>
      <c r="G61" s="126">
        <v>0.6</v>
      </c>
      <c r="H61" s="124" t="s">
        <v>283</v>
      </c>
      <c r="I61" s="127">
        <v>1.03</v>
      </c>
      <c r="J61" s="78"/>
      <c r="K61" s="78"/>
      <c r="L61" s="78"/>
      <c r="M61" s="78"/>
      <c r="N61" s="78"/>
    </row>
    <row r="62" spans="1:14" x14ac:dyDescent="0.45">
      <c r="A62" s="122" t="s">
        <v>32</v>
      </c>
      <c r="B62" s="123" t="s">
        <v>133</v>
      </c>
      <c r="C62" s="124">
        <v>0.37</v>
      </c>
      <c r="D62" s="124" t="s">
        <v>161</v>
      </c>
      <c r="E62" s="124">
        <v>1.56</v>
      </c>
      <c r="F62" s="125" t="s">
        <v>274</v>
      </c>
      <c r="G62" s="126">
        <v>0.6</v>
      </c>
      <c r="H62" s="124" t="s">
        <v>283</v>
      </c>
      <c r="I62" s="127">
        <v>1.03</v>
      </c>
      <c r="J62" s="78"/>
      <c r="K62" s="78"/>
      <c r="L62" s="78"/>
      <c r="M62" s="78"/>
      <c r="N62" s="78"/>
    </row>
    <row r="63" spans="1:14" x14ac:dyDescent="0.45">
      <c r="A63" s="122" t="s">
        <v>90</v>
      </c>
      <c r="B63" s="123" t="s">
        <v>83</v>
      </c>
      <c r="C63" s="124">
        <v>0.45</v>
      </c>
      <c r="D63" s="124" t="s">
        <v>161</v>
      </c>
      <c r="E63" s="124">
        <v>1.3</v>
      </c>
      <c r="F63" s="125" t="s">
        <v>274</v>
      </c>
      <c r="G63" s="126">
        <v>0.45</v>
      </c>
      <c r="H63" s="124" t="s">
        <v>276</v>
      </c>
      <c r="I63" s="127">
        <v>0.43</v>
      </c>
      <c r="J63" s="78"/>
      <c r="K63" s="78"/>
      <c r="L63" s="78"/>
      <c r="M63" s="78"/>
      <c r="N63" s="78"/>
    </row>
    <row r="64" spans="1:14" x14ac:dyDescent="0.45">
      <c r="A64" s="122" t="s">
        <v>33</v>
      </c>
      <c r="B64" s="123" t="s">
        <v>134</v>
      </c>
      <c r="C64" s="124">
        <v>0.39</v>
      </c>
      <c r="D64" s="124" t="s">
        <v>161</v>
      </c>
      <c r="E64" s="124">
        <v>1.3</v>
      </c>
      <c r="F64" s="125" t="s">
        <v>274</v>
      </c>
      <c r="G64" s="126">
        <v>0.45</v>
      </c>
      <c r="H64" s="124" t="s">
        <v>276</v>
      </c>
      <c r="I64" s="127">
        <v>0.43</v>
      </c>
      <c r="J64" s="78"/>
      <c r="K64" s="78"/>
      <c r="L64" s="78"/>
      <c r="M64" s="78"/>
      <c r="N64" s="78"/>
    </row>
    <row r="65" spans="1:14" x14ac:dyDescent="0.45">
      <c r="A65" s="122" t="s">
        <v>34</v>
      </c>
      <c r="B65" s="123" t="s">
        <v>135</v>
      </c>
      <c r="C65" s="124">
        <v>0.44</v>
      </c>
      <c r="D65" s="124" t="s">
        <v>161</v>
      </c>
      <c r="E65" s="124">
        <v>1.3</v>
      </c>
      <c r="F65" s="125" t="s">
        <v>274</v>
      </c>
      <c r="G65" s="126">
        <v>0.45</v>
      </c>
      <c r="H65" s="124" t="s">
        <v>276</v>
      </c>
      <c r="I65" s="127">
        <v>0.43</v>
      </c>
      <c r="J65" s="78"/>
      <c r="K65" s="78"/>
      <c r="L65" s="78"/>
      <c r="M65" s="78"/>
      <c r="N65" s="78"/>
    </row>
    <row r="66" spans="1:14" x14ac:dyDescent="0.45">
      <c r="A66" s="122" t="s">
        <v>35</v>
      </c>
      <c r="B66" s="123" t="s">
        <v>84</v>
      </c>
      <c r="C66" s="124">
        <v>0.46</v>
      </c>
      <c r="D66" s="124" t="s">
        <v>161</v>
      </c>
      <c r="E66" s="124">
        <v>1.3</v>
      </c>
      <c r="F66" s="125" t="s">
        <v>274</v>
      </c>
      <c r="G66" s="126">
        <v>0.45</v>
      </c>
      <c r="H66" s="124" t="s">
        <v>276</v>
      </c>
      <c r="I66" s="127">
        <v>0.43</v>
      </c>
      <c r="J66" s="78"/>
      <c r="K66" s="78"/>
      <c r="L66" s="78"/>
      <c r="M66" s="78"/>
      <c r="N66" s="78"/>
    </row>
    <row r="67" spans="1:14" x14ac:dyDescent="0.45">
      <c r="A67" s="122" t="s">
        <v>36</v>
      </c>
      <c r="B67" s="123" t="s">
        <v>85</v>
      </c>
      <c r="C67" s="124">
        <v>0.46</v>
      </c>
      <c r="D67" s="124" t="s">
        <v>161</v>
      </c>
      <c r="E67" s="124">
        <v>1.3</v>
      </c>
      <c r="F67" s="125" t="s">
        <v>274</v>
      </c>
      <c r="G67" s="126">
        <v>0.45</v>
      </c>
      <c r="H67" s="124" t="s">
        <v>152</v>
      </c>
      <c r="I67" s="127">
        <v>0.59</v>
      </c>
      <c r="J67" s="78"/>
      <c r="K67" s="78"/>
      <c r="L67" s="78"/>
      <c r="M67" s="78"/>
      <c r="N67" s="78"/>
    </row>
    <row r="68" spans="1:14" x14ac:dyDescent="0.45">
      <c r="A68" s="122" t="s">
        <v>37</v>
      </c>
      <c r="B68" s="123" t="s">
        <v>136</v>
      </c>
      <c r="C68" s="124">
        <v>0.44</v>
      </c>
      <c r="D68" s="124" t="s">
        <v>161</v>
      </c>
      <c r="E68" s="124">
        <v>1.3</v>
      </c>
      <c r="F68" s="125" t="s">
        <v>274</v>
      </c>
      <c r="G68" s="126">
        <v>0.45</v>
      </c>
      <c r="H68" s="124" t="s">
        <v>276</v>
      </c>
      <c r="I68" s="127">
        <v>0.43</v>
      </c>
      <c r="J68" s="78"/>
      <c r="K68" s="78"/>
      <c r="L68" s="78"/>
      <c r="M68" s="78"/>
      <c r="N68" s="78"/>
    </row>
    <row r="69" spans="1:14" x14ac:dyDescent="0.45">
      <c r="A69" s="122" t="s">
        <v>38</v>
      </c>
      <c r="B69" s="123" t="s">
        <v>86</v>
      </c>
      <c r="C69" s="124">
        <v>0.46</v>
      </c>
      <c r="D69" s="124" t="s">
        <v>161</v>
      </c>
      <c r="E69" s="124">
        <v>1.3</v>
      </c>
      <c r="F69" s="125" t="s">
        <v>274</v>
      </c>
      <c r="G69" s="126">
        <v>0.45</v>
      </c>
      <c r="H69" s="124" t="s">
        <v>276</v>
      </c>
      <c r="I69" s="127">
        <v>0.43</v>
      </c>
      <c r="J69" s="78"/>
      <c r="K69" s="78"/>
      <c r="L69" s="78"/>
      <c r="M69" s="78"/>
      <c r="N69" s="78"/>
    </row>
    <row r="70" spans="1:14" x14ac:dyDescent="0.45">
      <c r="A70" s="122" t="s">
        <v>39</v>
      </c>
      <c r="B70" s="123" t="s">
        <v>137</v>
      </c>
      <c r="C70" s="124">
        <v>0.48</v>
      </c>
      <c r="D70" s="124" t="s">
        <v>161</v>
      </c>
      <c r="E70" s="124">
        <v>2.4</v>
      </c>
      <c r="F70" s="124" t="s">
        <v>284</v>
      </c>
      <c r="G70" s="126">
        <v>0.45</v>
      </c>
      <c r="H70" s="124" t="s">
        <v>276</v>
      </c>
      <c r="I70" s="127">
        <v>0.43</v>
      </c>
      <c r="J70" s="78"/>
      <c r="K70" s="78"/>
      <c r="L70" s="78"/>
      <c r="M70" s="78"/>
      <c r="N70" s="78"/>
    </row>
    <row r="71" spans="1:14" x14ac:dyDescent="0.45">
      <c r="A71" s="122" t="s">
        <v>40</v>
      </c>
      <c r="B71" s="123" t="s">
        <v>87</v>
      </c>
      <c r="C71" s="124">
        <v>0.46</v>
      </c>
      <c r="D71" s="124" t="s">
        <v>150</v>
      </c>
      <c r="E71" s="124">
        <v>1.3</v>
      </c>
      <c r="F71" s="125" t="s">
        <v>274</v>
      </c>
      <c r="G71" s="126">
        <v>0.45</v>
      </c>
      <c r="H71" s="124" t="s">
        <v>276</v>
      </c>
      <c r="I71" s="127">
        <v>0.43</v>
      </c>
      <c r="J71" s="78"/>
      <c r="K71" s="78"/>
      <c r="L71" s="78"/>
      <c r="M71" s="78"/>
      <c r="N71" s="78"/>
    </row>
    <row r="72" spans="1:14" x14ac:dyDescent="0.45">
      <c r="A72" s="122" t="s">
        <v>41</v>
      </c>
      <c r="B72" s="123" t="s">
        <v>88</v>
      </c>
      <c r="C72" s="124">
        <v>0.44</v>
      </c>
      <c r="D72" s="124" t="s">
        <v>161</v>
      </c>
      <c r="E72" s="124">
        <v>1.3</v>
      </c>
      <c r="F72" s="125" t="s">
        <v>274</v>
      </c>
      <c r="G72" s="126">
        <v>0.45</v>
      </c>
      <c r="H72" s="124" t="s">
        <v>276</v>
      </c>
      <c r="I72" s="127">
        <v>0.43</v>
      </c>
      <c r="J72" s="78"/>
      <c r="K72" s="78"/>
      <c r="L72" s="78"/>
      <c r="M72" s="78"/>
      <c r="N72" s="78"/>
    </row>
    <row r="73" spans="1:14" x14ac:dyDescent="0.45">
      <c r="A73" s="122" t="s">
        <v>138</v>
      </c>
      <c r="B73" s="123" t="s">
        <v>140</v>
      </c>
      <c r="C73" s="124">
        <v>0.46</v>
      </c>
      <c r="D73" s="124" t="s">
        <v>151</v>
      </c>
      <c r="E73" s="124">
        <v>1.3</v>
      </c>
      <c r="F73" s="125" t="s">
        <v>274</v>
      </c>
      <c r="G73" s="126">
        <v>0.45</v>
      </c>
      <c r="H73" s="124" t="s">
        <v>276</v>
      </c>
      <c r="I73" s="127">
        <v>0.43</v>
      </c>
      <c r="J73" s="78"/>
      <c r="K73" s="78"/>
      <c r="L73" s="78"/>
      <c r="M73" s="78"/>
      <c r="N73" s="78"/>
    </row>
    <row r="74" spans="1:14" x14ac:dyDescent="0.45">
      <c r="A74" s="122" t="s">
        <v>42</v>
      </c>
      <c r="B74" s="123" t="s">
        <v>139</v>
      </c>
      <c r="C74" s="124">
        <v>0.34</v>
      </c>
      <c r="D74" s="124" t="s">
        <v>161</v>
      </c>
      <c r="E74" s="124">
        <v>1.3</v>
      </c>
      <c r="F74" s="125" t="s">
        <v>274</v>
      </c>
      <c r="G74" s="126">
        <v>0.45</v>
      </c>
      <c r="H74" s="124" t="s">
        <v>276</v>
      </c>
      <c r="I74" s="127">
        <v>0.43</v>
      </c>
      <c r="J74" s="78"/>
      <c r="K74" s="78"/>
      <c r="L74" s="78"/>
      <c r="M74" s="78"/>
      <c r="N74" s="78"/>
    </row>
    <row r="75" spans="1:14" x14ac:dyDescent="0.45">
      <c r="A75" s="122" t="s">
        <v>43</v>
      </c>
      <c r="B75" s="123" t="s">
        <v>162</v>
      </c>
      <c r="C75" s="124">
        <v>0.5</v>
      </c>
      <c r="D75" s="124" t="s">
        <v>161</v>
      </c>
      <c r="E75" s="124">
        <v>1.56</v>
      </c>
      <c r="F75" s="125" t="s">
        <v>274</v>
      </c>
      <c r="G75" s="126">
        <v>0.53</v>
      </c>
      <c r="H75" s="124" t="s">
        <v>275</v>
      </c>
      <c r="I75" s="127">
        <v>0.25</v>
      </c>
      <c r="J75" s="78"/>
      <c r="K75" s="78"/>
      <c r="L75" s="78"/>
      <c r="M75" s="78"/>
      <c r="N75" s="78"/>
    </row>
    <row r="76" spans="1:14" x14ac:dyDescent="0.45">
      <c r="A76" s="122" t="s">
        <v>44</v>
      </c>
      <c r="B76" s="123" t="s">
        <v>89</v>
      </c>
      <c r="C76" s="124">
        <v>0.57999999999999996</v>
      </c>
      <c r="D76" s="124" t="s">
        <v>161</v>
      </c>
      <c r="E76" s="124">
        <v>1.56</v>
      </c>
      <c r="F76" s="125" t="s">
        <v>274</v>
      </c>
      <c r="G76" s="126">
        <v>0.3</v>
      </c>
      <c r="H76" s="124" t="s">
        <v>277</v>
      </c>
      <c r="I76" s="127">
        <v>0.25</v>
      </c>
      <c r="J76" s="78"/>
      <c r="K76" s="78"/>
      <c r="L76" s="78"/>
      <c r="M76" s="78"/>
      <c r="N76" s="78"/>
    </row>
    <row r="77" spans="1:14" x14ac:dyDescent="0.45">
      <c r="A77" s="122" t="s">
        <v>47</v>
      </c>
      <c r="B77" s="123" t="s">
        <v>141</v>
      </c>
      <c r="C77" s="124">
        <v>0.37</v>
      </c>
      <c r="D77" s="124" t="s">
        <v>161</v>
      </c>
      <c r="E77" s="124">
        <v>1.3</v>
      </c>
      <c r="F77" s="125" t="s">
        <v>274</v>
      </c>
      <c r="G77" s="126">
        <v>0.55000000000000004</v>
      </c>
      <c r="H77" s="124" t="s">
        <v>152</v>
      </c>
      <c r="I77" s="127">
        <v>0.43</v>
      </c>
      <c r="J77" s="78"/>
      <c r="K77" s="78"/>
      <c r="L77" s="78"/>
      <c r="M77" s="78"/>
      <c r="N77" s="78"/>
    </row>
    <row r="78" spans="1:14" x14ac:dyDescent="0.45">
      <c r="A78" s="122" t="s">
        <v>45</v>
      </c>
      <c r="B78" s="123" t="s">
        <v>96</v>
      </c>
      <c r="C78" s="124">
        <v>0.37</v>
      </c>
      <c r="D78" s="124" t="s">
        <v>161</v>
      </c>
      <c r="E78" s="124">
        <v>1.3</v>
      </c>
      <c r="F78" s="125" t="s">
        <v>274</v>
      </c>
      <c r="G78" s="126">
        <v>0.55000000000000004</v>
      </c>
      <c r="H78" s="124" t="s">
        <v>152</v>
      </c>
      <c r="I78" s="127">
        <v>0.43</v>
      </c>
      <c r="J78" s="78"/>
      <c r="K78" s="78"/>
      <c r="L78" s="78"/>
      <c r="M78" s="78"/>
      <c r="N78" s="78"/>
    </row>
    <row r="79" spans="1:14" x14ac:dyDescent="0.45">
      <c r="A79" s="122" t="s">
        <v>46</v>
      </c>
      <c r="B79" s="123" t="s">
        <v>95</v>
      </c>
      <c r="C79" s="124">
        <v>0.38</v>
      </c>
      <c r="D79" s="124" t="s">
        <v>161</v>
      </c>
      <c r="E79" s="124">
        <v>1.3</v>
      </c>
      <c r="F79" s="125" t="s">
        <v>274</v>
      </c>
      <c r="G79" s="126">
        <v>0.55000000000000004</v>
      </c>
      <c r="H79" s="124" t="s">
        <v>153</v>
      </c>
      <c r="I79" s="127">
        <v>0.43</v>
      </c>
      <c r="J79" s="78"/>
      <c r="K79" s="78"/>
      <c r="L79" s="78"/>
      <c r="M79" s="78"/>
      <c r="N79" s="78"/>
    </row>
    <row r="80" spans="1:14" x14ac:dyDescent="0.45">
      <c r="A80" s="122" t="s">
        <v>48</v>
      </c>
      <c r="B80" s="123" t="s">
        <v>94</v>
      </c>
      <c r="C80" s="124">
        <v>0.36</v>
      </c>
      <c r="D80" s="124" t="s">
        <v>161</v>
      </c>
      <c r="E80" s="124">
        <v>1.3</v>
      </c>
      <c r="F80" s="125" t="s">
        <v>274</v>
      </c>
      <c r="G80" s="126">
        <v>0.55000000000000004</v>
      </c>
      <c r="H80" s="124" t="s">
        <v>153</v>
      </c>
      <c r="I80" s="127">
        <v>0.43</v>
      </c>
      <c r="J80" s="78"/>
      <c r="K80" s="78"/>
      <c r="L80" s="78"/>
      <c r="M80" s="78"/>
      <c r="N80" s="78"/>
    </row>
    <row r="81" spans="1:14" x14ac:dyDescent="0.45">
      <c r="A81" s="122" t="s">
        <v>49</v>
      </c>
      <c r="B81" s="123" t="s">
        <v>142</v>
      </c>
      <c r="C81" s="124">
        <v>0.37</v>
      </c>
      <c r="D81" s="124" t="s">
        <v>161</v>
      </c>
      <c r="E81" s="124">
        <v>1.56</v>
      </c>
      <c r="F81" s="125" t="s">
        <v>274</v>
      </c>
      <c r="G81" s="126">
        <v>0.43</v>
      </c>
      <c r="H81" s="124" t="s">
        <v>278</v>
      </c>
      <c r="I81" s="127">
        <v>0.25</v>
      </c>
      <c r="J81" s="78"/>
      <c r="K81" s="78"/>
      <c r="L81" s="78"/>
      <c r="M81" s="78"/>
      <c r="N81" s="78"/>
    </row>
    <row r="82" spans="1:14" x14ac:dyDescent="0.45">
      <c r="A82" s="122" t="s">
        <v>158</v>
      </c>
      <c r="B82" s="123" t="s">
        <v>159</v>
      </c>
      <c r="C82" s="124">
        <v>0.35</v>
      </c>
      <c r="D82" s="124" t="s">
        <v>160</v>
      </c>
      <c r="E82" s="124">
        <v>1.3</v>
      </c>
      <c r="F82" s="125" t="s">
        <v>274</v>
      </c>
      <c r="G82" s="126">
        <v>0.55000000000000004</v>
      </c>
      <c r="H82" s="124" t="s">
        <v>153</v>
      </c>
      <c r="I82" s="127">
        <v>0.43</v>
      </c>
      <c r="J82" s="78"/>
      <c r="K82" s="78"/>
      <c r="L82" s="78"/>
      <c r="M82" s="78"/>
      <c r="N82" s="78"/>
    </row>
    <row r="83" spans="1:14" x14ac:dyDescent="0.45">
      <c r="A83" s="122" t="s">
        <v>156</v>
      </c>
      <c r="B83" s="123" t="s">
        <v>157</v>
      </c>
      <c r="C83" s="124">
        <v>0.34</v>
      </c>
      <c r="D83" s="124" t="s">
        <v>161</v>
      </c>
      <c r="E83" s="124">
        <v>1.3</v>
      </c>
      <c r="F83" s="125" t="s">
        <v>274</v>
      </c>
      <c r="G83" s="126">
        <v>0.55000000000000004</v>
      </c>
      <c r="H83" s="124" t="s">
        <v>153</v>
      </c>
      <c r="I83" s="127">
        <v>0.43</v>
      </c>
      <c r="J83" s="78"/>
      <c r="K83" s="78"/>
      <c r="L83" s="78"/>
      <c r="M83" s="78"/>
      <c r="N83" s="78"/>
    </row>
    <row r="84" spans="1:14" x14ac:dyDescent="0.45">
      <c r="A84" s="122" t="s">
        <v>92</v>
      </c>
      <c r="B84" s="123" t="s">
        <v>93</v>
      </c>
      <c r="C84" s="124">
        <v>0.31</v>
      </c>
      <c r="D84" s="124" t="s">
        <v>161</v>
      </c>
      <c r="E84" s="124">
        <v>1.3</v>
      </c>
      <c r="F84" s="125" t="s">
        <v>274</v>
      </c>
      <c r="G84" s="126">
        <v>0.55000000000000004</v>
      </c>
      <c r="H84" s="124" t="s">
        <v>153</v>
      </c>
      <c r="I84" s="127">
        <v>0.43</v>
      </c>
      <c r="J84" s="78"/>
      <c r="K84" s="78"/>
      <c r="L84" s="78"/>
      <c r="M84" s="78"/>
      <c r="N84" s="78"/>
    </row>
    <row r="85" spans="1:14" x14ac:dyDescent="0.45">
      <c r="A85" s="122" t="s">
        <v>50</v>
      </c>
      <c r="B85" s="123" t="s">
        <v>143</v>
      </c>
      <c r="C85" s="124">
        <v>0.43</v>
      </c>
      <c r="D85" s="124" t="s">
        <v>161</v>
      </c>
      <c r="E85" s="124">
        <v>1.56</v>
      </c>
      <c r="F85" s="125" t="s">
        <v>274</v>
      </c>
      <c r="G85" s="126">
        <v>0.53</v>
      </c>
      <c r="H85" s="124" t="s">
        <v>275</v>
      </c>
      <c r="I85" s="127">
        <v>0.25</v>
      </c>
      <c r="J85" s="78"/>
      <c r="K85" s="78"/>
      <c r="L85" s="78"/>
      <c r="M85" s="78"/>
      <c r="N85" s="78"/>
    </row>
    <row r="86" spans="1:14" x14ac:dyDescent="0.45">
      <c r="A86" s="122" t="s">
        <v>51</v>
      </c>
      <c r="B86" s="123" t="s">
        <v>91</v>
      </c>
      <c r="C86" s="124">
        <v>0.38</v>
      </c>
      <c r="D86" s="124" t="s">
        <v>161</v>
      </c>
      <c r="E86" s="124">
        <v>1.56</v>
      </c>
      <c r="F86" s="125" t="s">
        <v>274</v>
      </c>
      <c r="G86" s="126">
        <v>0.6</v>
      </c>
      <c r="H86" s="124" t="s">
        <v>279</v>
      </c>
      <c r="I86" s="127">
        <v>0.25</v>
      </c>
      <c r="J86" s="78"/>
      <c r="K86" s="78"/>
      <c r="L86" s="78"/>
      <c r="M86" s="78"/>
      <c r="N86" s="78"/>
    </row>
    <row r="87" spans="1:14" x14ac:dyDescent="0.45">
      <c r="A87" s="251" t="s">
        <v>321</v>
      </c>
      <c r="B87" s="252" t="s">
        <v>322</v>
      </c>
      <c r="C87" s="253">
        <v>0.41</v>
      </c>
      <c r="D87" s="253" t="s">
        <v>323</v>
      </c>
      <c r="E87" s="253">
        <v>1.56</v>
      </c>
      <c r="F87" s="254" t="s">
        <v>274</v>
      </c>
      <c r="G87" s="255">
        <v>0.43</v>
      </c>
      <c r="H87" s="253" t="s">
        <v>278</v>
      </c>
      <c r="I87" s="256">
        <v>0.25</v>
      </c>
      <c r="J87" s="78"/>
      <c r="K87" s="78"/>
      <c r="L87" s="78"/>
      <c r="M87" s="78"/>
      <c r="N87" s="78"/>
    </row>
    <row r="88" spans="1:14" x14ac:dyDescent="0.45">
      <c r="A88" s="122" t="s">
        <v>148</v>
      </c>
      <c r="B88" s="130"/>
      <c r="C88" s="124">
        <v>0.42</v>
      </c>
      <c r="D88" s="124" t="s">
        <v>161</v>
      </c>
      <c r="E88" s="124">
        <v>1.3</v>
      </c>
      <c r="F88" s="125" t="s">
        <v>274</v>
      </c>
      <c r="G88" s="131"/>
      <c r="H88" s="130"/>
      <c r="I88" s="132"/>
    </row>
    <row r="89" spans="1:14" ht="14.65" thickBot="1" x14ac:dyDescent="0.5">
      <c r="A89" s="133" t="s">
        <v>149</v>
      </c>
      <c r="B89" s="134"/>
      <c r="C89" s="135">
        <v>0.56999999999999995</v>
      </c>
      <c r="D89" s="136" t="s">
        <v>161</v>
      </c>
      <c r="E89" s="135">
        <v>1.56</v>
      </c>
      <c r="F89" s="135" t="s">
        <v>274</v>
      </c>
      <c r="G89" s="134"/>
      <c r="H89" s="134"/>
      <c r="I89" s="137"/>
    </row>
    <row r="93" spans="1:14" x14ac:dyDescent="0.45">
      <c r="A93" s="122" t="s">
        <v>208</v>
      </c>
    </row>
    <row r="94" spans="1:14" x14ac:dyDescent="0.45">
      <c r="A94" s="122" t="s">
        <v>209</v>
      </c>
    </row>
    <row r="95" spans="1:14" x14ac:dyDescent="0.45">
      <c r="A95" s="122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opLeftCell="C1" zoomScale="90" zoomScaleNormal="90" workbookViewId="0">
      <selection activeCell="M17" sqref="M17"/>
    </sheetView>
  </sheetViews>
  <sheetFormatPr baseColWidth="10" defaultColWidth="11.46484375" defaultRowHeight="14.25" x14ac:dyDescent="0.45"/>
  <cols>
    <col min="1" max="1" width="22.86328125" style="1" bestFit="1" customWidth="1"/>
    <col min="2" max="2" width="10.53125" style="1" bestFit="1" customWidth="1"/>
    <col min="3" max="3" width="15.53125" style="1" bestFit="1" customWidth="1"/>
    <col min="4" max="4" width="13.46484375" style="1" bestFit="1" customWidth="1"/>
    <col min="5" max="8" width="11.46484375" style="1"/>
    <col min="9" max="13" width="11.46484375" style="62"/>
    <col min="14" max="15" width="11.46484375" style="1"/>
    <col min="16" max="17" width="13.46484375" style="1" customWidth="1"/>
    <col min="18" max="16384" width="11.46484375" style="1"/>
  </cols>
  <sheetData>
    <row r="1" spans="1:62" ht="14.65" thickBot="1" x14ac:dyDescent="0.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5.9" thickBot="1" x14ac:dyDescent="0.8">
      <c r="A2" s="272" t="s">
        <v>271</v>
      </c>
      <c r="B2" s="273"/>
      <c r="C2" s="273"/>
      <c r="D2" s="273"/>
      <c r="E2" s="273"/>
      <c r="F2" s="273"/>
      <c r="G2" s="273"/>
      <c r="H2" s="273"/>
      <c r="I2" s="273"/>
      <c r="J2" s="273"/>
      <c r="K2" s="273"/>
      <c r="L2" s="274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45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4.65" thickBot="1" x14ac:dyDescent="0.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57.4" thickBot="1" x14ac:dyDescent="0.5">
      <c r="A5" s="138" t="s">
        <v>207</v>
      </c>
      <c r="B5" s="139" t="s">
        <v>250</v>
      </c>
      <c r="C5" s="140" t="str">
        <f>Calculateur!S2</f>
        <v>ΔStock moyen de long terme (tCO₂/ha)</v>
      </c>
      <c r="D5" s="140" t="str">
        <f>Calculateur!T2</f>
        <v>Δstock CO₂ 30 ans (tCO₂/ha)</v>
      </c>
      <c r="E5" s="140" t="s">
        <v>228</v>
      </c>
      <c r="F5" s="140" t="s">
        <v>239</v>
      </c>
      <c r="G5" s="140" t="s">
        <v>240</v>
      </c>
      <c r="H5" s="141" t="s">
        <v>241</v>
      </c>
      <c r="I5" s="142" t="s">
        <v>242</v>
      </c>
      <c r="J5" s="143" t="s">
        <v>243</v>
      </c>
      <c r="K5" s="144" t="s">
        <v>244</v>
      </c>
      <c r="L5" s="84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45">
      <c r="A6" s="145" t="str">
        <f>IF('Données projet'!$B$9="","",'Données projet'!$B$9)</f>
        <v>Douglas</v>
      </c>
      <c r="B6" s="146">
        <f>'Données projet'!D9</f>
        <v>0.99360000000000015</v>
      </c>
      <c r="C6" s="147">
        <f ca="1">IF(OR('Données projet'!B9="",'Données projet'!C9="",'Données projet'!C9=0%),0,Calculateur!S3)</f>
        <v>280.69347314340195</v>
      </c>
      <c r="D6" s="147">
        <f>IF(OR('Données projet'!B9="",'Données projet'!C9="",'Données projet'!C9=0%),0,Calculateur!T3)</f>
        <v>152.40533828556482</v>
      </c>
      <c r="E6" s="147">
        <f ca="1">MIN(C6,D6)</f>
        <v>152.40533828556482</v>
      </c>
      <c r="F6" s="147">
        <f ca="1">E6*B6</f>
        <v>151.42994412053724</v>
      </c>
      <c r="G6" s="147">
        <f ca="1">F6*(100%-'Données projet'!$C$24)*(100%-'Données projet'!$C$25)*(100%-'Données projet'!$C$26)*(100%-'Données projet'!$C$27)</f>
        <v>122.65825473763518</v>
      </c>
      <c r="H6" s="148">
        <f>IF(OR('Données projet'!B9="",'Données projet'!C9="",'Données projet'!C9=0%),0,AVERAGE(Calculateur!$AC$3:$AC$33)*B6)</f>
        <v>0</v>
      </c>
      <c r="I6" s="149">
        <f>H6*(100%-'Données projet'!$C$24)*(100%-'Données projet'!$C$25)*(100%-'Données projet'!$C$26)*(100%-'Données projet'!$C$27)</f>
        <v>0</v>
      </c>
      <c r="J6" s="150">
        <f>IF(OR('Données projet'!B9="",'Données projet'!C9="",'Données projet'!C9=0%),0,SUM(Calculateur!$V$3:$V$33)*VLOOKUP('Données projet'!$B$9,Paramètres!$A$1:$I$89,9,0)*B6)</f>
        <v>0</v>
      </c>
      <c r="K6" s="151">
        <f>J6*(100%-'Données projet'!$C$24)*(100%-'Données projet'!$C$25)*(100%-'Données projet'!$C$26)*(100%-'Données projet'!$C$27)</f>
        <v>0</v>
      </c>
      <c r="L6" s="152">
        <f ca="1">G6+I6+K6</f>
        <v>122.65825473763518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45">
      <c r="A7" s="153" t="str">
        <f>IF('Données projet'!$B$10="","",'Données projet'!$B$10)</f>
        <v>Mélèze d'Europe</v>
      </c>
      <c r="B7" s="154">
        <f>'Données projet'!D10</f>
        <v>0.42320000000000002</v>
      </c>
      <c r="C7" s="147">
        <f ca="1">IF(OR('Données projet'!B10="",'Données projet'!C10="",'Données projet'!C10=0%),0,Calculateur!AN3)</f>
        <v>179.4725256147085</v>
      </c>
      <c r="D7" s="147">
        <f>IF(OR('Données projet'!B10="",'Données projet'!C10="",'Données projet'!C10=0%),0,Calculateur!AO3)</f>
        <v>282.16750121151176</v>
      </c>
      <c r="E7" s="147">
        <f t="shared" ref="E7:E15" ca="1" si="0">MIN(C7,D7)</f>
        <v>179.4725256147085</v>
      </c>
      <c r="F7" s="147">
        <f t="shared" ref="F7:F15" ca="1" si="1">E7*B7</f>
        <v>75.952772840144647</v>
      </c>
      <c r="G7" s="147">
        <f ca="1">F7*(100%-'Données projet'!$C$24)*(100%-'Données projet'!$C$25)*(100%-'Données projet'!$C$26)*(100%-'Données projet'!$C$27)</f>
        <v>61.521746000517169</v>
      </c>
      <c r="H7" s="155">
        <f>IF(OR('Données projet'!B10="",'Données projet'!C10="",'Données projet'!C10=0%),0,AVERAGE(Calculateur!$AX$3:$AX$33)*B7)</f>
        <v>3.9995541428360952</v>
      </c>
      <c r="I7" s="149">
        <f>H7*(100%-'Données projet'!$C$24)*(100%-'Données projet'!$C$25)*(100%-'Données projet'!$C$26)*(100%-'Données projet'!$C$27)</f>
        <v>3.2396388556972373</v>
      </c>
      <c r="J7" s="150">
        <f>IF(OR('Données projet'!B10="",'Données projet'!C10="",'Données projet'!C10=0%),0,SUM(Calculateur!$AQ$3:$AQ$33)*VLOOKUP('Données projet'!$B$10,Paramètres!$A$1:$I$89,9,0)*B7)</f>
        <v>23.292928</v>
      </c>
      <c r="K7" s="151">
        <f>J7*(100%-'Données projet'!$C$24)*(100%-'Données projet'!$C$25)*(100%-'Données projet'!$C$26)*(100%-'Données projet'!$C$27)</f>
        <v>18.867271679999998</v>
      </c>
      <c r="L7" s="152">
        <f t="shared" ref="L7:L15" ca="1" si="2">G7+I7+K7</f>
        <v>83.628656536214407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45">
      <c r="A8" s="153" t="str">
        <f>IF('Données projet'!$B$11="","",'Données projet'!$B$11)</f>
        <v>Hêtre</v>
      </c>
      <c r="B8" s="154">
        <f>'Données projet'!D11</f>
        <v>0.42320000000000002</v>
      </c>
      <c r="C8" s="147">
        <f ca="1">IF(OR('Données projet'!B11="",'Données projet'!C11="",'Données projet'!C11=0%),0,Calculateur!BI3)</f>
        <v>312.89478437044261</v>
      </c>
      <c r="D8" s="147">
        <f>IF(OR('Données projet'!B11="",'Données projet'!C11="",'Données projet'!C11=0%),0,Calculateur!BJ3)</f>
        <v>276.16555507854571</v>
      </c>
      <c r="E8" s="147">
        <f t="shared" ca="1" si="0"/>
        <v>276.16555507854571</v>
      </c>
      <c r="F8" s="147">
        <f t="shared" ca="1" si="1"/>
        <v>116.87326290924055</v>
      </c>
      <c r="G8" s="147">
        <f ca="1">F8*(100%-'Données projet'!$C$24)*(100%-'Données projet'!$C$25)*(100%-'Données projet'!$C$26)*(100%-'Données projet'!$C$27)</f>
        <v>94.667342956484859</v>
      </c>
      <c r="H8" s="155">
        <f>IF(OR('Données projet'!B11="",'Données projet'!C11="",'Données projet'!C11=0%),0,AVERAGE(Calculateur!$BS$3:$BS$33)*B8)</f>
        <v>0</v>
      </c>
      <c r="I8" s="149">
        <f>H8*(100%-'Données projet'!$C$24)*(100%-'Données projet'!$C$25)*(100%-'Données projet'!$C$26)*(100%-'Données projet'!$C$27)</f>
        <v>0</v>
      </c>
      <c r="J8" s="150">
        <f>IF(OR('Données projet'!B11="",'Données projet'!C11="",'Données projet'!C11=0%),0,SUM(Calculateur!$BL$3:$BL$33)*VLOOKUP('Données projet'!$B$11,Paramètres!$A$1:$I$89,9,0)*B8)</f>
        <v>0</v>
      </c>
      <c r="K8" s="151">
        <f>J8*(100%-'Données projet'!$C$24)*(100%-'Données projet'!$C$25)*(100%-'Données projet'!$C$26)*(100%-'Données projet'!$C$27)</f>
        <v>0</v>
      </c>
      <c r="L8" s="152">
        <f t="shared" ca="1" si="2"/>
        <v>94.667342956484859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45">
      <c r="A9" s="153" t="str">
        <f>IF('Données projet'!$B$12="","",'Données projet'!$B$12)</f>
        <v/>
      </c>
      <c r="B9" s="154">
        <f>'Données projet'!D12</f>
        <v>0</v>
      </c>
      <c r="C9" s="147">
        <f>IF(OR('Données projet'!B12="",'Données projet'!C12="",'Données projet'!C12=0%),0,Calculateur!CD3)</f>
        <v>0</v>
      </c>
      <c r="D9" s="147">
        <f>IF(OR('Données projet'!B12="",'Données projet'!C12="",'Données projet'!C12=0%),0,Calculateur!CE3)</f>
        <v>0</v>
      </c>
      <c r="E9" s="147">
        <f t="shared" si="0"/>
        <v>0</v>
      </c>
      <c r="F9" s="147">
        <f t="shared" si="1"/>
        <v>0</v>
      </c>
      <c r="G9" s="147">
        <f>F9*(100%-'Données projet'!$C$24)*(100%-'Données projet'!$C$25)*(100%-'Données projet'!$C$26)*(100%-'Données projet'!$C$27)</f>
        <v>0</v>
      </c>
      <c r="H9" s="155">
        <f>IF(OR('Données projet'!B12="",'Données projet'!C12="",'Données projet'!C12=0%),0,AVERAGE(Calculateur!$CN$3:$CN$33)*B9)</f>
        <v>0</v>
      </c>
      <c r="I9" s="149">
        <f>H9*(100%-'Données projet'!$C$24)*(100%-'Données projet'!$C$25)*(100%-'Données projet'!$C$26)*(100%-'Données projet'!$C$27)</f>
        <v>0</v>
      </c>
      <c r="J9" s="150">
        <f>IF(OR('Données projet'!B12="",'Données projet'!C12="",'Données projet'!C12=0%),0,SUM(Calculateur!$CG$3:$CG$33)*VLOOKUP('Données projet'!$B$12,Paramètres!$A$1:$I$89,9,0)*B9)</f>
        <v>0</v>
      </c>
      <c r="K9" s="151">
        <f>J9*(100%-'Données projet'!$C$24)*(100%-'Données projet'!$C$25)*(100%-'Données projet'!$C$26)*(100%-'Données projet'!$C$27)</f>
        <v>0</v>
      </c>
      <c r="L9" s="152">
        <f t="shared" si="2"/>
        <v>0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45">
      <c r="A10" s="153" t="str">
        <f>IF('Données projet'!$B$13="","",'Données projet'!$B$13)</f>
        <v/>
      </c>
      <c r="B10" s="154">
        <f>'Données projet'!D13</f>
        <v>0</v>
      </c>
      <c r="C10" s="147">
        <f>IF(OR('Données projet'!B13="",'Données projet'!C13="",'Données projet'!C13=0%),0,Calculateur!CY3)</f>
        <v>0</v>
      </c>
      <c r="D10" s="147">
        <f>IF(OR('Données projet'!B13="",'Données projet'!C13="",'Données projet'!C13=0%),0,Calculateur!CZ3)</f>
        <v>0</v>
      </c>
      <c r="E10" s="147">
        <f t="shared" si="0"/>
        <v>0</v>
      </c>
      <c r="F10" s="147">
        <f t="shared" si="1"/>
        <v>0</v>
      </c>
      <c r="G10" s="147">
        <f>F10*(100%-'Données projet'!$C$24)*(100%-'Données projet'!$C$25)*(100%-'Données projet'!$C$26)*(100%-'Données projet'!$C$27)</f>
        <v>0</v>
      </c>
      <c r="H10" s="155">
        <f>IF(OR('Données projet'!B13="",'Données projet'!C13="",'Données projet'!C13=0%),0,AVERAGE(Calculateur!$DI$3:$DI$33)*B10)</f>
        <v>0</v>
      </c>
      <c r="I10" s="149">
        <f>H10*(100%-'Données projet'!$C$24)*(100%-'Données projet'!$C$25)*(100%-'Données projet'!$C$26)*(100%-'Données projet'!$C$27)</f>
        <v>0</v>
      </c>
      <c r="J10" s="150">
        <f>IF(OR('Données projet'!B13="",'Données projet'!C13="",'Données projet'!C13=0%),0,SUM(Calculateur!$DB$3:$DB$33)*VLOOKUP('Données projet'!$B$13,Paramètres!$A$1:$I$89,9,0)*B10)</f>
        <v>0</v>
      </c>
      <c r="K10" s="151">
        <f>J10*(100%-'Données projet'!$C$24)*(100%-'Données projet'!$C$25)*(100%-'Données projet'!$C$26)*(100%-'Données projet'!$C$27)</f>
        <v>0</v>
      </c>
      <c r="L10" s="152">
        <f t="shared" si="2"/>
        <v>0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45">
      <c r="A11" s="153" t="str">
        <f>IF('Données projet'!$B$14="","",'Données projet'!$B$14)</f>
        <v/>
      </c>
      <c r="B11" s="154">
        <f>'Données projet'!D14</f>
        <v>0</v>
      </c>
      <c r="C11" s="147">
        <f>IF(OR('Données projet'!B14="",'Données projet'!C14="",'Données projet'!C14=0%),0,Calculateur!DT3)</f>
        <v>0</v>
      </c>
      <c r="D11" s="147">
        <f>IF(OR('Données projet'!B14="",'Données projet'!C14="",'Données projet'!C14=0%),0,Calculateur!DU3)</f>
        <v>0</v>
      </c>
      <c r="E11" s="147">
        <f t="shared" si="0"/>
        <v>0</v>
      </c>
      <c r="F11" s="147">
        <f t="shared" si="1"/>
        <v>0</v>
      </c>
      <c r="G11" s="147">
        <f>F11*(100%-'Données projet'!$C$24)*(100%-'Données projet'!$C$25)*(100%-'Données projet'!$C$26)*(100%-'Données projet'!$C$27)</f>
        <v>0</v>
      </c>
      <c r="H11" s="155">
        <f>IF(OR('Données projet'!B14="",'Données projet'!C14="",'Données projet'!C14=0%),0,AVERAGE(Calculateur!$ED$3:$ED$33)*B11)</f>
        <v>0</v>
      </c>
      <c r="I11" s="149">
        <f>H11*(100%-'Données projet'!$C$24)*(100%-'Données projet'!$C$25)*(100%-'Données projet'!$C$26)*(100%-'Données projet'!$C$27)</f>
        <v>0</v>
      </c>
      <c r="J11" s="150">
        <f>IF(OR('Données projet'!B14="",'Données projet'!C14="",'Données projet'!C14=0%),0,SUM(Calculateur!$DW$3:$DW$33)*VLOOKUP('Données projet'!$B$14,Paramètres!$A$1:$I$89,9,0)*B11)</f>
        <v>0</v>
      </c>
      <c r="K11" s="151">
        <f>J11*(100%-'Données projet'!$C$24)*(100%-'Données projet'!$C$25)*(100%-'Données projet'!$C$26)*(100%-'Données projet'!$C$27)</f>
        <v>0</v>
      </c>
      <c r="L11" s="152">
        <f t="shared" si="2"/>
        <v>0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45">
      <c r="A12" s="153" t="str">
        <f>IF('Données projet'!$B$15="","",'Données projet'!$B$15)</f>
        <v/>
      </c>
      <c r="B12" s="154">
        <f>'Données projet'!D15</f>
        <v>0</v>
      </c>
      <c r="C12" s="147">
        <f>IF(OR('Données projet'!B15="",'Données projet'!C15="",'Données projet'!C15=0%),0,Calculateur!EO3)</f>
        <v>0</v>
      </c>
      <c r="D12" s="147">
        <f>IF(OR('Données projet'!B15="",'Données projet'!C15="",'Données projet'!C15=0%),0,Calculateur!EP3)</f>
        <v>0</v>
      </c>
      <c r="E12" s="147">
        <f t="shared" si="0"/>
        <v>0</v>
      </c>
      <c r="F12" s="147">
        <f t="shared" si="1"/>
        <v>0</v>
      </c>
      <c r="G12" s="147">
        <f>F12*(100%-'Données projet'!$C$24)*(100%-'Données projet'!$C$25)*(100%-'Données projet'!$C$26)*(100%-'Données projet'!$C$27)</f>
        <v>0</v>
      </c>
      <c r="H12" s="155">
        <f>IF(OR('Données projet'!B15="",'Données projet'!C15="",'Données projet'!C15=0%),0,AVERAGE(Calculateur!$EY$3:$EY$33)*B12)</f>
        <v>0</v>
      </c>
      <c r="I12" s="149">
        <f>H12*(100%-'Données projet'!$C$24)*(100%-'Données projet'!$C$25)*(100%-'Données projet'!$C$26)*(100%-'Données projet'!$C$27)</f>
        <v>0</v>
      </c>
      <c r="J12" s="150">
        <f>IF(OR('Données projet'!B15="",'Données projet'!C15="",'Données projet'!C15=0%),0,SUM(Calculateur!$ER$3:$ER$33)*VLOOKUP('Données projet'!$B$15,Paramètres!$A$1:$I$89,9,0)*B12)</f>
        <v>0</v>
      </c>
      <c r="K12" s="151">
        <f>J12*(100%-'Données projet'!$C$24)*(100%-'Données projet'!$C$25)*(100%-'Données projet'!$C$26)*(100%-'Données projet'!$C$27)</f>
        <v>0</v>
      </c>
      <c r="L12" s="152">
        <f t="shared" si="2"/>
        <v>0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45">
      <c r="A13" s="153" t="str">
        <f>IF('Données projet'!$B$16="","",'Données projet'!$B$16)</f>
        <v/>
      </c>
      <c r="B13" s="154">
        <f>'Données projet'!D16</f>
        <v>0</v>
      </c>
      <c r="C13" s="147">
        <f>IF(OR('Données projet'!B16="",'Données projet'!C16="",'Données projet'!C16=0%),0,Calculateur!FJ3)</f>
        <v>0</v>
      </c>
      <c r="D13" s="147">
        <f>IF(OR('Données projet'!B16="",'Données projet'!C16="",'Données projet'!C16=0%),0,Calculateur!FK3)</f>
        <v>0</v>
      </c>
      <c r="E13" s="147">
        <f t="shared" si="0"/>
        <v>0</v>
      </c>
      <c r="F13" s="147">
        <f t="shared" si="1"/>
        <v>0</v>
      </c>
      <c r="G13" s="147">
        <f>F13*(100%-'Données projet'!$C$24)*(100%-'Données projet'!$C$25)*(100%-'Données projet'!$C$26)*(100%-'Données projet'!$C$27)</f>
        <v>0</v>
      </c>
      <c r="H13" s="155">
        <f>IF(OR('Données projet'!B16="",'Données projet'!C16="",'Données projet'!C16=0%),0,AVERAGE(Calculateur!$FT$3:$FT$33)*B13)</f>
        <v>0</v>
      </c>
      <c r="I13" s="149">
        <f>H13*(100%-'Données projet'!$C$24)*(100%-'Données projet'!$C$25)*(100%-'Données projet'!$C$26)*(100%-'Données projet'!$C$27)</f>
        <v>0</v>
      </c>
      <c r="J13" s="150">
        <f>IF(OR('Données projet'!C16="",'Données projet'!C16=0%),0,SUM(Calculateur!$FM$3:$FM$33)*VLOOKUP('Données projet'!$B$16,Paramètres!$A$1:$I$89,9,0)*B13)</f>
        <v>0</v>
      </c>
      <c r="K13" s="151">
        <f>J13*(100%-'Données projet'!$C$24)*(100%-'Données projet'!$C$25)*(100%-'Données projet'!$C$26)*(100%-'Données projet'!$C$27)</f>
        <v>0</v>
      </c>
      <c r="L13" s="152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45">
      <c r="A14" s="153" t="str">
        <f>IF('Données projet'!$B$17="","",'Données projet'!$B$17)</f>
        <v/>
      </c>
      <c r="B14" s="154">
        <f>'Données projet'!D17</f>
        <v>0</v>
      </c>
      <c r="C14" s="147">
        <f>IF(OR('Données projet'!B17="",'Données projet'!C17="",'Données projet'!C17=0%),0,Calculateur!GE3)</f>
        <v>0</v>
      </c>
      <c r="D14" s="147">
        <f>IF(OR('Données projet'!B17="",'Données projet'!C17="",'Données projet'!C17=0%),0,Calculateur!GF3)</f>
        <v>0</v>
      </c>
      <c r="E14" s="147">
        <f t="shared" si="0"/>
        <v>0</v>
      </c>
      <c r="F14" s="147">
        <f t="shared" si="1"/>
        <v>0</v>
      </c>
      <c r="G14" s="147">
        <f>F14*(100%-'Données projet'!$C$24)*(100%-'Données projet'!$C$25)*(100%-'Données projet'!$C$26)*(100%-'Données projet'!$C$27)</f>
        <v>0</v>
      </c>
      <c r="H14" s="155">
        <f>IF(OR('Données projet'!B17="",'Données projet'!C17="",'Données projet'!C17=0%),0,AVERAGE(Calculateur!$GO$3:$GO$33)*B14)</f>
        <v>0</v>
      </c>
      <c r="I14" s="149">
        <f>H14*(100%-'Données projet'!$C$24)*(100%-'Données projet'!$C$25)*(100%-'Données projet'!$C$26)*(100%-'Données projet'!$C$27)</f>
        <v>0</v>
      </c>
      <c r="J14" s="150">
        <f>IF(OR('Données projet'!B17="",'Données projet'!C17="",'Données projet'!C17=0%),0,SUM(Calculateur!$GH$3:$GH$33)*VLOOKUP('Données projet'!$B$17,Paramètres!$A$1:$I$89,9,0)*B14)</f>
        <v>0</v>
      </c>
      <c r="K14" s="151">
        <f>J14*(100%-'Données projet'!$C$24)*(100%-'Données projet'!$C$25)*(100%-'Données projet'!$C$26)*(100%-'Données projet'!$C$27)</f>
        <v>0</v>
      </c>
      <c r="L14" s="152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4.65" thickBot="1" x14ac:dyDescent="0.5">
      <c r="A15" s="156" t="str">
        <f>IF('Données projet'!B18="","",'Données projet'!B18)</f>
        <v/>
      </c>
      <c r="B15" s="157">
        <f>'Données projet'!D18</f>
        <v>0</v>
      </c>
      <c r="C15" s="158">
        <f>IF(OR('Données projet'!B18="",'Données projet'!C18="",'Données projet'!C18=0%),0,Calculateur!GZ3)</f>
        <v>0</v>
      </c>
      <c r="D15" s="158">
        <f>IF(OR('Données projet'!B18="",'Données projet'!C18="",'Données projet'!C18=0%),0,Calculateur!HA3)</f>
        <v>0</v>
      </c>
      <c r="E15" s="158">
        <f t="shared" si="0"/>
        <v>0</v>
      </c>
      <c r="F15" s="159">
        <f t="shared" si="1"/>
        <v>0</v>
      </c>
      <c r="G15" s="159">
        <f>F15*(100%-'Données projet'!$C$24)*(100%-'Données projet'!$C$25)*(100%-'Données projet'!$C$26)*(100%-'Données projet'!$C$27)</f>
        <v>0</v>
      </c>
      <c r="H15" s="160">
        <f>IF(OR('Données projet'!B18="",'Données projet'!C18="",'Données projet'!C18=0%),0,AVERAGE(Calculateur!$HJ$3:$HJ$33)*B15)</f>
        <v>0</v>
      </c>
      <c r="I15" s="161">
        <f>H15*(100%-'Données projet'!$C$24)*(100%-'Données projet'!$C$25)*(100%-'Données projet'!$C$26)*(100%-'Données projet'!$C$27)</f>
        <v>0</v>
      </c>
      <c r="J15" s="162">
        <f>IF(OR('Données projet'!B18="",'Données projet'!C18="",'Données projet'!C18=0%),0,SUM(Calculateur!$HC$3:$HC$33)*VLOOKUP('Données projet'!$B$18,Paramètres!$A$1:$I$89,9,0)*B15)</f>
        <v>0</v>
      </c>
      <c r="K15" s="163">
        <f>J15*(100%-'Données projet'!$C$24)*(100%-'Données projet'!$C$25)*(100%-'Données projet'!$C$26)*(100%-'Données projet'!$C$27)</f>
        <v>0</v>
      </c>
      <c r="L15" s="164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4.65" thickBot="1" x14ac:dyDescent="0.5">
      <c r="A16" s="209"/>
      <c r="B16" s="213"/>
      <c r="C16" s="214"/>
      <c r="D16" s="23"/>
      <c r="E16" s="23"/>
      <c r="F16" s="165">
        <f t="shared" ref="F16:L16" ca="1" si="3">SUM(F6:F15)</f>
        <v>344.25597986992244</v>
      </c>
      <c r="G16" s="166">
        <f t="shared" ca="1" si="3"/>
        <v>278.84734369463717</v>
      </c>
      <c r="H16" s="167">
        <f t="shared" si="3"/>
        <v>3.9995541428360952</v>
      </c>
      <c r="I16" s="167">
        <f t="shared" si="3"/>
        <v>3.2396388556972373</v>
      </c>
      <c r="J16" s="168">
        <f t="shared" si="3"/>
        <v>23.292928</v>
      </c>
      <c r="K16" s="168">
        <f t="shared" si="3"/>
        <v>18.867271679999998</v>
      </c>
      <c r="L16" s="169">
        <f t="shared" ca="1" si="3"/>
        <v>300.95425423033441</v>
      </c>
      <c r="M16" s="23">
        <f ca="1">L16/'Données projet'!C5</f>
        <v>163.56209469039914</v>
      </c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45">
      <c r="A17" s="209"/>
      <c r="B17" s="213"/>
      <c r="C17" s="214"/>
      <c r="D17" s="23"/>
      <c r="E17" s="23"/>
      <c r="F17" s="284" t="s">
        <v>246</v>
      </c>
      <c r="G17" s="285"/>
      <c r="H17" s="285"/>
      <c r="I17" s="285"/>
      <c r="J17" s="285"/>
      <c r="K17" s="285"/>
      <c r="L17" s="285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45">
      <c r="A18" s="209"/>
      <c r="B18" s="213"/>
      <c r="C18" s="214"/>
      <c r="D18" s="23"/>
      <c r="E18" s="23"/>
      <c r="F18" s="271"/>
      <c r="G18" s="271"/>
      <c r="H18" s="271"/>
      <c r="I18" s="271"/>
      <c r="J18" s="271"/>
      <c r="K18" s="271"/>
      <c r="L18" s="271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45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4.65" thickBot="1" x14ac:dyDescent="0.5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4.65" thickBot="1" x14ac:dyDescent="0.5">
      <c r="A21" s="170" t="str">
        <f>A6</f>
        <v>Douglas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45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45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45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45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45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45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45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45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45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45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45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45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45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45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45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45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4.65" thickBot="1" x14ac:dyDescent="0.5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4.65" thickBot="1" x14ac:dyDescent="0.5">
      <c r="A39" s="170" t="str">
        <f>A7</f>
        <v>Mélèze d'Europe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45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45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45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45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45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45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45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45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45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45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45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45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45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45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45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45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4.65" thickBot="1" x14ac:dyDescent="0.5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4.65" thickBot="1" x14ac:dyDescent="0.5">
      <c r="A57" s="170" t="str">
        <f>A8</f>
        <v>Hêtre</v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45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45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45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45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45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45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45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45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45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45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45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45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45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45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45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45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45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4.65" thickBot="1" x14ac:dyDescent="0.5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4.65" thickBot="1" x14ac:dyDescent="0.5">
      <c r="A76" s="170" t="str">
        <f>A9</f>
        <v/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45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45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45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45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45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45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45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45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45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45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45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45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45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45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45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45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4.65" thickBot="1" x14ac:dyDescent="0.5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4.65" thickBot="1" x14ac:dyDescent="0.5">
      <c r="A94" s="170" t="str">
        <f>A10</f>
        <v/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45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45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45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45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45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45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45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45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45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45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45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45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45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45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45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45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4.65" thickBot="1" x14ac:dyDescent="0.5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4.65" thickBot="1" x14ac:dyDescent="0.5">
      <c r="A112" s="170" t="str">
        <f>A11</f>
        <v/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45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45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45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45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45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45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45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45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45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45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45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45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45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45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45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45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4.65" thickBot="1" x14ac:dyDescent="0.5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4.65" thickBot="1" x14ac:dyDescent="0.5">
      <c r="A130" s="170" t="str">
        <f>A12</f>
        <v/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45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45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45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45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45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45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45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45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45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45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45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45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45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45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45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45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4.65" thickBot="1" x14ac:dyDescent="0.5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4.65" thickBot="1" x14ac:dyDescent="0.5">
      <c r="A148" s="170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45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45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45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45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45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45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45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45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45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45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45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45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45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45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45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45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4.65" thickBot="1" x14ac:dyDescent="0.5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4.65" thickBot="1" x14ac:dyDescent="0.5">
      <c r="A166" s="170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45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45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45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45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45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45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45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45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45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45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45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45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45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45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45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45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4.65" thickBot="1" x14ac:dyDescent="0.5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4.65" thickBot="1" x14ac:dyDescent="0.5">
      <c r="A184" s="170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45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45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45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45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45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45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45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45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45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45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45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45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45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45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45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45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45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45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4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4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4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4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4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4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4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4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4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4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4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4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4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4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4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4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4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4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4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4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4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4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4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4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4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4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4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4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4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4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4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4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4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4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4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4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4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4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4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4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4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4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4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4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4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4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4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4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4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4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4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4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4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4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4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4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4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4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4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4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4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4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4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4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4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4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4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4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4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4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4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4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4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4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4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4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4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4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4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4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4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4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4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4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4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4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4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4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4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4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4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4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4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4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4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4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4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4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4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4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4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4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4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4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4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4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4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4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4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4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4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4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4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4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4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4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4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4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4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4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4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4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4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4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4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4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4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4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4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4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4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4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4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4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4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4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4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4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4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4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4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4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4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4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4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4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4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4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4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4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4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4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4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4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45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zoomScale="80" zoomScaleNormal="80" workbookViewId="0">
      <selection activeCell="O38" sqref="O38"/>
    </sheetView>
  </sheetViews>
  <sheetFormatPr baseColWidth="10" defaultColWidth="11.46484375" defaultRowHeight="14.25" x14ac:dyDescent="0.45"/>
  <cols>
    <col min="1" max="1" width="11.46484375" style="1"/>
    <col min="2" max="2" width="30.86328125" style="1" bestFit="1" customWidth="1"/>
    <col min="3" max="3" width="18.1328125" style="1" bestFit="1" customWidth="1"/>
    <col min="4" max="5" width="11.46484375" style="1"/>
    <col min="6" max="6" width="14" style="1" customWidth="1"/>
    <col min="7" max="7" width="17.53125" style="1" customWidth="1"/>
    <col min="8" max="8" width="21.6640625" style="1" customWidth="1"/>
    <col min="9" max="9" width="37" style="1" customWidth="1"/>
    <col min="10" max="10" width="11.46484375" style="1"/>
    <col min="11" max="11" width="8.86328125" style="1" customWidth="1"/>
    <col min="12" max="12" width="11.46484375" style="1"/>
    <col min="13" max="13" width="21" style="1" customWidth="1"/>
    <col min="14" max="16" width="11.46484375" style="1"/>
    <col min="17" max="17" width="8" style="1" customWidth="1"/>
    <col min="18" max="18" width="11.46484375" style="1"/>
    <col min="19" max="19" width="31" style="1" customWidth="1"/>
    <col min="20" max="20" width="18.1328125" style="1" customWidth="1"/>
    <col min="21" max="21" width="16.46484375" style="1" customWidth="1"/>
    <col min="22" max="22" width="17.86328125" style="1" customWidth="1"/>
    <col min="23" max="16384" width="11.46484375" style="1"/>
  </cols>
  <sheetData>
    <row r="1" spans="1:42" ht="14.65" thickBot="1" x14ac:dyDescent="0.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5.9" thickBot="1" x14ac:dyDescent="0.8">
      <c r="A2" s="4"/>
      <c r="B2" s="272" t="s">
        <v>272</v>
      </c>
      <c r="C2" s="273"/>
      <c r="D2" s="273"/>
      <c r="E2" s="273"/>
      <c r="F2" s="273"/>
      <c r="G2" s="273"/>
      <c r="H2" s="273"/>
      <c r="I2" s="273"/>
      <c r="J2" s="273"/>
      <c r="K2" s="273"/>
      <c r="L2" s="273"/>
      <c r="M2" s="273"/>
      <c r="N2" s="273"/>
      <c r="O2" s="273"/>
      <c r="P2" s="27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45">
      <c r="A3" s="4"/>
      <c r="B3" s="4"/>
      <c r="C3" s="4"/>
      <c r="D3" s="4"/>
      <c r="E3" s="4"/>
      <c r="F3" s="4"/>
      <c r="G3" s="4"/>
      <c r="H3" s="171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45">
      <c r="A4" s="4"/>
      <c r="B4" s="4"/>
      <c r="C4" s="4"/>
      <c r="D4" s="4"/>
      <c r="E4" s="4"/>
      <c r="G4" s="4"/>
      <c r="H4" s="262" t="s">
        <v>315</v>
      </c>
      <c r="I4" s="262"/>
      <c r="K4" s="286" t="s">
        <v>253</v>
      </c>
      <c r="L4" s="287"/>
      <c r="M4" s="237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45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4.65" thickBot="1" x14ac:dyDescent="0.5">
      <c r="A6" s="4"/>
      <c r="B6" s="4"/>
      <c r="C6" s="4"/>
      <c r="D6" s="4"/>
      <c r="E6" s="4"/>
      <c r="F6" s="23"/>
      <c r="G6" s="4"/>
      <c r="H6" s="172"/>
      <c r="I6" s="172"/>
      <c r="J6" s="172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8">
      <c r="A7" s="242"/>
      <c r="B7" s="243"/>
      <c r="C7" s="243"/>
      <c r="D7" s="243"/>
      <c r="E7" s="244"/>
      <c r="F7" s="244" t="s">
        <v>192</v>
      </c>
      <c r="G7" s="245"/>
      <c r="H7" s="243"/>
      <c r="I7" s="243"/>
      <c r="J7" s="246"/>
      <c r="K7" s="240"/>
      <c r="L7" s="241"/>
      <c r="M7" s="241"/>
      <c r="N7" s="247" t="s">
        <v>191</v>
      </c>
      <c r="O7" s="247"/>
      <c r="P7" s="248"/>
      <c r="Q7" s="249"/>
      <c r="R7" s="296" t="s">
        <v>310</v>
      </c>
      <c r="S7" s="297"/>
      <c r="T7" s="297"/>
      <c r="U7" s="297"/>
      <c r="V7" s="298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45">
      <c r="A8" s="23"/>
      <c r="C8" s="23"/>
      <c r="D8" s="23"/>
      <c r="E8" s="23"/>
      <c r="F8" s="23"/>
      <c r="G8" s="23"/>
      <c r="H8" s="4"/>
      <c r="I8" s="4"/>
      <c r="J8" s="200"/>
      <c r="K8" s="208"/>
      <c r="L8" s="23"/>
      <c r="M8" s="23"/>
      <c r="N8" s="23"/>
      <c r="O8" s="23"/>
      <c r="P8" s="23"/>
      <c r="Q8" s="234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45">
      <c r="A9" s="93" t="s">
        <v>311</v>
      </c>
      <c r="C9" s="23"/>
      <c r="D9" s="23"/>
      <c r="E9" s="23"/>
      <c r="F9" s="230"/>
      <c r="G9" s="93" t="s">
        <v>314</v>
      </c>
      <c r="J9" s="200"/>
      <c r="K9" s="208"/>
      <c r="O9" s="23"/>
      <c r="P9" s="23"/>
      <c r="Q9" s="234"/>
      <c r="R9" s="23"/>
      <c r="S9" s="4"/>
      <c r="T9" s="36" t="s">
        <v>262</v>
      </c>
      <c r="U9" s="176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45">
      <c r="A10" s="93" t="s">
        <v>317</v>
      </c>
      <c r="C10" s="23"/>
      <c r="D10" s="23"/>
      <c r="E10" s="23"/>
      <c r="F10" s="230"/>
      <c r="G10" s="93" t="s">
        <v>316</v>
      </c>
      <c r="J10" s="200"/>
      <c r="K10" s="208"/>
      <c r="O10" s="23"/>
      <c r="P10" s="23"/>
      <c r="Q10" s="234"/>
      <c r="R10" s="23"/>
      <c r="S10" s="36" t="str">
        <f>B14</f>
        <v>Douglas</v>
      </c>
      <c r="T10" s="17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1299.5928255489603</v>
      </c>
      <c r="U10" s="178">
        <f>'Données projet'!D9</f>
        <v>0.99360000000000015</v>
      </c>
      <c r="V10" s="177">
        <f>U10*T10</f>
        <v>1291.2754314654471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45">
      <c r="A11" s="93" t="s">
        <v>312</v>
      </c>
      <c r="B11" s="23"/>
      <c r="C11" s="23"/>
      <c r="D11" s="23"/>
      <c r="E11" s="23"/>
      <c r="F11" s="230"/>
      <c r="G11" s="93" t="s">
        <v>313</v>
      </c>
      <c r="J11" s="200"/>
      <c r="K11" s="208"/>
      <c r="M11" s="4"/>
      <c r="N11" s="4"/>
      <c r="O11" s="23"/>
      <c r="P11" s="23"/>
      <c r="Q11" s="234"/>
      <c r="R11" s="23"/>
      <c r="S11" s="36" t="str">
        <f>B45</f>
        <v>Mélèze d'Europe</v>
      </c>
      <c r="T11" s="239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3575.4299161754116</v>
      </c>
      <c r="U11" s="178">
        <f>'Données projet'!D10</f>
        <v>0.42320000000000002</v>
      </c>
      <c r="V11" s="177">
        <f t="shared" ref="V11" si="0">U11*T11</f>
        <v>1513.1219405254342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45">
      <c r="B12" s="23"/>
      <c r="C12" s="23"/>
      <c r="D12" s="23"/>
      <c r="E12" s="23"/>
      <c r="F12" s="230"/>
      <c r="J12" s="200"/>
      <c r="K12" s="208"/>
      <c r="L12" s="202"/>
      <c r="M12" s="23"/>
      <c r="N12" s="23"/>
      <c r="O12" s="23"/>
      <c r="P12" s="23"/>
      <c r="Q12" s="234"/>
      <c r="R12" s="23"/>
      <c r="S12" s="36" t="str">
        <f>B76</f>
        <v>Hêtre</v>
      </c>
      <c r="T12" s="239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325.5685983483678</v>
      </c>
      <c r="U12" s="178">
        <f>'Données projet'!D11</f>
        <v>0.42320000000000002</v>
      </c>
      <c r="V12" s="177">
        <f t="shared" ref="V12:V19" si="1">U12*T12</f>
        <v>137.78063082102926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45">
      <c r="B13" s="23"/>
      <c r="C13" s="23"/>
      <c r="D13" s="23"/>
      <c r="E13" s="23"/>
      <c r="F13" s="230"/>
      <c r="J13" s="23"/>
      <c r="K13" s="208"/>
      <c r="L13" s="93" t="s">
        <v>257</v>
      </c>
      <c r="M13" s="23"/>
      <c r="N13" s="23"/>
      <c r="O13" s="23"/>
      <c r="P13" s="23"/>
      <c r="Q13" s="234"/>
      <c r="R13" s="23"/>
      <c r="S13" s="36" t="str">
        <f>B107</f>
        <v/>
      </c>
      <c r="T13" s="239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78">
        <f>'Données projet'!D12</f>
        <v>0</v>
      </c>
      <c r="V13" s="177">
        <f t="shared" si="1"/>
        <v>0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45">
      <c r="A14" s="46" t="s">
        <v>165</v>
      </c>
      <c r="B14" s="174" t="str">
        <f>IF('Données projet'!$B$9="","",'Données projet'!$B$9)</f>
        <v>Douglas</v>
      </c>
      <c r="C14" s="4"/>
      <c r="D14" s="4"/>
      <c r="E14" s="4"/>
      <c r="F14" s="230"/>
      <c r="G14" s="23"/>
      <c r="H14" s="36" t="s">
        <v>178</v>
      </c>
      <c r="I14" s="36" t="s">
        <v>290</v>
      </c>
      <c r="J14" s="201"/>
      <c r="K14" s="173"/>
      <c r="L14" s="202"/>
      <c r="M14" s="23"/>
      <c r="N14" s="23"/>
      <c r="O14" s="4"/>
      <c r="P14" s="4"/>
      <c r="Q14" s="235"/>
      <c r="R14" s="4"/>
      <c r="S14" s="36" t="str">
        <f>B138</f>
        <v/>
      </c>
      <c r="T14" s="239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78">
        <f>'Données projet'!D13</f>
        <v>0</v>
      </c>
      <c r="V14" s="177">
        <f t="shared" si="1"/>
        <v>0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45">
      <c r="A15" s="4"/>
      <c r="B15" s="4"/>
      <c r="C15" s="4"/>
      <c r="D15" s="4"/>
      <c r="E15" s="4"/>
      <c r="F15" s="230"/>
      <c r="G15" s="289" t="s">
        <v>318</v>
      </c>
      <c r="H15" s="190"/>
      <c r="I15" s="191"/>
      <c r="J15" s="202"/>
      <c r="K15" s="208"/>
      <c r="L15" s="202"/>
      <c r="M15" s="23"/>
      <c r="N15" s="23"/>
      <c r="O15" s="23"/>
      <c r="P15" s="23"/>
      <c r="Q15" s="234"/>
      <c r="R15" s="23"/>
      <c r="S15" s="36" t="str">
        <f>B169</f>
        <v/>
      </c>
      <c r="T15" s="239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78">
        <f>'Données projet'!D14</f>
        <v>0</v>
      </c>
      <c r="V15" s="177">
        <f t="shared" si="1"/>
        <v>0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45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30"/>
      <c r="G16" s="289"/>
      <c r="H16" s="190"/>
      <c r="I16" s="191"/>
      <c r="J16" s="202"/>
      <c r="K16" s="208"/>
      <c r="L16" s="286" t="s">
        <v>254</v>
      </c>
      <c r="M16" s="287"/>
      <c r="N16" s="2">
        <v>60</v>
      </c>
      <c r="O16" s="23"/>
      <c r="P16" s="23"/>
      <c r="Q16" s="234"/>
      <c r="R16" s="23"/>
      <c r="S16" s="36" t="str">
        <f>B200</f>
        <v/>
      </c>
      <c r="T16" s="239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78">
        <f>'Données projet'!D15</f>
        <v>0</v>
      </c>
      <c r="V16" s="177">
        <f t="shared" si="1"/>
        <v>0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45">
      <c r="A17" s="49">
        <v>0</v>
      </c>
      <c r="B17" s="199" t="s">
        <v>132</v>
      </c>
      <c r="C17" s="198" t="s">
        <v>132</v>
      </c>
      <c r="D17" s="197" t="s">
        <v>132</v>
      </c>
      <c r="E17" s="193"/>
      <c r="F17" s="230"/>
      <c r="G17" s="289"/>
      <c r="J17" s="202"/>
      <c r="K17" s="208"/>
      <c r="L17" s="259" t="s">
        <v>289</v>
      </c>
      <c r="M17" s="261"/>
      <c r="N17" s="175">
        <f>VLOOKUP(N16,Calculateur!$A$2:$H$153,3,0)/VLOOKUP('Scénario référence'!$G$15,Paramètres!A1:I89,3,0)/VLOOKUP('Scénario référence'!$G$15,Paramètres!A1:I89,5,0)</f>
        <v>60.000000000000057</v>
      </c>
      <c r="O17" s="23"/>
      <c r="P17" s="23"/>
      <c r="Q17" s="234"/>
      <c r="R17" s="23"/>
      <c r="S17" s="36" t="str">
        <f>B231</f>
        <v/>
      </c>
      <c r="T17" s="239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8">
        <f>'Données projet'!D16</f>
        <v>0</v>
      </c>
      <c r="V17" s="177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45">
      <c r="A18" s="49">
        <v>1</v>
      </c>
      <c r="B18" s="199" t="s">
        <v>132</v>
      </c>
      <c r="C18" s="198" t="s">
        <v>132</v>
      </c>
      <c r="D18" s="197" t="s">
        <v>132</v>
      </c>
      <c r="E18" s="193"/>
      <c r="F18" s="230"/>
      <c r="G18" s="289"/>
      <c r="J18" s="202"/>
      <c r="K18" s="208"/>
      <c r="L18" s="259" t="s">
        <v>255</v>
      </c>
      <c r="M18" s="261"/>
      <c r="N18" s="192">
        <v>12</v>
      </c>
      <c r="O18" s="23"/>
      <c r="P18" s="23"/>
      <c r="Q18" s="234"/>
      <c r="R18" s="23"/>
      <c r="S18" s="36" t="str">
        <f>B262</f>
        <v/>
      </c>
      <c r="T18" s="239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8">
        <f>'Données projet'!D17</f>
        <v>0</v>
      </c>
      <c r="V18" s="177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45">
      <c r="A19" s="49">
        <v>2</v>
      </c>
      <c r="B19" s="199" t="s">
        <v>132</v>
      </c>
      <c r="C19" s="198" t="s">
        <v>132</v>
      </c>
      <c r="D19" s="197" t="s">
        <v>132</v>
      </c>
      <c r="E19" s="193"/>
      <c r="F19" s="230"/>
      <c r="G19" s="289"/>
      <c r="H19" s="212" t="s">
        <v>178</v>
      </c>
      <c r="I19" s="212" t="s">
        <v>287</v>
      </c>
      <c r="J19" s="93"/>
      <c r="K19" s="173"/>
      <c r="L19" s="286" t="s">
        <v>288</v>
      </c>
      <c r="M19" s="287"/>
      <c r="N19" s="179">
        <f>N17*N18</f>
        <v>720.00000000000068</v>
      </c>
      <c r="O19" s="23"/>
      <c r="P19" s="4"/>
      <c r="Q19" s="235"/>
      <c r="R19" s="4"/>
      <c r="S19" s="36" t="str">
        <f>B293</f>
        <v/>
      </c>
      <c r="T19" s="239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8">
        <f>'Données projet'!D18</f>
        <v>0</v>
      </c>
      <c r="V19" s="177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45">
      <c r="A20" s="49">
        <v>3</v>
      </c>
      <c r="B20" s="199" t="s">
        <v>132</v>
      </c>
      <c r="C20" s="198" t="s">
        <v>132</v>
      </c>
      <c r="D20" s="197" t="s">
        <v>132</v>
      </c>
      <c r="E20" s="193"/>
      <c r="F20" s="230"/>
      <c r="G20" s="289"/>
      <c r="H20" s="190">
        <v>1</v>
      </c>
      <c r="I20" s="191">
        <v>3980</v>
      </c>
      <c r="J20" s="4"/>
      <c r="K20" s="173"/>
      <c r="O20" s="23"/>
      <c r="P20" s="4"/>
      <c r="Q20" s="235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45">
      <c r="A21" s="49">
        <v>4</v>
      </c>
      <c r="B21" s="199" t="s">
        <v>132</v>
      </c>
      <c r="C21" s="198" t="s">
        <v>132</v>
      </c>
      <c r="D21" s="197" t="s">
        <v>132</v>
      </c>
      <c r="E21" s="193"/>
      <c r="F21" s="230"/>
      <c r="H21" s="190">
        <v>2</v>
      </c>
      <c r="I21" s="191">
        <v>800</v>
      </c>
      <c r="K21" s="173"/>
      <c r="O21" s="23"/>
      <c r="P21" s="4"/>
      <c r="Q21" s="235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45">
      <c r="A22" s="49">
        <v>5</v>
      </c>
      <c r="B22" s="199" t="s">
        <v>132</v>
      </c>
      <c r="C22" s="198" t="s">
        <v>132</v>
      </c>
      <c r="D22" s="197" t="s">
        <v>132</v>
      </c>
      <c r="E22" s="193"/>
      <c r="F22" s="230"/>
      <c r="H22" s="190">
        <v>3</v>
      </c>
      <c r="I22" s="191">
        <v>600</v>
      </c>
      <c r="K22" s="173"/>
      <c r="O22" s="23"/>
      <c r="P22" s="4"/>
      <c r="Q22" s="235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45">
      <c r="A23" s="180">
        <f>'Données projet'!A36</f>
        <v>34</v>
      </c>
      <c r="B23" s="181">
        <f>'Données projet'!D36</f>
        <v>94.509999999999991</v>
      </c>
      <c r="C23" s="193">
        <v>12.796874999999998</v>
      </c>
      <c r="D23" s="182">
        <f>B23*C23</f>
        <v>1209.4326562499998</v>
      </c>
      <c r="E23" s="193">
        <v>60</v>
      </c>
      <c r="F23" s="230"/>
      <c r="H23" s="190">
        <v>5</v>
      </c>
      <c r="I23" s="191">
        <v>600</v>
      </c>
      <c r="K23" s="208"/>
      <c r="L23" s="288" t="s">
        <v>260</v>
      </c>
      <c r="M23" s="288"/>
      <c r="N23" s="288"/>
      <c r="O23" s="23"/>
      <c r="P23" s="23"/>
      <c r="Q23" s="234"/>
      <c r="R23" s="23"/>
      <c r="S23" s="36" t="s">
        <v>264</v>
      </c>
      <c r="T23" s="301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-7266.9607815750442</v>
      </c>
      <c r="U23" s="301"/>
      <c r="V23" s="301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45">
      <c r="A24" s="180">
        <f>'Données projet'!A37</f>
        <v>43</v>
      </c>
      <c r="B24" s="181">
        <f>'Données projet'!D37</f>
        <v>72.429999999999978</v>
      </c>
      <c r="C24" s="193">
        <v>12.796874999999998</v>
      </c>
      <c r="D24" s="182">
        <f t="shared" ref="D24:D42" si="2">B24*C24</f>
        <v>926.87765624999963</v>
      </c>
      <c r="E24" s="193">
        <v>60</v>
      </c>
      <c r="F24" s="233"/>
      <c r="H24" s="190"/>
      <c r="I24" s="191"/>
      <c r="K24" s="208"/>
      <c r="O24" s="23"/>
      <c r="P24" s="23"/>
      <c r="Q24" s="234"/>
      <c r="R24" s="23"/>
      <c r="S24" s="36" t="s">
        <v>261</v>
      </c>
      <c r="T24" s="302">
        <f ca="1">'Scénario référence'!$B$8*$M$30*'Données projet'!$C$5+('Scénario référence'!B9+'Scénario référence'!B10+'Scénario référence'!F8+'Scénario référence'!F9)*$N$19/(1+M4)^N16*'Données projet'!$C$5</f>
        <v>94.443678170324247</v>
      </c>
      <c r="U24" s="302"/>
      <c r="V24" s="302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45">
      <c r="A25" s="180">
        <f>'Données projet'!A38</f>
        <v>52</v>
      </c>
      <c r="B25" s="181">
        <f>'Données projet'!D38</f>
        <v>61.259999999999991</v>
      </c>
      <c r="C25" s="193">
        <v>48.555</v>
      </c>
      <c r="D25" s="182">
        <f t="shared" si="2"/>
        <v>2974.4792999999995</v>
      </c>
      <c r="E25" s="193">
        <v>60</v>
      </c>
      <c r="F25" s="233"/>
      <c r="H25" s="190"/>
      <c r="I25" s="191"/>
      <c r="K25" s="208"/>
      <c r="L25" s="130" t="s">
        <v>285</v>
      </c>
      <c r="M25" s="130"/>
      <c r="N25" s="130"/>
      <c r="O25" s="130"/>
      <c r="P25" s="192"/>
      <c r="Q25" s="234"/>
      <c r="R25" s="23"/>
      <c r="S25" s="186" t="s">
        <v>266</v>
      </c>
      <c r="T25" s="303">
        <f ca="1">T23-T24</f>
        <v>-7361.4044597453685</v>
      </c>
      <c r="U25" s="303"/>
      <c r="V25" s="303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45">
      <c r="A26" s="180">
        <f>'Données projet'!A39</f>
        <v>62</v>
      </c>
      <c r="B26" s="181">
        <f>'Données projet'!D39</f>
        <v>66.019999999999982</v>
      </c>
      <c r="C26" s="193">
        <v>48.555</v>
      </c>
      <c r="D26" s="182">
        <f t="shared" si="2"/>
        <v>3205.601099999999</v>
      </c>
      <c r="E26" s="193">
        <v>60</v>
      </c>
      <c r="F26" s="233"/>
      <c r="G26" s="229"/>
      <c r="H26" s="190"/>
      <c r="I26" s="191"/>
      <c r="K26" s="208"/>
      <c r="L26" s="290" t="s">
        <v>258</v>
      </c>
      <c r="M26" s="291"/>
      <c r="N26" s="291"/>
      <c r="O26" s="291"/>
      <c r="P26" s="292"/>
      <c r="Q26" s="234"/>
      <c r="R26" s="23"/>
      <c r="S26" s="186" t="s">
        <v>265</v>
      </c>
      <c r="T26" s="300" t="str">
        <f ca="1">IF(T25&lt;0,"Votre projet est additionnel","Votre projet n'est pas additionnel")</f>
        <v>Votre projet est additionnel</v>
      </c>
      <c r="U26" s="300"/>
      <c r="V26" s="300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45">
      <c r="A27" s="180">
        <f>'Données projet'!A40</f>
        <v>72</v>
      </c>
      <c r="B27" s="181">
        <f>'Données projet'!D40</f>
        <v>64.210000000000036</v>
      </c>
      <c r="C27" s="193">
        <v>48.555</v>
      </c>
      <c r="D27" s="182">
        <f t="shared" si="2"/>
        <v>3117.7165500000019</v>
      </c>
      <c r="E27" s="193">
        <v>60</v>
      </c>
      <c r="F27" s="233"/>
      <c r="G27" s="229"/>
      <c r="H27" s="190"/>
      <c r="I27" s="191"/>
      <c r="K27" s="208"/>
      <c r="L27" s="293"/>
      <c r="M27" s="294"/>
      <c r="N27" s="294"/>
      <c r="O27" s="294"/>
      <c r="P27" s="295"/>
      <c r="Q27" s="234"/>
      <c r="R27" s="23"/>
      <c r="S27" s="299" t="s">
        <v>267</v>
      </c>
      <c r="T27" s="299"/>
      <c r="U27" s="299"/>
      <c r="V27" s="299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45">
      <c r="A28" s="180">
        <f>'Données projet'!A41</f>
        <v>84</v>
      </c>
      <c r="B28" s="181">
        <f>'Données projet'!D41</f>
        <v>70.220000000000027</v>
      </c>
      <c r="C28" s="193">
        <v>48.555</v>
      </c>
      <c r="D28" s="182">
        <f t="shared" si="2"/>
        <v>3409.5321000000013</v>
      </c>
      <c r="E28" s="193">
        <v>60</v>
      </c>
      <c r="F28" s="233"/>
      <c r="G28" s="205"/>
      <c r="H28" s="190"/>
      <c r="I28" s="191"/>
      <c r="K28" s="208"/>
      <c r="Q28" s="234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45">
      <c r="A29" s="180">
        <f>'Données projet'!A42</f>
        <v>96</v>
      </c>
      <c r="B29" s="181">
        <f>'Données projet'!D42</f>
        <v>74.37</v>
      </c>
      <c r="C29" s="193">
        <v>48.555</v>
      </c>
      <c r="D29" s="182">
        <f t="shared" si="2"/>
        <v>3611.0353500000001</v>
      </c>
      <c r="E29" s="193">
        <v>60</v>
      </c>
      <c r="F29" s="233"/>
      <c r="G29" s="203"/>
      <c r="H29" s="190"/>
      <c r="I29" s="191"/>
      <c r="K29" s="208"/>
      <c r="O29" s="23"/>
      <c r="P29" s="23"/>
      <c r="Q29" s="234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45">
      <c r="A30" s="180">
        <f>'Données projet'!A43</f>
        <v>108</v>
      </c>
      <c r="B30" s="181">
        <f>'Données projet'!D43</f>
        <v>65.25</v>
      </c>
      <c r="C30" s="193">
        <v>48.555</v>
      </c>
      <c r="D30" s="182">
        <f t="shared" si="2"/>
        <v>3168.2137499999999</v>
      </c>
      <c r="E30" s="193">
        <v>60</v>
      </c>
      <c r="F30" s="233"/>
      <c r="G30" s="203"/>
      <c r="H30" s="190"/>
      <c r="I30" s="191"/>
      <c r="K30" s="183"/>
      <c r="L30" s="36" t="s">
        <v>259</v>
      </c>
      <c r="M30" s="184">
        <f ca="1">SUM(OFFSET($P$33,0,0,MIN('Données projet'!$E$9:$E$18)+1,1))</f>
        <v>0</v>
      </c>
      <c r="O30" s="4"/>
      <c r="P30" s="4"/>
      <c r="Q30" s="235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45">
      <c r="A31" s="180">
        <f>'Données projet'!A44</f>
        <v>120</v>
      </c>
      <c r="B31" s="181">
        <f>'Données projet'!D44</f>
        <v>489.81</v>
      </c>
      <c r="C31" s="193">
        <v>48.555</v>
      </c>
      <c r="D31" s="182">
        <f t="shared" si="2"/>
        <v>23782.724549999999</v>
      </c>
      <c r="E31" s="193">
        <v>60</v>
      </c>
      <c r="F31" s="233"/>
      <c r="G31" s="203"/>
      <c r="H31" s="190"/>
      <c r="I31" s="191"/>
      <c r="K31" s="173"/>
      <c r="Q31" s="234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45">
      <c r="A32" s="180">
        <f>'Données projet'!A45</f>
        <v>0</v>
      </c>
      <c r="B32" s="181">
        <f>'Données projet'!D45</f>
        <v>0</v>
      </c>
      <c r="C32" s="193"/>
      <c r="D32" s="182">
        <f t="shared" si="2"/>
        <v>0</v>
      </c>
      <c r="E32" s="193"/>
      <c r="F32" s="233"/>
      <c r="G32" s="203"/>
      <c r="H32" s="190"/>
      <c r="I32" s="191"/>
      <c r="K32" s="173"/>
      <c r="N32" s="4"/>
      <c r="O32" s="85" t="s">
        <v>178</v>
      </c>
      <c r="P32" s="85" t="s">
        <v>252</v>
      </c>
      <c r="Q32" s="234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45">
      <c r="A33" s="180">
        <f>'Données projet'!A46</f>
        <v>0</v>
      </c>
      <c r="B33" s="181">
        <f>'Données projet'!D46</f>
        <v>0</v>
      </c>
      <c r="C33" s="193"/>
      <c r="D33" s="182">
        <f t="shared" si="2"/>
        <v>0</v>
      </c>
      <c r="E33" s="193"/>
      <c r="F33" s="233"/>
      <c r="G33" s="203"/>
      <c r="H33" s="190"/>
      <c r="I33" s="191"/>
      <c r="K33" s="173"/>
      <c r="L33" s="4"/>
      <c r="M33" s="4"/>
      <c r="N33" s="4"/>
      <c r="O33" s="194">
        <v>0</v>
      </c>
      <c r="P33" s="185">
        <f t="shared" ref="P33:P64" si="3">$P$25/(1+$M$4)^O33</f>
        <v>0</v>
      </c>
      <c r="Q33" s="234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45">
      <c r="A34" s="180">
        <f>'Données projet'!A47</f>
        <v>0</v>
      </c>
      <c r="B34" s="181">
        <f>'Données projet'!D47</f>
        <v>0</v>
      </c>
      <c r="C34" s="193"/>
      <c r="D34" s="182">
        <f t="shared" si="2"/>
        <v>0</v>
      </c>
      <c r="E34" s="193"/>
      <c r="F34" s="233"/>
      <c r="G34" s="203"/>
      <c r="H34" s="190"/>
      <c r="I34" s="191"/>
      <c r="K34" s="173"/>
      <c r="L34" s="98"/>
      <c r="M34" s="98"/>
      <c r="N34" s="250"/>
      <c r="O34" s="194">
        <f>IF(O33+1&lt;=MIN('Données projet'!$E$9:$E$18),O33+1,"STOP")</f>
        <v>1</v>
      </c>
      <c r="P34" s="185">
        <f t="shared" si="3"/>
        <v>0</v>
      </c>
      <c r="Q34" s="234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45">
      <c r="A35" s="180">
        <f>'Données projet'!A48</f>
        <v>0</v>
      </c>
      <c r="B35" s="181">
        <f>'Données projet'!D48</f>
        <v>0</v>
      </c>
      <c r="C35" s="193"/>
      <c r="D35" s="182">
        <f t="shared" si="2"/>
        <v>0</v>
      </c>
      <c r="E35" s="193"/>
      <c r="F35" s="233"/>
      <c r="G35" s="203"/>
      <c r="H35" s="190"/>
      <c r="I35" s="191"/>
      <c r="K35" s="173"/>
      <c r="L35" s="98"/>
      <c r="M35" s="98"/>
      <c r="N35" s="250"/>
      <c r="O35" s="194">
        <f>IF(O34+1&lt;=MIN('Données projet'!$E$9:$E$18),O34+1,"STOP")</f>
        <v>2</v>
      </c>
      <c r="P35" s="185">
        <f t="shared" si="3"/>
        <v>0</v>
      </c>
      <c r="Q35" s="234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45">
      <c r="A36" s="180">
        <f>'Données projet'!A49</f>
        <v>0</v>
      </c>
      <c r="B36" s="181">
        <f>'Données projet'!D49</f>
        <v>0</v>
      </c>
      <c r="C36" s="193"/>
      <c r="D36" s="182">
        <f t="shared" si="2"/>
        <v>0</v>
      </c>
      <c r="E36" s="193"/>
      <c r="F36" s="233"/>
      <c r="G36" s="203"/>
      <c r="H36" s="190"/>
      <c r="I36" s="191"/>
      <c r="K36" s="173"/>
      <c r="L36" s="23"/>
      <c r="M36" s="23"/>
      <c r="N36" s="23"/>
      <c r="O36" s="194">
        <f>IF(O35+1&lt;=MIN('Données projet'!$E$9:$E$18),O35+1,"STOP")</f>
        <v>3</v>
      </c>
      <c r="P36" s="185">
        <f t="shared" si="3"/>
        <v>0</v>
      </c>
      <c r="Q36" s="234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45">
      <c r="A37" s="180">
        <f>'Données projet'!A50</f>
        <v>0</v>
      </c>
      <c r="B37" s="181">
        <f>'Données projet'!D50</f>
        <v>0</v>
      </c>
      <c r="C37" s="193"/>
      <c r="D37" s="182">
        <f t="shared" si="2"/>
        <v>0</v>
      </c>
      <c r="E37" s="193"/>
      <c r="F37" s="233"/>
      <c r="G37" s="203"/>
      <c r="H37" s="190"/>
      <c r="I37" s="191"/>
      <c r="K37" s="173"/>
      <c r="L37" s="23"/>
      <c r="M37" s="23"/>
      <c r="N37" s="23"/>
      <c r="O37" s="194">
        <f>IF(O36+1&lt;=MIN('Données projet'!$E$9:$E$18),O36+1,"STOP")</f>
        <v>4</v>
      </c>
      <c r="P37" s="185">
        <f t="shared" si="3"/>
        <v>0</v>
      </c>
      <c r="Q37" s="234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45">
      <c r="A38" s="180">
        <f>'Données projet'!A51</f>
        <v>0</v>
      </c>
      <c r="B38" s="181">
        <f>'Données projet'!D51</f>
        <v>0</v>
      </c>
      <c r="C38" s="193"/>
      <c r="D38" s="182">
        <f t="shared" si="2"/>
        <v>0</v>
      </c>
      <c r="E38" s="193"/>
      <c r="F38" s="233"/>
      <c r="G38" s="203"/>
      <c r="H38" s="190"/>
      <c r="I38" s="191"/>
      <c r="K38" s="173"/>
      <c r="L38" s="23"/>
      <c r="M38" s="23"/>
      <c r="N38" s="23"/>
      <c r="O38" s="194">
        <f>IF(O37+1&lt;=MIN('Données projet'!$E$9:$E$18),O37+1,"STOP")</f>
        <v>5</v>
      </c>
      <c r="P38" s="185">
        <f t="shared" si="3"/>
        <v>0</v>
      </c>
      <c r="Q38" s="234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45">
      <c r="A39" s="180">
        <f>'Données projet'!A52</f>
        <v>0</v>
      </c>
      <c r="B39" s="181">
        <f>'Données projet'!D52</f>
        <v>0</v>
      </c>
      <c r="C39" s="193"/>
      <c r="D39" s="182">
        <f t="shared" si="2"/>
        <v>0</v>
      </c>
      <c r="E39" s="193"/>
      <c r="F39" s="233"/>
      <c r="G39" s="203"/>
      <c r="H39" s="190"/>
      <c r="I39" s="191"/>
      <c r="K39" s="208"/>
      <c r="L39" s="23"/>
      <c r="M39" s="23"/>
      <c r="N39" s="23"/>
      <c r="O39" s="194">
        <f>IF(O38+1&lt;=MIN('Données projet'!$E$9:$E$18),O38+1,"STOP")</f>
        <v>6</v>
      </c>
      <c r="P39" s="185">
        <f t="shared" si="3"/>
        <v>0</v>
      </c>
      <c r="Q39" s="234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45">
      <c r="A40" s="180">
        <f>'Données projet'!A53</f>
        <v>0</v>
      </c>
      <c r="B40" s="181">
        <f>'Données projet'!D53</f>
        <v>0</v>
      </c>
      <c r="C40" s="193"/>
      <c r="D40" s="182">
        <f t="shared" si="2"/>
        <v>0</v>
      </c>
      <c r="E40" s="193"/>
      <c r="F40" s="233"/>
      <c r="G40" s="203"/>
      <c r="H40" s="190"/>
      <c r="I40" s="191"/>
      <c r="K40" s="208"/>
      <c r="L40" s="23"/>
      <c r="M40" s="23"/>
      <c r="N40" s="23"/>
      <c r="O40" s="194">
        <f>IF(O39+1&lt;=MIN('Données projet'!$E$9:$E$18),O39+1,"STOP")</f>
        <v>7</v>
      </c>
      <c r="P40" s="185">
        <f t="shared" si="3"/>
        <v>0</v>
      </c>
      <c r="Q40" s="234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45">
      <c r="A41" s="180">
        <f>'Données projet'!A54</f>
        <v>0</v>
      </c>
      <c r="B41" s="181">
        <f>'Données projet'!D54</f>
        <v>0</v>
      </c>
      <c r="C41" s="193"/>
      <c r="D41" s="182">
        <f t="shared" si="2"/>
        <v>0</v>
      </c>
      <c r="E41" s="193"/>
      <c r="F41" s="233"/>
      <c r="G41" s="203"/>
      <c r="H41" s="190"/>
      <c r="I41" s="191"/>
      <c r="K41" s="208"/>
      <c r="L41" s="23"/>
      <c r="M41" s="23"/>
      <c r="N41" s="23"/>
      <c r="O41" s="194">
        <f>IF(O40+1&lt;=MIN('Données projet'!$E$9:$E$18),O40+1,"STOP")</f>
        <v>8</v>
      </c>
      <c r="P41" s="185">
        <f t="shared" si="3"/>
        <v>0</v>
      </c>
      <c r="Q41" s="234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45">
      <c r="A42" s="180">
        <f>'Données projet'!A55</f>
        <v>0</v>
      </c>
      <c r="B42" s="181">
        <f>'Données projet'!D55</f>
        <v>0</v>
      </c>
      <c r="C42" s="193"/>
      <c r="D42" s="182">
        <f t="shared" si="2"/>
        <v>0</v>
      </c>
      <c r="E42" s="193"/>
      <c r="F42" s="233"/>
      <c r="G42" s="203"/>
      <c r="H42" s="190"/>
      <c r="I42" s="191"/>
      <c r="K42" s="208"/>
      <c r="L42" s="23"/>
      <c r="M42" s="23"/>
      <c r="N42" s="23"/>
      <c r="O42" s="194">
        <f>IF(O41+1&lt;=MIN('Données projet'!$E$9:$E$18),O41+1,"STOP")</f>
        <v>9</v>
      </c>
      <c r="P42" s="185">
        <f t="shared" si="3"/>
        <v>0</v>
      </c>
      <c r="Q42" s="234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45">
      <c r="A43" s="187"/>
      <c r="B43" s="187"/>
      <c r="C43" s="187"/>
      <c r="D43" s="227"/>
      <c r="E43" s="227"/>
      <c r="F43" s="238"/>
      <c r="G43" s="203"/>
      <c r="H43" s="190"/>
      <c r="I43" s="191"/>
      <c r="K43" s="208"/>
      <c r="L43" s="23"/>
      <c r="M43" s="23"/>
      <c r="N43" s="23"/>
      <c r="O43" s="194">
        <f>IF(O42+1&lt;=MIN('Données projet'!$E$9:$E$18),O42+1,"STOP")</f>
        <v>10</v>
      </c>
      <c r="P43" s="185">
        <f t="shared" si="3"/>
        <v>0</v>
      </c>
      <c r="Q43" s="235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45">
      <c r="A44" s="4"/>
      <c r="B44" s="4"/>
      <c r="C44" s="4"/>
      <c r="D44" s="4"/>
      <c r="E44" s="4"/>
      <c r="F44" s="230"/>
      <c r="G44" s="203"/>
      <c r="H44" s="190"/>
      <c r="I44" s="191"/>
      <c r="K44" s="208"/>
      <c r="L44" s="23"/>
      <c r="M44" s="23"/>
      <c r="N44" s="23"/>
      <c r="O44" s="194">
        <f>IF(O43+1&lt;=MIN('Données projet'!$E$9:$E$18),O43+1,"STOP")</f>
        <v>11</v>
      </c>
      <c r="P44" s="185">
        <f t="shared" si="3"/>
        <v>0</v>
      </c>
      <c r="Q44" s="235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45">
      <c r="A45" s="46" t="s">
        <v>166</v>
      </c>
      <c r="B45" s="174" t="str">
        <f>IF('Données projet'!$B$10="","",'Données projet'!$B$10)</f>
        <v>Mélèze d'Europe</v>
      </c>
      <c r="C45" s="4"/>
      <c r="D45" s="4"/>
      <c r="E45" s="4"/>
      <c r="F45" s="230"/>
      <c r="G45" s="203"/>
      <c r="H45" s="190"/>
      <c r="I45" s="191"/>
      <c r="J45" s="23"/>
      <c r="K45" s="208"/>
      <c r="L45" s="23"/>
      <c r="M45" s="23"/>
      <c r="N45" s="23"/>
      <c r="O45" s="194">
        <f>IF(O44+1&lt;=MIN('Données projet'!$E$9:$E$18),O44+1,"STOP")</f>
        <v>12</v>
      </c>
      <c r="P45" s="185">
        <f t="shared" si="3"/>
        <v>0</v>
      </c>
      <c r="Q45" s="235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45">
      <c r="A46" s="4"/>
      <c r="B46" s="4"/>
      <c r="C46" s="4"/>
      <c r="D46" s="4"/>
      <c r="E46" s="4"/>
      <c r="F46" s="230"/>
      <c r="G46" s="203"/>
      <c r="H46" s="190"/>
      <c r="I46" s="191"/>
      <c r="J46" s="23"/>
      <c r="K46" s="208"/>
      <c r="L46" s="204"/>
      <c r="M46" s="204"/>
      <c r="N46" s="204"/>
      <c r="O46" s="194">
        <f>IF(O45+1&lt;=MIN('Données projet'!$E$9:$E$18),O45+1,"STOP")</f>
        <v>13</v>
      </c>
      <c r="P46" s="188">
        <f t="shared" si="3"/>
        <v>0</v>
      </c>
      <c r="Q46" s="235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45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31"/>
      <c r="G47" s="203"/>
      <c r="H47" s="190"/>
      <c r="I47" s="191"/>
      <c r="J47" s="23"/>
      <c r="K47" s="208"/>
      <c r="L47" s="4"/>
      <c r="M47" s="4"/>
      <c r="N47" s="4"/>
      <c r="O47" s="194">
        <f>IF(O46+1&lt;=MIN('Données projet'!$E$9:$E$18),O46+1,"STOP")</f>
        <v>14</v>
      </c>
      <c r="P47" s="185">
        <f t="shared" si="3"/>
        <v>0</v>
      </c>
      <c r="Q47" s="235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45">
      <c r="A48" s="49">
        <v>0</v>
      </c>
      <c r="B48" s="199" t="s">
        <v>132</v>
      </c>
      <c r="C48" s="198" t="s">
        <v>132</v>
      </c>
      <c r="D48" s="197" t="s">
        <v>132</v>
      </c>
      <c r="E48" s="193"/>
      <c r="F48" s="231"/>
      <c r="G48" s="203"/>
      <c r="H48" s="190"/>
      <c r="I48" s="191"/>
      <c r="J48" s="23"/>
      <c r="K48" s="208"/>
      <c r="L48" s="4"/>
      <c r="M48" s="4"/>
      <c r="N48" s="4"/>
      <c r="O48" s="194">
        <f>IF(O47+1&lt;=MIN('Données projet'!$E$9:$E$18),O47+1,"STOP")</f>
        <v>15</v>
      </c>
      <c r="P48" s="185">
        <f t="shared" si="3"/>
        <v>0</v>
      </c>
      <c r="Q48" s="235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5" customFormat="1" ht="17.25" customHeight="1" x14ac:dyDescent="0.45">
      <c r="A49" s="49">
        <v>1</v>
      </c>
      <c r="B49" s="199" t="s">
        <v>132</v>
      </c>
      <c r="C49" s="198" t="s">
        <v>132</v>
      </c>
      <c r="D49" s="197" t="s">
        <v>132</v>
      </c>
      <c r="E49" s="193"/>
      <c r="F49" s="231"/>
      <c r="G49" s="204"/>
      <c r="H49" s="190"/>
      <c r="I49" s="191"/>
      <c r="J49" s="204"/>
      <c r="K49" s="210"/>
      <c r="L49" s="4"/>
      <c r="M49" s="4"/>
      <c r="N49" s="4"/>
      <c r="O49" s="194">
        <f>IF(O48+1&lt;=MIN('Données projet'!$E$9:$E$18),O48+1,"STOP")</f>
        <v>16</v>
      </c>
      <c r="P49" s="185">
        <f t="shared" si="3"/>
        <v>0</v>
      </c>
      <c r="Q49" s="236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87"/>
      <c r="AT49" s="187"/>
      <c r="AU49" s="187"/>
      <c r="AV49" s="187"/>
      <c r="AW49" s="187"/>
      <c r="AX49" s="187"/>
      <c r="AY49" s="187"/>
      <c r="AZ49" s="187"/>
      <c r="BA49" s="187"/>
      <c r="BB49" s="187"/>
      <c r="BC49" s="187"/>
      <c r="BD49" s="187"/>
    </row>
    <row r="50" spans="1:56" x14ac:dyDescent="0.45">
      <c r="A50" s="49">
        <v>2</v>
      </c>
      <c r="B50" s="199" t="s">
        <v>132</v>
      </c>
      <c r="C50" s="198" t="s">
        <v>132</v>
      </c>
      <c r="D50" s="197" t="s">
        <v>132</v>
      </c>
      <c r="E50" s="193"/>
      <c r="F50" s="231"/>
      <c r="G50" s="23"/>
      <c r="H50" s="190"/>
      <c r="I50" s="191"/>
      <c r="J50" s="23"/>
      <c r="K50" s="173"/>
      <c r="L50" s="4"/>
      <c r="M50" s="4"/>
      <c r="N50" s="4"/>
      <c r="O50" s="194">
        <f>IF(O49+1&lt;=MIN('Données projet'!$E$9:$E$18),O49+1,"STOP")</f>
        <v>17</v>
      </c>
      <c r="P50" s="185">
        <f t="shared" si="3"/>
        <v>0</v>
      </c>
      <c r="Q50" s="235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45">
      <c r="A51" s="49">
        <v>3</v>
      </c>
      <c r="B51" s="199" t="s">
        <v>132</v>
      </c>
      <c r="C51" s="198" t="s">
        <v>132</v>
      </c>
      <c r="D51" s="197" t="s">
        <v>132</v>
      </c>
      <c r="E51" s="193"/>
      <c r="F51" s="231"/>
      <c r="G51" s="23"/>
      <c r="H51" s="190"/>
      <c r="I51" s="191"/>
      <c r="J51" s="23"/>
      <c r="K51" s="173"/>
      <c r="L51" s="4"/>
      <c r="M51" s="4"/>
      <c r="N51" s="4"/>
      <c r="O51" s="194">
        <f>IF(O50+1&lt;=MIN('Données projet'!$E$9:$E$18),O50+1,"STOP")</f>
        <v>18</v>
      </c>
      <c r="P51" s="185">
        <f t="shared" si="3"/>
        <v>0</v>
      </c>
      <c r="Q51" s="235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45">
      <c r="A52" s="49">
        <v>4</v>
      </c>
      <c r="B52" s="199" t="s">
        <v>132</v>
      </c>
      <c r="C52" s="198" t="s">
        <v>132</v>
      </c>
      <c r="D52" s="197" t="s">
        <v>132</v>
      </c>
      <c r="E52" s="193"/>
      <c r="F52" s="231"/>
      <c r="G52" s="23"/>
      <c r="H52" s="190"/>
      <c r="I52" s="191"/>
      <c r="J52" s="23"/>
      <c r="K52" s="173"/>
      <c r="L52" s="4"/>
      <c r="M52" s="4"/>
      <c r="N52" s="4"/>
      <c r="O52" s="194">
        <f>IF(O51+1&lt;=MIN('Données projet'!$E$9:$E$18),O51+1,"STOP")</f>
        <v>19</v>
      </c>
      <c r="P52" s="185">
        <f t="shared" si="3"/>
        <v>0</v>
      </c>
      <c r="Q52" s="235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45">
      <c r="A53" s="49">
        <v>5</v>
      </c>
      <c r="B53" s="199" t="s">
        <v>132</v>
      </c>
      <c r="C53" s="198" t="s">
        <v>132</v>
      </c>
      <c r="D53" s="197" t="s">
        <v>132</v>
      </c>
      <c r="E53" s="193"/>
      <c r="F53" s="231"/>
      <c r="G53" s="205"/>
      <c r="H53" s="190"/>
      <c r="I53" s="191"/>
      <c r="J53" s="23"/>
      <c r="K53" s="173"/>
      <c r="L53" s="4"/>
      <c r="M53" s="4"/>
      <c r="N53" s="4"/>
      <c r="O53" s="194">
        <f>IF(O52+1&lt;=MIN('Données projet'!$E$9:$E$18),O52+1,"STOP")</f>
        <v>20</v>
      </c>
      <c r="P53" s="185">
        <f t="shared" si="3"/>
        <v>0</v>
      </c>
      <c r="Q53" s="235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45">
      <c r="A54" s="180">
        <f>'Données projet'!A62</f>
        <v>18</v>
      </c>
      <c r="B54" s="181">
        <f>'Données projet'!D62</f>
        <v>20</v>
      </c>
      <c r="C54" s="191">
        <v>12.796874999999998</v>
      </c>
      <c r="D54" s="179">
        <f>B54*C54</f>
        <v>255.93749999999997</v>
      </c>
      <c r="E54" s="193">
        <v>60</v>
      </c>
      <c r="F54" s="232"/>
      <c r="G54" s="205"/>
      <c r="H54" s="190"/>
      <c r="I54" s="191"/>
      <c r="J54" s="23"/>
      <c r="K54" s="173"/>
      <c r="L54" s="4"/>
      <c r="M54" s="4"/>
      <c r="N54" s="4"/>
      <c r="O54" s="194">
        <f>IF(O53+1&lt;=MIN('Données projet'!$E$9:$E$18),O53+1,"STOP")</f>
        <v>21</v>
      </c>
      <c r="P54" s="185">
        <f t="shared" si="3"/>
        <v>0</v>
      </c>
      <c r="Q54" s="235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45">
      <c r="A55" s="180">
        <f>'Données projet'!A63</f>
        <v>21</v>
      </c>
      <c r="B55" s="181">
        <f>'Données projet'!D63</f>
        <v>26</v>
      </c>
      <c r="C55" s="191">
        <v>12.796874999999998</v>
      </c>
      <c r="D55" s="179">
        <f t="shared" ref="D55:D73" si="4">B55*C55</f>
        <v>332.71874999999994</v>
      </c>
      <c r="E55" s="193">
        <v>60</v>
      </c>
      <c r="F55" s="232"/>
      <c r="G55" s="205"/>
      <c r="H55" s="190"/>
      <c r="I55" s="191"/>
      <c r="J55" s="23"/>
      <c r="K55" s="173"/>
      <c r="L55" s="4"/>
      <c r="M55" s="4"/>
      <c r="N55" s="4"/>
      <c r="O55" s="194">
        <f>IF(O54+1&lt;=MIN('Données projet'!$E$9:$E$18),O54+1,"STOP")</f>
        <v>22</v>
      </c>
      <c r="P55" s="185">
        <f t="shared" si="3"/>
        <v>0</v>
      </c>
      <c r="Q55" s="235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45">
      <c r="A56" s="180">
        <f>'Données projet'!A64</f>
        <v>24</v>
      </c>
      <c r="B56" s="181">
        <f>'Données projet'!D64</f>
        <v>29</v>
      </c>
      <c r="C56" s="191">
        <v>12.796874999999998</v>
      </c>
      <c r="D56" s="179">
        <f t="shared" si="4"/>
        <v>371.10937499999994</v>
      </c>
      <c r="E56" s="193">
        <v>60</v>
      </c>
      <c r="F56" s="232"/>
      <c r="G56" s="205"/>
      <c r="H56" s="190"/>
      <c r="I56" s="191"/>
      <c r="J56" s="23"/>
      <c r="K56" s="173"/>
      <c r="L56" s="4"/>
      <c r="M56" s="4"/>
      <c r="N56" s="4"/>
      <c r="O56" s="194">
        <f>IF(O55+1&lt;=MIN('Données projet'!$E$9:$E$18),O55+1,"STOP")</f>
        <v>23</v>
      </c>
      <c r="P56" s="185">
        <f t="shared" si="3"/>
        <v>0</v>
      </c>
      <c r="Q56" s="235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45">
      <c r="A57" s="180">
        <f>'Données projet'!A65</f>
        <v>30</v>
      </c>
      <c r="B57" s="181">
        <f>'Données projet'!D65</f>
        <v>53</v>
      </c>
      <c r="C57" s="191">
        <v>48.555</v>
      </c>
      <c r="D57" s="179">
        <f t="shared" si="4"/>
        <v>2573.415</v>
      </c>
      <c r="E57" s="193">
        <v>60</v>
      </c>
      <c r="F57" s="232"/>
      <c r="G57" s="205"/>
      <c r="H57" s="190"/>
      <c r="I57" s="191"/>
      <c r="J57" s="23"/>
      <c r="K57" s="173"/>
      <c r="L57" s="4"/>
      <c r="M57" s="4"/>
      <c r="N57" s="4"/>
      <c r="O57" s="194">
        <f>IF(O56+1&lt;=MIN('Données projet'!$E$9:$E$18),O56+1,"STOP")</f>
        <v>24</v>
      </c>
      <c r="P57" s="185">
        <f t="shared" si="3"/>
        <v>0</v>
      </c>
      <c r="Q57" s="235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45">
      <c r="A58" s="180">
        <f>'Données projet'!A66</f>
        <v>36</v>
      </c>
      <c r="B58" s="181">
        <f>'Données projet'!D66</f>
        <v>62</v>
      </c>
      <c r="C58" s="191">
        <v>48.555</v>
      </c>
      <c r="D58" s="179">
        <f t="shared" si="4"/>
        <v>3010.41</v>
      </c>
      <c r="E58" s="193">
        <v>60</v>
      </c>
      <c r="F58" s="232"/>
      <c r="G58" s="205"/>
      <c r="H58" s="190"/>
      <c r="I58" s="191"/>
      <c r="J58" s="23"/>
      <c r="K58" s="173"/>
      <c r="L58" s="4"/>
      <c r="M58" s="4"/>
      <c r="N58" s="4"/>
      <c r="O58" s="194">
        <f>IF(O57+1&lt;=MIN('Données projet'!$E$9:$E$18),O57+1,"STOP")</f>
        <v>25</v>
      </c>
      <c r="P58" s="185">
        <f t="shared" si="3"/>
        <v>0</v>
      </c>
      <c r="Q58" s="235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45">
      <c r="A59" s="180">
        <f>'Données projet'!A67</f>
        <v>42</v>
      </c>
      <c r="B59" s="181">
        <f>'Données projet'!D67</f>
        <v>67</v>
      </c>
      <c r="C59" s="191">
        <v>48.555</v>
      </c>
      <c r="D59" s="179">
        <f t="shared" si="4"/>
        <v>3253.1849999999999</v>
      </c>
      <c r="E59" s="193">
        <v>60</v>
      </c>
      <c r="F59" s="232"/>
      <c r="G59" s="205"/>
      <c r="H59" s="190"/>
      <c r="I59" s="191"/>
      <c r="J59" s="23"/>
      <c r="K59" s="173"/>
      <c r="L59" s="4"/>
      <c r="M59" s="4"/>
      <c r="N59" s="4"/>
      <c r="O59" s="194">
        <f>IF(O58+1&lt;=MIN('Données projet'!$E$9:$E$18),O58+1,"STOP")</f>
        <v>26</v>
      </c>
      <c r="P59" s="185">
        <f t="shared" si="3"/>
        <v>0</v>
      </c>
      <c r="Q59" s="235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45">
      <c r="A60" s="180">
        <f>'Données projet'!A68</f>
        <v>48</v>
      </c>
      <c r="B60" s="181">
        <f>'Données projet'!D68</f>
        <v>65</v>
      </c>
      <c r="C60" s="191">
        <v>48.555</v>
      </c>
      <c r="D60" s="179">
        <f t="shared" si="4"/>
        <v>3156.0749999999998</v>
      </c>
      <c r="E60" s="193">
        <v>60</v>
      </c>
      <c r="F60" s="232"/>
      <c r="G60" s="206"/>
      <c r="H60" s="190"/>
      <c r="I60" s="191"/>
      <c r="J60" s="23"/>
      <c r="K60" s="173"/>
      <c r="L60" s="4"/>
      <c r="M60" s="4"/>
      <c r="N60" s="4"/>
      <c r="O60" s="194">
        <f>IF(O59+1&lt;=MIN('Données projet'!$E$9:$E$18),O59+1,"STOP")</f>
        <v>27</v>
      </c>
      <c r="P60" s="185">
        <f t="shared" si="3"/>
        <v>0</v>
      </c>
      <c r="Q60" s="235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45">
      <c r="A61" s="180">
        <f>'Données projet'!A69</f>
        <v>60</v>
      </c>
      <c r="B61" s="181">
        <f>'Données projet'!D69</f>
        <v>304</v>
      </c>
      <c r="C61" s="191">
        <v>56.74499999999999</v>
      </c>
      <c r="D61" s="179">
        <f t="shared" si="4"/>
        <v>17250.479999999996</v>
      </c>
      <c r="E61" s="193">
        <v>60</v>
      </c>
      <c r="F61" s="232"/>
      <c r="G61" s="206"/>
      <c r="H61" s="190"/>
      <c r="I61" s="191"/>
      <c r="J61" s="23"/>
      <c r="K61" s="173"/>
      <c r="L61" s="4"/>
      <c r="M61" s="4"/>
      <c r="N61" s="4"/>
      <c r="O61" s="194">
        <f>IF(O60+1&lt;=MIN('Données projet'!$E$9:$E$18),O60+1,"STOP")</f>
        <v>28</v>
      </c>
      <c r="P61" s="185">
        <f t="shared" si="3"/>
        <v>0</v>
      </c>
      <c r="Q61" s="235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45">
      <c r="A62" s="180">
        <f>'Données projet'!A70</f>
        <v>0</v>
      </c>
      <c r="B62" s="181">
        <f>'Données projet'!D70</f>
        <v>0</v>
      </c>
      <c r="C62" s="191"/>
      <c r="D62" s="179">
        <f t="shared" si="4"/>
        <v>0</v>
      </c>
      <c r="E62" s="193"/>
      <c r="F62" s="232"/>
      <c r="G62" s="206"/>
      <c r="H62" s="190"/>
      <c r="I62" s="191"/>
      <c r="J62" s="23"/>
      <c r="K62" s="173"/>
      <c r="L62" s="4"/>
      <c r="M62" s="4"/>
      <c r="N62" s="4"/>
      <c r="O62" s="194">
        <f>IF(O61+1&lt;=MIN('Données projet'!$E$9:$E$18),O61+1,"STOP")</f>
        <v>29</v>
      </c>
      <c r="P62" s="185">
        <f t="shared" si="3"/>
        <v>0</v>
      </c>
      <c r="Q62" s="235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45">
      <c r="A63" s="180">
        <f>'Données projet'!A71</f>
        <v>0</v>
      </c>
      <c r="B63" s="181">
        <f>'Données projet'!D71</f>
        <v>0</v>
      </c>
      <c r="C63" s="191"/>
      <c r="D63" s="179">
        <f t="shared" si="4"/>
        <v>0</v>
      </c>
      <c r="E63" s="193"/>
      <c r="F63" s="232"/>
      <c r="G63" s="206"/>
      <c r="H63" s="190"/>
      <c r="I63" s="191"/>
      <c r="J63" s="23"/>
      <c r="K63" s="173"/>
      <c r="L63" s="4"/>
      <c r="M63" s="4"/>
      <c r="N63" s="4"/>
      <c r="O63" s="194">
        <f>IF(O62+1&lt;=MIN('Données projet'!$E$9:$E$18),O62+1,"STOP")</f>
        <v>30</v>
      </c>
      <c r="P63" s="185">
        <f t="shared" si="3"/>
        <v>0</v>
      </c>
      <c r="Q63" s="235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45">
      <c r="A64" s="180">
        <f>'Données projet'!A72</f>
        <v>0</v>
      </c>
      <c r="B64" s="181">
        <f>'Données projet'!D72</f>
        <v>0</v>
      </c>
      <c r="C64" s="191"/>
      <c r="D64" s="179">
        <f t="shared" si="4"/>
        <v>0</v>
      </c>
      <c r="E64" s="193"/>
      <c r="F64" s="232"/>
      <c r="G64" s="206"/>
      <c r="H64" s="190"/>
      <c r="I64" s="191"/>
      <c r="J64" s="207"/>
      <c r="K64" s="173"/>
      <c r="L64" s="4"/>
      <c r="M64" s="4"/>
      <c r="N64" s="4"/>
      <c r="O64" s="194">
        <f>IF(O63+1&lt;=MIN('Données projet'!$E$9:$E$18),O63+1,"STOP")</f>
        <v>31</v>
      </c>
      <c r="P64" s="185">
        <f t="shared" si="3"/>
        <v>0</v>
      </c>
      <c r="Q64" s="235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45">
      <c r="A65" s="180">
        <f>'Données projet'!A73</f>
        <v>0</v>
      </c>
      <c r="B65" s="181">
        <f>'Données projet'!D73</f>
        <v>0</v>
      </c>
      <c r="C65" s="191"/>
      <c r="D65" s="179">
        <f t="shared" si="4"/>
        <v>0</v>
      </c>
      <c r="E65" s="193"/>
      <c r="F65" s="232"/>
      <c r="G65" s="206"/>
      <c r="H65" s="190"/>
      <c r="I65" s="191"/>
      <c r="J65" s="189"/>
      <c r="K65" s="173"/>
      <c r="L65" s="4"/>
      <c r="M65" s="4"/>
      <c r="N65" s="4"/>
      <c r="O65" s="194">
        <f>IF(O64+1&lt;=MIN('Données projet'!$E$9:$E$18),O64+1,"STOP")</f>
        <v>32</v>
      </c>
      <c r="P65" s="185">
        <f t="shared" ref="P65:P96" si="5">$P$25/(1+$M$4)^O65</f>
        <v>0</v>
      </c>
      <c r="Q65" s="235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45">
      <c r="A66" s="180">
        <f>'Données projet'!A74</f>
        <v>0</v>
      </c>
      <c r="B66" s="181">
        <f>'Données projet'!D74</f>
        <v>0</v>
      </c>
      <c r="C66" s="191"/>
      <c r="D66" s="179">
        <f t="shared" si="4"/>
        <v>0</v>
      </c>
      <c r="E66" s="193"/>
      <c r="F66" s="232"/>
      <c r="G66" s="206"/>
      <c r="H66" s="190"/>
      <c r="I66" s="191"/>
      <c r="J66" s="189"/>
      <c r="K66" s="173"/>
      <c r="L66" s="4"/>
      <c r="M66" s="4"/>
      <c r="N66" s="4"/>
      <c r="O66" s="194">
        <f>IF(O65+1&lt;=MIN('Données projet'!$E$9:$E$18),O65+1,"STOP")</f>
        <v>33</v>
      </c>
      <c r="P66" s="185">
        <f t="shared" si="5"/>
        <v>0</v>
      </c>
      <c r="Q66" s="235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45">
      <c r="A67" s="180">
        <f>'Données projet'!A75</f>
        <v>0</v>
      </c>
      <c r="B67" s="181">
        <f>'Données projet'!D75</f>
        <v>0</v>
      </c>
      <c r="C67" s="191"/>
      <c r="D67" s="179">
        <f t="shared" si="4"/>
        <v>0</v>
      </c>
      <c r="E67" s="193"/>
      <c r="F67" s="232"/>
      <c r="G67" s="206"/>
      <c r="H67" s="190"/>
      <c r="I67" s="191"/>
      <c r="J67" s="189"/>
      <c r="K67" s="173"/>
      <c r="L67" s="4"/>
      <c r="M67" s="4"/>
      <c r="N67" s="4"/>
      <c r="O67" s="194">
        <f>IF(O66+1&lt;=MIN('Données projet'!$E$9:$E$18),O66+1,"STOP")</f>
        <v>34</v>
      </c>
      <c r="P67" s="185">
        <f t="shared" si="5"/>
        <v>0</v>
      </c>
      <c r="Q67" s="235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45">
      <c r="A68" s="180">
        <f>'Données projet'!A76</f>
        <v>0</v>
      </c>
      <c r="B68" s="181">
        <f>'Données projet'!D76</f>
        <v>0</v>
      </c>
      <c r="C68" s="191"/>
      <c r="D68" s="179">
        <f t="shared" si="4"/>
        <v>0</v>
      </c>
      <c r="E68" s="193"/>
      <c r="F68" s="232"/>
      <c r="G68" s="206"/>
      <c r="H68" s="190"/>
      <c r="I68" s="191"/>
      <c r="J68" s="189"/>
      <c r="K68" s="173"/>
      <c r="L68" s="4"/>
      <c r="M68" s="4"/>
      <c r="N68" s="4"/>
      <c r="O68" s="194">
        <f>IF(O67+1&lt;=MIN('Données projet'!$E$9:$E$18),O67+1,"STOP")</f>
        <v>35</v>
      </c>
      <c r="P68" s="185">
        <f t="shared" si="5"/>
        <v>0</v>
      </c>
      <c r="Q68" s="235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45">
      <c r="A69" s="180">
        <f>'Données projet'!A77</f>
        <v>0</v>
      </c>
      <c r="B69" s="181">
        <f>'Données projet'!D77</f>
        <v>0</v>
      </c>
      <c r="C69" s="191"/>
      <c r="D69" s="179">
        <f t="shared" si="4"/>
        <v>0</v>
      </c>
      <c r="E69" s="193"/>
      <c r="F69" s="232"/>
      <c r="G69" s="206"/>
      <c r="H69" s="190"/>
      <c r="I69" s="191"/>
      <c r="J69" s="189"/>
      <c r="K69" s="173"/>
      <c r="L69" s="4"/>
      <c r="M69" s="4"/>
      <c r="N69" s="4"/>
      <c r="O69" s="194">
        <f>IF(O68+1&lt;=MIN('Données projet'!$E$9:$E$18),O68+1,"STOP")</f>
        <v>36</v>
      </c>
      <c r="P69" s="185">
        <f t="shared" si="5"/>
        <v>0</v>
      </c>
      <c r="Q69" s="235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45">
      <c r="A70" s="180">
        <f>'Données projet'!A78</f>
        <v>0</v>
      </c>
      <c r="B70" s="181">
        <f>'Données projet'!D78</f>
        <v>0</v>
      </c>
      <c r="C70" s="191"/>
      <c r="D70" s="179">
        <f t="shared" si="4"/>
        <v>0</v>
      </c>
      <c r="E70" s="193"/>
      <c r="F70" s="232"/>
      <c r="G70" s="206"/>
      <c r="H70" s="190"/>
      <c r="I70" s="191"/>
      <c r="J70" s="189"/>
      <c r="K70" s="173"/>
      <c r="L70" s="4"/>
      <c r="M70" s="4"/>
      <c r="N70" s="4"/>
      <c r="O70" s="194">
        <f>IF(O69+1&lt;=MIN('Données projet'!$E$9:$E$18),O69+1,"STOP")</f>
        <v>37</v>
      </c>
      <c r="P70" s="185">
        <f t="shared" si="5"/>
        <v>0</v>
      </c>
      <c r="Q70" s="235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45">
      <c r="A71" s="180">
        <f>'Données projet'!A79</f>
        <v>0</v>
      </c>
      <c r="B71" s="181">
        <f>'Données projet'!D79</f>
        <v>0</v>
      </c>
      <c r="C71" s="191"/>
      <c r="D71" s="179">
        <f t="shared" si="4"/>
        <v>0</v>
      </c>
      <c r="E71" s="193"/>
      <c r="F71" s="232"/>
      <c r="G71" s="206"/>
      <c r="H71" s="190"/>
      <c r="I71" s="191"/>
      <c r="J71" s="189"/>
      <c r="K71" s="173"/>
      <c r="L71" s="4"/>
      <c r="M71" s="4"/>
      <c r="N71" s="4"/>
      <c r="O71" s="194">
        <f>IF(O70+1&lt;=MIN('Données projet'!$E$9:$E$18),O70+1,"STOP")</f>
        <v>38</v>
      </c>
      <c r="P71" s="185">
        <f t="shared" si="5"/>
        <v>0</v>
      </c>
      <c r="Q71" s="235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45">
      <c r="A72" s="180">
        <f>'Données projet'!A80</f>
        <v>0</v>
      </c>
      <c r="B72" s="181">
        <f>'Données projet'!D80</f>
        <v>0</v>
      </c>
      <c r="C72" s="191"/>
      <c r="D72" s="179">
        <f t="shared" si="4"/>
        <v>0</v>
      </c>
      <c r="E72" s="193"/>
      <c r="F72" s="232"/>
      <c r="G72" s="206"/>
      <c r="H72" s="190"/>
      <c r="I72" s="191"/>
      <c r="J72" s="4"/>
      <c r="K72" s="173"/>
      <c r="L72" s="4"/>
      <c r="M72" s="4"/>
      <c r="N72" s="4"/>
      <c r="O72" s="194">
        <f>IF(O71+1&lt;=MIN('Données projet'!$E$9:$E$18),O71+1,"STOP")</f>
        <v>39</v>
      </c>
      <c r="P72" s="185">
        <f t="shared" si="5"/>
        <v>0</v>
      </c>
      <c r="Q72" s="235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45">
      <c r="A73" s="180">
        <f>'Données projet'!A81</f>
        <v>0</v>
      </c>
      <c r="B73" s="181">
        <f>'Données projet'!D81</f>
        <v>0</v>
      </c>
      <c r="C73" s="191"/>
      <c r="D73" s="179">
        <f t="shared" si="4"/>
        <v>0</v>
      </c>
      <c r="E73" s="193"/>
      <c r="F73" s="232"/>
      <c r="G73" s="206"/>
      <c r="H73" s="190"/>
      <c r="I73" s="191"/>
      <c r="J73" s="4"/>
      <c r="K73" s="173"/>
      <c r="L73" s="4"/>
      <c r="M73" s="4"/>
      <c r="N73" s="4"/>
      <c r="O73" s="194">
        <f>IF(O72+1&lt;=MIN('Données projet'!$E$9:$E$18),O72+1,"STOP")</f>
        <v>40</v>
      </c>
      <c r="P73" s="185">
        <f t="shared" si="5"/>
        <v>0</v>
      </c>
      <c r="Q73" s="235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45">
      <c r="A74" s="4"/>
      <c r="B74" s="4"/>
      <c r="C74" s="4"/>
      <c r="D74" s="4"/>
      <c r="E74" s="4"/>
      <c r="F74" s="230"/>
      <c r="G74" s="206"/>
      <c r="H74" s="190"/>
      <c r="I74" s="191"/>
      <c r="J74" s="4"/>
      <c r="K74" s="173"/>
      <c r="L74" s="4"/>
      <c r="M74" s="4"/>
      <c r="N74" s="4"/>
      <c r="O74" s="194">
        <f>IF(O73+1&lt;=MIN('Données projet'!$E$9:$E$18),O73+1,"STOP")</f>
        <v>41</v>
      </c>
      <c r="P74" s="185">
        <f t="shared" si="5"/>
        <v>0</v>
      </c>
      <c r="Q74" s="235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45">
      <c r="A75" s="4"/>
      <c r="B75" s="4"/>
      <c r="C75" s="4"/>
      <c r="D75" s="4"/>
      <c r="E75" s="4"/>
      <c r="F75" s="230"/>
      <c r="G75" s="206"/>
      <c r="H75" s="190"/>
      <c r="I75" s="191"/>
      <c r="J75" s="4"/>
      <c r="K75" s="173"/>
      <c r="L75" s="4"/>
      <c r="M75" s="4"/>
      <c r="N75" s="4"/>
      <c r="O75" s="194">
        <f>IF(O74+1&lt;=MIN('Données projet'!$E$9:$E$18),O74+1,"STOP")</f>
        <v>42</v>
      </c>
      <c r="P75" s="185">
        <f t="shared" si="5"/>
        <v>0</v>
      </c>
      <c r="Q75" s="235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45">
      <c r="A76" s="46" t="s">
        <v>167</v>
      </c>
      <c r="B76" s="174" t="str">
        <f>IF('Données projet'!B11="","",'Données projet'!B11)</f>
        <v>Hêtre</v>
      </c>
      <c r="C76" s="4"/>
      <c r="D76" s="4"/>
      <c r="E76" s="4"/>
      <c r="F76" s="230"/>
      <c r="G76" s="206"/>
      <c r="H76" s="190"/>
      <c r="I76" s="191"/>
      <c r="J76" s="4"/>
      <c r="K76" s="173"/>
      <c r="L76" s="4"/>
      <c r="M76" s="4"/>
      <c r="N76" s="4"/>
      <c r="O76" s="194">
        <f>IF(O75+1&lt;=MIN('Données projet'!$E$9:$E$18),O75+1,"STOP")</f>
        <v>43</v>
      </c>
      <c r="P76" s="185">
        <f t="shared" si="5"/>
        <v>0</v>
      </c>
      <c r="Q76" s="235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45">
      <c r="A77" s="4"/>
      <c r="B77" s="4"/>
      <c r="C77" s="4"/>
      <c r="D77" s="4"/>
      <c r="E77" s="4"/>
      <c r="F77" s="230"/>
      <c r="G77" s="206"/>
      <c r="H77" s="190"/>
      <c r="I77" s="191"/>
      <c r="J77" s="4"/>
      <c r="K77" s="173"/>
      <c r="L77" s="4"/>
      <c r="M77" s="4"/>
      <c r="N77" s="4"/>
      <c r="O77" s="194">
        <f>IF(O76+1&lt;=MIN('Données projet'!$E$9:$E$18),O76+1,"STOP")</f>
        <v>44</v>
      </c>
      <c r="P77" s="185">
        <f t="shared" si="5"/>
        <v>0</v>
      </c>
      <c r="Q77" s="235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45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31"/>
      <c r="G78" s="206"/>
      <c r="H78" s="190"/>
      <c r="I78" s="191"/>
      <c r="J78" s="4"/>
      <c r="K78" s="173"/>
      <c r="L78" s="4"/>
      <c r="M78" s="4"/>
      <c r="N78" s="4"/>
      <c r="O78" s="194">
        <f>IF(O77+1&lt;=MIN('Données projet'!$E$9:$E$18),O77+1,"STOP")</f>
        <v>45</v>
      </c>
      <c r="P78" s="185">
        <f t="shared" si="5"/>
        <v>0</v>
      </c>
      <c r="Q78" s="235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45">
      <c r="A79" s="49">
        <v>0</v>
      </c>
      <c r="B79" s="199" t="s">
        <v>132</v>
      </c>
      <c r="C79" s="198" t="s">
        <v>132</v>
      </c>
      <c r="D79" s="197" t="s">
        <v>132</v>
      </c>
      <c r="E79" s="193"/>
      <c r="F79" s="231"/>
      <c r="G79" s="206"/>
      <c r="H79" s="190"/>
      <c r="I79" s="191"/>
      <c r="J79" s="4"/>
      <c r="K79" s="173"/>
      <c r="L79" s="4"/>
      <c r="M79" s="4"/>
      <c r="N79" s="4"/>
      <c r="O79" s="194">
        <f>IF(O78+1&lt;=MIN('Données projet'!$E$9:$E$18),O78+1,"STOP")</f>
        <v>46</v>
      </c>
      <c r="P79" s="185">
        <f t="shared" si="5"/>
        <v>0</v>
      </c>
      <c r="Q79" s="235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45">
      <c r="A80" s="49">
        <v>1</v>
      </c>
      <c r="B80" s="199" t="s">
        <v>132</v>
      </c>
      <c r="C80" s="198" t="s">
        <v>132</v>
      </c>
      <c r="D80" s="197" t="s">
        <v>132</v>
      </c>
      <c r="E80" s="193"/>
      <c r="F80" s="231"/>
      <c r="G80" s="23"/>
      <c r="H80" s="190"/>
      <c r="I80" s="191"/>
      <c r="J80" s="4"/>
      <c r="K80" s="173"/>
      <c r="L80" s="4"/>
      <c r="M80" s="4"/>
      <c r="N80" s="4"/>
      <c r="O80" s="194">
        <f>IF(O79+1&lt;=MIN('Données projet'!$E$9:$E$18),O79+1,"STOP")</f>
        <v>47</v>
      </c>
      <c r="P80" s="185">
        <f t="shared" si="5"/>
        <v>0</v>
      </c>
      <c r="Q80" s="235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45">
      <c r="A81" s="49">
        <v>2</v>
      </c>
      <c r="B81" s="199" t="s">
        <v>132</v>
      </c>
      <c r="C81" s="198" t="s">
        <v>132</v>
      </c>
      <c r="D81" s="197" t="s">
        <v>132</v>
      </c>
      <c r="E81" s="193"/>
      <c r="F81" s="231"/>
      <c r="G81" s="23"/>
      <c r="H81" s="190"/>
      <c r="I81" s="191"/>
      <c r="J81" s="4"/>
      <c r="K81" s="173"/>
      <c r="L81" s="4"/>
      <c r="M81" s="4"/>
      <c r="N81" s="4"/>
      <c r="O81" s="194">
        <f>IF(O80+1&lt;=MIN('Données projet'!$E$9:$E$18),O80+1,"STOP")</f>
        <v>48</v>
      </c>
      <c r="P81" s="185">
        <f t="shared" si="5"/>
        <v>0</v>
      </c>
      <c r="Q81" s="235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45">
      <c r="A82" s="49">
        <v>3</v>
      </c>
      <c r="B82" s="199" t="s">
        <v>132</v>
      </c>
      <c r="C82" s="198" t="s">
        <v>132</v>
      </c>
      <c r="D82" s="197" t="s">
        <v>132</v>
      </c>
      <c r="E82" s="193"/>
      <c r="F82" s="231"/>
      <c r="G82" s="23"/>
      <c r="H82" s="190"/>
      <c r="I82" s="191"/>
      <c r="J82" s="4"/>
      <c r="K82" s="173"/>
      <c r="L82" s="4"/>
      <c r="M82" s="4"/>
      <c r="N82" s="4"/>
      <c r="O82" s="194">
        <f>IF(O81+1&lt;=MIN('Données projet'!$E$9:$E$18),O81+1,"STOP")</f>
        <v>49</v>
      </c>
      <c r="P82" s="185">
        <f t="shared" si="5"/>
        <v>0</v>
      </c>
      <c r="Q82" s="235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45">
      <c r="A83" s="49">
        <v>4</v>
      </c>
      <c r="B83" s="199" t="s">
        <v>132</v>
      </c>
      <c r="C83" s="198" t="s">
        <v>132</v>
      </c>
      <c r="D83" s="197" t="s">
        <v>132</v>
      </c>
      <c r="E83" s="193"/>
      <c r="F83" s="231"/>
      <c r="G83" s="23"/>
      <c r="H83" s="190"/>
      <c r="I83" s="191"/>
      <c r="J83" s="4"/>
      <c r="K83" s="173"/>
      <c r="L83" s="4"/>
      <c r="M83" s="4"/>
      <c r="N83" s="4"/>
      <c r="O83" s="194">
        <f>IF(O82+1&lt;=MIN('Données projet'!$E$9:$E$18),O82+1,"STOP")</f>
        <v>50</v>
      </c>
      <c r="P83" s="185">
        <f t="shared" si="5"/>
        <v>0</v>
      </c>
      <c r="Q83" s="235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45">
      <c r="A84" s="49">
        <v>5</v>
      </c>
      <c r="B84" s="199" t="s">
        <v>132</v>
      </c>
      <c r="C84" s="198" t="s">
        <v>132</v>
      </c>
      <c r="D84" s="197" t="s">
        <v>132</v>
      </c>
      <c r="E84" s="193"/>
      <c r="F84" s="231"/>
      <c r="G84" s="205"/>
      <c r="H84" s="190"/>
      <c r="I84" s="191"/>
      <c r="J84" s="4"/>
      <c r="K84" s="173"/>
      <c r="L84" s="4"/>
      <c r="M84" s="4"/>
      <c r="N84" s="4"/>
      <c r="O84" s="194">
        <f>IF(O83+1&lt;=MIN('Données projet'!$E$9:$E$18),O83+1,"STOP")</f>
        <v>51</v>
      </c>
      <c r="P84" s="185">
        <f t="shared" si="5"/>
        <v>0</v>
      </c>
      <c r="Q84" s="235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45">
      <c r="A85" s="180">
        <f>'Données projet'!A88</f>
        <v>57</v>
      </c>
      <c r="B85" s="181">
        <f>'Données projet'!D88</f>
        <v>147.84</v>
      </c>
      <c r="C85" s="191">
        <v>11.7</v>
      </c>
      <c r="D85" s="179">
        <f>B85*C85</f>
        <v>1729.7279999999998</v>
      </c>
      <c r="E85" s="193">
        <v>60</v>
      </c>
      <c r="F85" s="232"/>
      <c r="G85" s="205"/>
      <c r="H85" s="190"/>
      <c r="I85" s="191"/>
      <c r="J85" s="4"/>
      <c r="K85" s="173"/>
      <c r="L85" s="4"/>
      <c r="M85" s="4"/>
      <c r="N85" s="4"/>
      <c r="O85" s="194">
        <f>IF(O84+1&lt;=MIN('Données projet'!$E$9:$E$18),O84+1,"STOP")</f>
        <v>52</v>
      </c>
      <c r="P85" s="185">
        <f t="shared" si="5"/>
        <v>0</v>
      </c>
      <c r="Q85" s="235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45">
      <c r="A86" s="180">
        <f>'Données projet'!A89</f>
        <v>66</v>
      </c>
      <c r="B86" s="181">
        <f>'Données projet'!D89</f>
        <v>77.13</v>
      </c>
      <c r="C86" s="191">
        <v>11.7</v>
      </c>
      <c r="D86" s="179">
        <f t="shared" ref="D86:D104" si="6">B86*C86</f>
        <v>902.42099999999994</v>
      </c>
      <c r="E86" s="193">
        <v>60</v>
      </c>
      <c r="F86" s="232"/>
      <c r="G86" s="205"/>
      <c r="H86" s="190"/>
      <c r="I86" s="191"/>
      <c r="J86" s="4"/>
      <c r="K86" s="173"/>
      <c r="L86" s="4"/>
      <c r="M86" s="4"/>
      <c r="N86" s="4"/>
      <c r="O86" s="194">
        <f>IF(O85+1&lt;=MIN('Données projet'!$E$9:$E$18),O85+1,"STOP")</f>
        <v>53</v>
      </c>
      <c r="P86" s="185">
        <f t="shared" si="5"/>
        <v>0</v>
      </c>
      <c r="Q86" s="235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45">
      <c r="A87" s="180">
        <f>'Données projet'!A90</f>
        <v>75</v>
      </c>
      <c r="B87" s="181">
        <f>'Données projet'!D90</f>
        <v>72.47999999999999</v>
      </c>
      <c r="C87" s="191">
        <v>11.7</v>
      </c>
      <c r="D87" s="179">
        <f t="shared" si="6"/>
        <v>848.01599999999985</v>
      </c>
      <c r="E87" s="193">
        <v>60</v>
      </c>
      <c r="F87" s="232"/>
      <c r="G87" s="205"/>
      <c r="H87" s="190"/>
      <c r="I87" s="191"/>
      <c r="J87" s="4"/>
      <c r="K87" s="173"/>
      <c r="L87" s="4"/>
      <c r="M87" s="4"/>
      <c r="N87" s="4"/>
      <c r="O87" s="194">
        <f>IF(O86+1&lt;=MIN('Données projet'!$E$9:$E$18),O86+1,"STOP")</f>
        <v>54</v>
      </c>
      <c r="P87" s="185">
        <f t="shared" si="5"/>
        <v>0</v>
      </c>
      <c r="Q87" s="235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45">
      <c r="A88" s="180">
        <f>'Données projet'!A91</f>
        <v>84</v>
      </c>
      <c r="B88" s="181">
        <f>'Données projet'!D91</f>
        <v>64.950000000000017</v>
      </c>
      <c r="C88" s="191">
        <v>19.585799999999999</v>
      </c>
      <c r="D88" s="179">
        <f t="shared" si="6"/>
        <v>1272.0977100000002</v>
      </c>
      <c r="E88" s="193">
        <v>60</v>
      </c>
      <c r="F88" s="232"/>
      <c r="G88" s="205"/>
      <c r="H88" s="190"/>
      <c r="I88" s="191"/>
      <c r="J88" s="4"/>
      <c r="K88" s="173"/>
      <c r="L88" s="4"/>
      <c r="M88" s="4"/>
      <c r="N88" s="4"/>
      <c r="O88" s="194">
        <f>IF(O87+1&lt;=MIN('Données projet'!$E$9:$E$18),O87+1,"STOP")</f>
        <v>55</v>
      </c>
      <c r="P88" s="185">
        <f t="shared" si="5"/>
        <v>0</v>
      </c>
      <c r="Q88" s="235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45">
      <c r="A89" s="180">
        <f>'Données projet'!A92</f>
        <v>93</v>
      </c>
      <c r="B89" s="181">
        <f>'Données projet'!D92</f>
        <v>67.269999999999982</v>
      </c>
      <c r="C89" s="191">
        <v>19.585799999999999</v>
      </c>
      <c r="D89" s="179">
        <f t="shared" si="6"/>
        <v>1317.5367659999995</v>
      </c>
      <c r="E89" s="193">
        <v>60</v>
      </c>
      <c r="F89" s="232"/>
      <c r="G89" s="205"/>
      <c r="H89" s="190"/>
      <c r="I89" s="191"/>
      <c r="J89" s="4"/>
      <c r="K89" s="173"/>
      <c r="L89" s="4"/>
      <c r="M89" s="4"/>
      <c r="N89" s="4"/>
      <c r="O89" s="194">
        <f>IF(O88+1&lt;=MIN('Données projet'!$E$9:$E$18),O88+1,"STOP")</f>
        <v>56</v>
      </c>
      <c r="P89" s="185">
        <f t="shared" si="5"/>
        <v>0</v>
      </c>
      <c r="Q89" s="235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45">
      <c r="A90" s="180">
        <f>'Données projet'!A93</f>
        <v>105</v>
      </c>
      <c r="B90" s="181">
        <f>'Données projet'!D93</f>
        <v>83.739999999999952</v>
      </c>
      <c r="C90" s="191">
        <v>19.585799999999999</v>
      </c>
      <c r="D90" s="179">
        <f t="shared" si="6"/>
        <v>1640.1148919999989</v>
      </c>
      <c r="E90" s="193">
        <v>60</v>
      </c>
      <c r="F90" s="232"/>
      <c r="G90" s="205"/>
      <c r="H90" s="190"/>
      <c r="I90" s="191"/>
      <c r="J90" s="4"/>
      <c r="K90" s="173"/>
      <c r="L90" s="4"/>
      <c r="M90" s="4"/>
      <c r="N90" s="4"/>
      <c r="O90" s="194">
        <f>IF(O89+1&lt;=MIN('Données projet'!$E$9:$E$18),O89+1,"STOP")</f>
        <v>57</v>
      </c>
      <c r="P90" s="185">
        <f t="shared" si="5"/>
        <v>0</v>
      </c>
      <c r="Q90" s="235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45">
      <c r="A91" s="180">
        <f>'Données projet'!A94</f>
        <v>117</v>
      </c>
      <c r="B91" s="181">
        <f>'Données projet'!D94</f>
        <v>73.949999999999989</v>
      </c>
      <c r="C91" s="191">
        <v>19.585799999999999</v>
      </c>
      <c r="D91" s="179">
        <f t="shared" si="6"/>
        <v>1448.3699099999997</v>
      </c>
      <c r="E91" s="193">
        <v>60</v>
      </c>
      <c r="F91" s="232"/>
      <c r="G91" s="206"/>
      <c r="H91" s="190"/>
      <c r="I91" s="191"/>
      <c r="J91" s="4"/>
      <c r="K91" s="173"/>
      <c r="L91" s="4"/>
      <c r="M91" s="4"/>
      <c r="N91" s="4"/>
      <c r="O91" s="194">
        <f>IF(O90+1&lt;=MIN('Données projet'!$E$9:$E$18),O90+1,"STOP")</f>
        <v>58</v>
      </c>
      <c r="P91" s="185">
        <f t="shared" si="5"/>
        <v>0</v>
      </c>
      <c r="Q91" s="235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45">
      <c r="A92" s="180">
        <f>'Données projet'!A95</f>
        <v>129</v>
      </c>
      <c r="B92" s="181">
        <f>'Données projet'!D95</f>
        <v>143.06</v>
      </c>
      <c r="C92" s="191">
        <v>33.04665</v>
      </c>
      <c r="D92" s="179">
        <f t="shared" si="6"/>
        <v>4727.6537490000001</v>
      </c>
      <c r="E92" s="193">
        <v>60</v>
      </c>
      <c r="F92" s="232"/>
      <c r="G92" s="206"/>
      <c r="H92" s="190"/>
      <c r="I92" s="191"/>
      <c r="J92" s="4"/>
      <c r="K92" s="173"/>
      <c r="L92" s="4"/>
      <c r="M92" s="4"/>
      <c r="N92" s="4"/>
      <c r="O92" s="194">
        <f>IF(O91+1&lt;=MIN('Données projet'!$E$9:$E$18),O91+1,"STOP")</f>
        <v>59</v>
      </c>
      <c r="P92" s="185">
        <f t="shared" si="5"/>
        <v>0</v>
      </c>
      <c r="Q92" s="235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45">
      <c r="A93" s="180">
        <f>'Données projet'!A96</f>
        <v>134</v>
      </c>
      <c r="B93" s="181">
        <f>'Données projet'!D96</f>
        <v>102.91000000000003</v>
      </c>
      <c r="C93" s="191">
        <v>33.04665</v>
      </c>
      <c r="D93" s="179">
        <f t="shared" si="6"/>
        <v>3400.8307515000006</v>
      </c>
      <c r="E93" s="193">
        <v>60</v>
      </c>
      <c r="F93" s="232"/>
      <c r="G93" s="206"/>
      <c r="H93" s="190"/>
      <c r="I93" s="191"/>
      <c r="J93" s="4"/>
      <c r="K93" s="173"/>
      <c r="L93" s="4"/>
      <c r="M93" s="4"/>
      <c r="N93" s="4"/>
      <c r="O93" s="194">
        <f>IF(O92+1&lt;=MIN('Données projet'!$E$9:$E$18),O92+1,"STOP")</f>
        <v>60</v>
      </c>
      <c r="P93" s="185">
        <f t="shared" si="5"/>
        <v>0</v>
      </c>
      <c r="Q93" s="235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45">
      <c r="A94" s="180">
        <f>'Données projet'!A97</f>
        <v>139</v>
      </c>
      <c r="B94" s="181">
        <f>'Données projet'!D97</f>
        <v>88.109999999999985</v>
      </c>
      <c r="C94" s="191">
        <v>33.04665</v>
      </c>
      <c r="D94" s="179">
        <f t="shared" si="6"/>
        <v>2911.7403314999997</v>
      </c>
      <c r="E94" s="193">
        <v>60</v>
      </c>
      <c r="F94" s="232"/>
      <c r="G94" s="206"/>
      <c r="H94" s="190"/>
      <c r="I94" s="191"/>
      <c r="J94" s="4"/>
      <c r="K94" s="173"/>
      <c r="L94" s="4"/>
      <c r="M94" s="4"/>
      <c r="N94" s="4"/>
      <c r="O94" s="194" t="str">
        <f>IF(O93+1&lt;=MIN('Données projet'!$E$9:$E$18),O93+1,"STOP")</f>
        <v>STOP</v>
      </c>
      <c r="P94" s="185" t="e">
        <f t="shared" si="5"/>
        <v>#VALUE!</v>
      </c>
      <c r="Q94" s="235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45">
      <c r="A95" s="180">
        <f>'Données projet'!A98</f>
        <v>143</v>
      </c>
      <c r="B95" s="181">
        <f>'Données projet'!D98</f>
        <v>142.16999999999999</v>
      </c>
      <c r="C95" s="191">
        <v>33.04665</v>
      </c>
      <c r="D95" s="179">
        <f t="shared" si="6"/>
        <v>4698.2422304999991</v>
      </c>
      <c r="E95" s="193">
        <v>60</v>
      </c>
      <c r="F95" s="232"/>
      <c r="G95" s="206"/>
      <c r="H95" s="190"/>
      <c r="I95" s="191"/>
      <c r="J95" s="4"/>
      <c r="K95" s="173"/>
      <c r="L95" s="4"/>
      <c r="M95" s="4"/>
      <c r="N95" s="4"/>
      <c r="O95" s="194" t="e">
        <f>IF(O94+1&lt;=MIN('Données projet'!$E$9:$E$18),O94+1,"STOP")</f>
        <v>#VALUE!</v>
      </c>
      <c r="P95" s="185" t="e">
        <f t="shared" si="5"/>
        <v>#VALUE!</v>
      </c>
      <c r="Q95" s="235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45">
      <c r="A96" s="180">
        <f>'Données projet'!A99</f>
        <v>0</v>
      </c>
      <c r="B96" s="181">
        <f>'Données projet'!D99</f>
        <v>0</v>
      </c>
      <c r="C96" s="191"/>
      <c r="D96" s="179">
        <f t="shared" si="6"/>
        <v>0</v>
      </c>
      <c r="E96" s="193"/>
      <c r="F96" s="232"/>
      <c r="G96" s="206"/>
      <c r="H96" s="190"/>
      <c r="I96" s="191"/>
      <c r="J96" s="4"/>
      <c r="K96" s="173"/>
      <c r="L96" s="4"/>
      <c r="M96" s="4"/>
      <c r="N96" s="4"/>
      <c r="O96" s="194" t="e">
        <f>IF(O95+1&lt;=MIN('Données projet'!$E$9:$E$18),O95+1,"STOP")</f>
        <v>#VALUE!</v>
      </c>
      <c r="P96" s="185" t="e">
        <f t="shared" si="5"/>
        <v>#VALUE!</v>
      </c>
      <c r="Q96" s="235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45">
      <c r="A97" s="180">
        <f>'Données projet'!A100</f>
        <v>0</v>
      </c>
      <c r="B97" s="181">
        <f>'Données projet'!D100</f>
        <v>0</v>
      </c>
      <c r="C97" s="191"/>
      <c r="D97" s="179">
        <f t="shared" si="6"/>
        <v>0</v>
      </c>
      <c r="E97" s="193"/>
      <c r="F97" s="232"/>
      <c r="G97" s="206"/>
      <c r="H97" s="190"/>
      <c r="I97" s="191"/>
      <c r="J97" s="4"/>
      <c r="K97" s="173"/>
      <c r="L97" s="4"/>
      <c r="M97" s="4"/>
      <c r="N97" s="4"/>
      <c r="O97" s="194" t="e">
        <f>IF(O96+1&lt;=MIN('Données projet'!$E$9:$E$18),O96+1,"STOP")</f>
        <v>#VALUE!</v>
      </c>
      <c r="P97" s="185" t="e">
        <f t="shared" ref="P97:P128" si="7">$P$25/(1+$M$4)^O97</f>
        <v>#VALUE!</v>
      </c>
      <c r="Q97" s="235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45">
      <c r="A98" s="180">
        <f>'Données projet'!A101</f>
        <v>0</v>
      </c>
      <c r="B98" s="181">
        <f>'Données projet'!D101</f>
        <v>0</v>
      </c>
      <c r="C98" s="191"/>
      <c r="D98" s="179">
        <f t="shared" si="6"/>
        <v>0</v>
      </c>
      <c r="E98" s="193"/>
      <c r="F98" s="232"/>
      <c r="G98" s="206"/>
      <c r="H98" s="190"/>
      <c r="I98" s="191"/>
      <c r="J98" s="4"/>
      <c r="K98" s="173"/>
      <c r="L98" s="4"/>
      <c r="M98" s="4"/>
      <c r="N98" s="4"/>
      <c r="O98" s="194" t="e">
        <f>IF(O97+1&lt;=MIN('Données projet'!$E$9:$E$18),O97+1,"STOP")</f>
        <v>#VALUE!</v>
      </c>
      <c r="P98" s="185" t="e">
        <f t="shared" si="7"/>
        <v>#VALUE!</v>
      </c>
      <c r="Q98" s="235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45">
      <c r="A99" s="180">
        <f>'Données projet'!A102</f>
        <v>0</v>
      </c>
      <c r="B99" s="181">
        <f>'Données projet'!D102</f>
        <v>0</v>
      </c>
      <c r="C99" s="191"/>
      <c r="D99" s="179">
        <f t="shared" si="6"/>
        <v>0</v>
      </c>
      <c r="E99" s="193"/>
      <c r="F99" s="232"/>
      <c r="G99" s="206"/>
      <c r="H99" s="190"/>
      <c r="I99" s="191"/>
      <c r="J99" s="4"/>
      <c r="K99" s="173"/>
      <c r="L99" s="4"/>
      <c r="M99" s="4"/>
      <c r="N99" s="4"/>
      <c r="O99" s="194" t="e">
        <f>IF(O98+1&lt;=MIN('Données projet'!$E$9:$E$18),O98+1,"STOP")</f>
        <v>#VALUE!</v>
      </c>
      <c r="P99" s="185" t="e">
        <f t="shared" si="7"/>
        <v>#VALUE!</v>
      </c>
      <c r="Q99" s="235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45">
      <c r="A100" s="180">
        <f>'Données projet'!A103</f>
        <v>0</v>
      </c>
      <c r="B100" s="181">
        <f>'Données projet'!D103</f>
        <v>0</v>
      </c>
      <c r="C100" s="191"/>
      <c r="D100" s="179">
        <f t="shared" si="6"/>
        <v>0</v>
      </c>
      <c r="E100" s="193"/>
      <c r="F100" s="232"/>
      <c r="G100" s="206"/>
      <c r="H100" s="190"/>
      <c r="I100" s="191"/>
      <c r="J100" s="4"/>
      <c r="K100" s="173"/>
      <c r="L100" s="4"/>
      <c r="M100" s="4"/>
      <c r="N100" s="4"/>
      <c r="O100" s="194" t="e">
        <f>IF(O99+1&lt;=MIN('Données projet'!$E$9:$E$18),O99+1,"STOP")</f>
        <v>#VALUE!</v>
      </c>
      <c r="P100" s="185" t="e">
        <f t="shared" si="7"/>
        <v>#VALUE!</v>
      </c>
      <c r="Q100" s="235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45">
      <c r="A101" s="180">
        <f>'Données projet'!A104</f>
        <v>0</v>
      </c>
      <c r="B101" s="181">
        <f>'Données projet'!D104</f>
        <v>0</v>
      </c>
      <c r="C101" s="191"/>
      <c r="D101" s="179">
        <f t="shared" si="6"/>
        <v>0</v>
      </c>
      <c r="E101" s="193"/>
      <c r="F101" s="232"/>
      <c r="G101" s="206"/>
      <c r="H101" s="190"/>
      <c r="I101" s="191"/>
      <c r="J101" s="4"/>
      <c r="K101" s="173"/>
      <c r="L101" s="4"/>
      <c r="M101" s="4"/>
      <c r="N101" s="4"/>
      <c r="O101" s="194" t="e">
        <f>IF(O100+1&lt;=MIN('Données projet'!$E$9:$E$18),O100+1,"STOP")</f>
        <v>#VALUE!</v>
      </c>
      <c r="P101" s="185" t="e">
        <f t="shared" si="7"/>
        <v>#VALUE!</v>
      </c>
      <c r="Q101" s="235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45">
      <c r="A102" s="180">
        <f>'Données projet'!A105</f>
        <v>0</v>
      </c>
      <c r="B102" s="181">
        <f>'Données projet'!D105</f>
        <v>0</v>
      </c>
      <c r="C102" s="191"/>
      <c r="D102" s="179">
        <f t="shared" si="6"/>
        <v>0</v>
      </c>
      <c r="E102" s="193"/>
      <c r="F102" s="232"/>
      <c r="G102" s="206"/>
      <c r="H102" s="190"/>
      <c r="I102" s="191"/>
      <c r="J102" s="4"/>
      <c r="K102" s="173"/>
      <c r="L102" s="4"/>
      <c r="M102" s="4"/>
      <c r="N102" s="4"/>
      <c r="O102" s="194" t="e">
        <f>IF(O101+1&lt;=MIN('Données projet'!$E$9:$E$18),O101+1,"STOP")</f>
        <v>#VALUE!</v>
      </c>
      <c r="P102" s="185" t="e">
        <f t="shared" si="7"/>
        <v>#VALUE!</v>
      </c>
      <c r="Q102" s="235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45">
      <c r="A103" s="180">
        <f>'Données projet'!A106</f>
        <v>0</v>
      </c>
      <c r="B103" s="181">
        <f>'Données projet'!D106</f>
        <v>0</v>
      </c>
      <c r="C103" s="191"/>
      <c r="D103" s="179">
        <f t="shared" si="6"/>
        <v>0</v>
      </c>
      <c r="E103" s="193"/>
      <c r="F103" s="232"/>
      <c r="G103" s="206"/>
      <c r="H103" s="190"/>
      <c r="I103" s="191"/>
      <c r="J103" s="4"/>
      <c r="K103" s="173"/>
      <c r="L103" s="4"/>
      <c r="M103" s="4"/>
      <c r="N103" s="4"/>
      <c r="O103" s="194" t="e">
        <f>IF(O102+1&lt;=MIN('Données projet'!$E$9:$E$18),O102+1,"STOP")</f>
        <v>#VALUE!</v>
      </c>
      <c r="P103" s="185" t="e">
        <f t="shared" si="7"/>
        <v>#VALUE!</v>
      </c>
      <c r="Q103" s="235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45">
      <c r="A104" s="180">
        <f>'Données projet'!A107</f>
        <v>0</v>
      </c>
      <c r="B104" s="181">
        <f>'Données projet'!D107</f>
        <v>0</v>
      </c>
      <c r="C104" s="191"/>
      <c r="D104" s="179">
        <f t="shared" si="6"/>
        <v>0</v>
      </c>
      <c r="E104" s="193"/>
      <c r="F104" s="232"/>
      <c r="G104" s="206"/>
      <c r="H104" s="190"/>
      <c r="I104" s="191"/>
      <c r="J104" s="4"/>
      <c r="K104" s="173"/>
      <c r="L104" s="4"/>
      <c r="M104" s="4"/>
      <c r="N104" s="4"/>
      <c r="O104" s="194" t="e">
        <f>IF(O103+1&lt;=MIN('Données projet'!$E$9:$E$18),O103+1,"STOP")</f>
        <v>#VALUE!</v>
      </c>
      <c r="P104" s="185" t="e">
        <f t="shared" si="7"/>
        <v>#VALUE!</v>
      </c>
      <c r="Q104" s="235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45">
      <c r="A105" s="4"/>
      <c r="B105" s="4"/>
      <c r="C105" s="4"/>
      <c r="D105" s="4"/>
      <c r="E105" s="4"/>
      <c r="F105" s="230"/>
      <c r="G105" s="206"/>
      <c r="H105" s="190"/>
      <c r="I105" s="191"/>
      <c r="J105" s="4"/>
      <c r="K105" s="173"/>
      <c r="L105" s="4"/>
      <c r="M105" s="4"/>
      <c r="N105" s="4"/>
      <c r="O105" s="194" t="e">
        <f>IF(O104+1&lt;=MIN('Données projet'!$E$9:$E$18),O104+1,"STOP")</f>
        <v>#VALUE!</v>
      </c>
      <c r="P105" s="185" t="e">
        <f t="shared" si="7"/>
        <v>#VALUE!</v>
      </c>
      <c r="Q105" s="235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45">
      <c r="A106" s="4"/>
      <c r="B106" s="4"/>
      <c r="C106" s="4"/>
      <c r="D106" s="4"/>
      <c r="E106" s="4"/>
      <c r="F106" s="230"/>
      <c r="G106" s="206"/>
      <c r="H106" s="190"/>
      <c r="I106" s="191"/>
      <c r="J106" s="4"/>
      <c r="K106" s="173"/>
      <c r="L106" s="4"/>
      <c r="M106" s="4"/>
      <c r="N106" s="4"/>
      <c r="O106" s="194" t="e">
        <f>IF(O105+1&lt;=MIN('Données projet'!$E$9:$E$18),O105+1,"STOP")</f>
        <v>#VALUE!</v>
      </c>
      <c r="P106" s="185" t="e">
        <f t="shared" si="7"/>
        <v>#VALUE!</v>
      </c>
      <c r="Q106" s="235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45">
      <c r="A107" s="46" t="s">
        <v>168</v>
      </c>
      <c r="B107" s="174" t="str">
        <f>IF('Données projet'!B12="","",'Données projet'!B12)</f>
        <v/>
      </c>
      <c r="C107" s="4"/>
      <c r="D107" s="4"/>
      <c r="E107" s="4"/>
      <c r="F107" s="230"/>
      <c r="G107" s="206"/>
      <c r="H107" s="190"/>
      <c r="I107" s="191"/>
      <c r="J107" s="4"/>
      <c r="K107" s="173"/>
      <c r="L107" s="4"/>
      <c r="M107" s="4"/>
      <c r="N107" s="4"/>
      <c r="O107" s="194" t="e">
        <f>IF(O106+1&lt;=MIN('Données projet'!$E$9:$E$18),O106+1,"STOP")</f>
        <v>#VALUE!</v>
      </c>
      <c r="P107" s="185" t="e">
        <f t="shared" si="7"/>
        <v>#VALUE!</v>
      </c>
      <c r="Q107" s="235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45">
      <c r="A108" s="4"/>
      <c r="B108" s="4"/>
      <c r="C108" s="4"/>
      <c r="D108" s="4"/>
      <c r="E108" s="4"/>
      <c r="F108" s="230"/>
      <c r="G108" s="206"/>
      <c r="H108" s="190"/>
      <c r="I108" s="191"/>
      <c r="J108" s="4"/>
      <c r="K108" s="173"/>
      <c r="L108" s="4"/>
      <c r="M108" s="4"/>
      <c r="N108" s="4"/>
      <c r="O108" s="194" t="e">
        <f>IF(O107+1&lt;=MIN('Données projet'!$E$9:$E$18),O107+1,"STOP")</f>
        <v>#VALUE!</v>
      </c>
      <c r="P108" s="185" t="e">
        <f t="shared" si="7"/>
        <v>#VALUE!</v>
      </c>
      <c r="Q108" s="235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45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31"/>
      <c r="G109" s="206"/>
      <c r="H109" s="190"/>
      <c r="I109" s="191"/>
      <c r="J109" s="4"/>
      <c r="K109" s="173"/>
      <c r="L109" s="4"/>
      <c r="M109" s="4"/>
      <c r="N109" s="4"/>
      <c r="O109" s="194" t="e">
        <f>IF(O108+1&lt;=MIN('Données projet'!$E$9:$E$18),O108+1,"STOP")</f>
        <v>#VALUE!</v>
      </c>
      <c r="P109" s="185" t="e">
        <f t="shared" si="7"/>
        <v>#VALUE!</v>
      </c>
      <c r="Q109" s="235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45">
      <c r="A110" s="49">
        <v>0</v>
      </c>
      <c r="B110" s="199" t="s">
        <v>132</v>
      </c>
      <c r="C110" s="198" t="s">
        <v>132</v>
      </c>
      <c r="D110" s="197" t="s">
        <v>132</v>
      </c>
      <c r="E110" s="193"/>
      <c r="F110" s="231"/>
      <c r="G110" s="206"/>
      <c r="H110" s="190"/>
      <c r="I110" s="191"/>
      <c r="J110" s="4"/>
      <c r="K110" s="173"/>
      <c r="L110" s="4"/>
      <c r="M110" s="4"/>
      <c r="N110" s="4"/>
      <c r="O110" s="194" t="e">
        <f>IF(O109+1&lt;=MIN('Données projet'!$E$9:$E$18),O109+1,"STOP")</f>
        <v>#VALUE!</v>
      </c>
      <c r="P110" s="185" t="e">
        <f t="shared" si="7"/>
        <v>#VALUE!</v>
      </c>
      <c r="Q110" s="235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45">
      <c r="A111" s="49">
        <v>1</v>
      </c>
      <c r="B111" s="199" t="s">
        <v>132</v>
      </c>
      <c r="C111" s="198" t="s">
        <v>132</v>
      </c>
      <c r="D111" s="197" t="s">
        <v>132</v>
      </c>
      <c r="E111" s="193"/>
      <c r="F111" s="231"/>
      <c r="G111" s="23"/>
      <c r="H111" s="190"/>
      <c r="I111" s="191"/>
      <c r="J111" s="4"/>
      <c r="K111" s="173"/>
      <c r="L111" s="4"/>
      <c r="M111" s="4"/>
      <c r="N111" s="4"/>
      <c r="O111" s="194" t="e">
        <f>IF(O110+1&lt;=MIN('Données projet'!$E$9:$E$18),O110+1,"STOP")</f>
        <v>#VALUE!</v>
      </c>
      <c r="P111" s="185" t="e">
        <f t="shared" si="7"/>
        <v>#VALUE!</v>
      </c>
      <c r="Q111" s="235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45">
      <c r="A112" s="49">
        <v>2</v>
      </c>
      <c r="B112" s="199" t="s">
        <v>132</v>
      </c>
      <c r="C112" s="198" t="s">
        <v>132</v>
      </c>
      <c r="D112" s="197" t="s">
        <v>132</v>
      </c>
      <c r="E112" s="193"/>
      <c r="F112" s="231"/>
      <c r="G112" s="23"/>
      <c r="H112" s="190"/>
      <c r="I112" s="191"/>
      <c r="J112" s="4"/>
      <c r="K112" s="173"/>
      <c r="L112" s="4"/>
      <c r="M112" s="4"/>
      <c r="N112" s="4"/>
      <c r="O112" s="194" t="e">
        <f>IF(O111+1&lt;=MIN('Données projet'!$E$9:$E$18),O111+1,"STOP")</f>
        <v>#VALUE!</v>
      </c>
      <c r="P112" s="185" t="e">
        <f t="shared" si="7"/>
        <v>#VALUE!</v>
      </c>
      <c r="Q112" s="235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45">
      <c r="A113" s="49">
        <v>3</v>
      </c>
      <c r="B113" s="199" t="s">
        <v>132</v>
      </c>
      <c r="C113" s="198" t="s">
        <v>132</v>
      </c>
      <c r="D113" s="197" t="s">
        <v>132</v>
      </c>
      <c r="E113" s="193"/>
      <c r="F113" s="231"/>
      <c r="G113" s="23"/>
      <c r="H113" s="190"/>
      <c r="I113" s="191"/>
      <c r="J113" s="4"/>
      <c r="K113" s="173"/>
      <c r="L113" s="4"/>
      <c r="M113" s="4"/>
      <c r="N113" s="4"/>
      <c r="O113" s="194" t="e">
        <f>IF(O112+1&lt;=MIN('Données projet'!$E$9:$E$18),O112+1,"STOP")</f>
        <v>#VALUE!</v>
      </c>
      <c r="P113" s="185" t="e">
        <f t="shared" si="7"/>
        <v>#VALUE!</v>
      </c>
      <c r="Q113" s="235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45">
      <c r="A114" s="49">
        <v>4</v>
      </c>
      <c r="B114" s="199" t="s">
        <v>132</v>
      </c>
      <c r="C114" s="198" t="s">
        <v>132</v>
      </c>
      <c r="D114" s="197" t="s">
        <v>132</v>
      </c>
      <c r="E114" s="193"/>
      <c r="F114" s="231"/>
      <c r="G114" s="23"/>
      <c r="H114" s="190"/>
      <c r="I114" s="191"/>
      <c r="J114" s="4"/>
      <c r="K114" s="173"/>
      <c r="L114" s="4"/>
      <c r="M114" s="4"/>
      <c r="N114" s="4"/>
      <c r="O114" s="194" t="e">
        <f>IF(O113+1&lt;=MIN('Données projet'!$E$9:$E$18),O113+1,"STOP")</f>
        <v>#VALUE!</v>
      </c>
      <c r="P114" s="185" t="e">
        <f t="shared" si="7"/>
        <v>#VALUE!</v>
      </c>
      <c r="Q114" s="235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45">
      <c r="A115" s="49">
        <v>5</v>
      </c>
      <c r="B115" s="199" t="s">
        <v>132</v>
      </c>
      <c r="C115" s="198" t="s">
        <v>132</v>
      </c>
      <c r="D115" s="197" t="s">
        <v>132</v>
      </c>
      <c r="E115" s="193"/>
      <c r="F115" s="231"/>
      <c r="G115" s="205"/>
      <c r="H115" s="190"/>
      <c r="I115" s="191"/>
      <c r="J115" s="4"/>
      <c r="K115" s="173"/>
      <c r="L115" s="4"/>
      <c r="M115" s="4"/>
      <c r="N115" s="4"/>
      <c r="O115" s="194" t="e">
        <f>IF(O114+1&lt;=MIN('Données projet'!$E$9:$E$18),O114+1,"STOP")</f>
        <v>#VALUE!</v>
      </c>
      <c r="P115" s="185" t="e">
        <f t="shared" si="7"/>
        <v>#VALUE!</v>
      </c>
      <c r="Q115" s="235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45">
      <c r="A116" s="180">
        <f>'Données projet'!A114</f>
        <v>0</v>
      </c>
      <c r="B116" s="181">
        <f>'Données projet'!D114</f>
        <v>0</v>
      </c>
      <c r="C116" s="191"/>
      <c r="D116" s="179">
        <f>B116*C116</f>
        <v>0</v>
      </c>
      <c r="E116" s="193"/>
      <c r="F116" s="232"/>
      <c r="G116" s="205"/>
      <c r="H116" s="190"/>
      <c r="I116" s="191"/>
      <c r="J116" s="4"/>
      <c r="K116" s="173"/>
      <c r="L116" s="4"/>
      <c r="M116" s="4"/>
      <c r="N116" s="4"/>
      <c r="O116" s="194" t="e">
        <f>IF(O115+1&lt;=MIN('Données projet'!$E$9:$E$18),O115+1,"STOP")</f>
        <v>#VALUE!</v>
      </c>
      <c r="P116" s="185" t="e">
        <f t="shared" si="7"/>
        <v>#VALUE!</v>
      </c>
      <c r="Q116" s="235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45">
      <c r="A117" s="180">
        <f>'Données projet'!A115</f>
        <v>0</v>
      </c>
      <c r="B117" s="181">
        <f>'Données projet'!D115</f>
        <v>0</v>
      </c>
      <c r="C117" s="191"/>
      <c r="D117" s="179">
        <f t="shared" ref="D117:D135" si="8">B117*C117</f>
        <v>0</v>
      </c>
      <c r="E117" s="193"/>
      <c r="F117" s="232"/>
      <c r="G117" s="205"/>
      <c r="H117" s="190"/>
      <c r="I117" s="191"/>
      <c r="J117" s="4"/>
      <c r="K117" s="173"/>
      <c r="L117" s="4"/>
      <c r="M117" s="4"/>
      <c r="N117" s="4"/>
      <c r="O117" s="194" t="e">
        <f>IF(O116+1&lt;=MIN('Données projet'!$E$9:$E$18),O116+1,"STOP")</f>
        <v>#VALUE!</v>
      </c>
      <c r="P117" s="185" t="e">
        <f t="shared" si="7"/>
        <v>#VALUE!</v>
      </c>
      <c r="Q117" s="235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45">
      <c r="A118" s="180">
        <f>'Données projet'!A116</f>
        <v>0</v>
      </c>
      <c r="B118" s="181">
        <f>'Données projet'!D116</f>
        <v>0</v>
      </c>
      <c r="C118" s="191"/>
      <c r="D118" s="179">
        <f t="shared" si="8"/>
        <v>0</v>
      </c>
      <c r="E118" s="193"/>
      <c r="F118" s="232"/>
      <c r="G118" s="205"/>
      <c r="H118" s="190"/>
      <c r="I118" s="191"/>
      <c r="J118" s="4"/>
      <c r="K118" s="173"/>
      <c r="L118" s="4"/>
      <c r="M118" s="4"/>
      <c r="N118" s="4"/>
      <c r="O118" s="194" t="e">
        <f>IF(O117+1&lt;=MIN('Données projet'!$E$9:$E$18),O117+1,"STOP")</f>
        <v>#VALUE!</v>
      </c>
      <c r="P118" s="185" t="e">
        <f t="shared" si="7"/>
        <v>#VALUE!</v>
      </c>
      <c r="Q118" s="235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45">
      <c r="A119" s="180">
        <f>'Données projet'!A117</f>
        <v>0</v>
      </c>
      <c r="B119" s="181">
        <f>'Données projet'!D117</f>
        <v>0</v>
      </c>
      <c r="C119" s="191"/>
      <c r="D119" s="179">
        <f t="shared" si="8"/>
        <v>0</v>
      </c>
      <c r="E119" s="193"/>
      <c r="F119" s="232"/>
      <c r="G119" s="205"/>
      <c r="H119" s="190"/>
      <c r="I119" s="191"/>
      <c r="J119" s="4"/>
      <c r="K119" s="173"/>
      <c r="L119" s="4"/>
      <c r="M119" s="4"/>
      <c r="N119" s="4"/>
      <c r="O119" s="194" t="e">
        <f>IF(O118+1&lt;=MIN('Données projet'!$E$9:$E$18),O118+1,"STOP")</f>
        <v>#VALUE!</v>
      </c>
      <c r="P119" s="185" t="e">
        <f t="shared" si="7"/>
        <v>#VALUE!</v>
      </c>
      <c r="Q119" s="235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45">
      <c r="A120" s="180">
        <f>'Données projet'!A118</f>
        <v>0</v>
      </c>
      <c r="B120" s="181">
        <f>'Données projet'!D118</f>
        <v>0</v>
      </c>
      <c r="C120" s="191"/>
      <c r="D120" s="179">
        <f t="shared" si="8"/>
        <v>0</v>
      </c>
      <c r="E120" s="193"/>
      <c r="F120" s="232"/>
      <c r="G120" s="205"/>
      <c r="H120" s="190"/>
      <c r="I120" s="191"/>
      <c r="J120" s="4"/>
      <c r="K120" s="173"/>
      <c r="L120" s="4"/>
      <c r="M120" s="4"/>
      <c r="N120" s="4"/>
      <c r="O120" s="194" t="e">
        <f>IF(O119+1&lt;=MIN('Données projet'!$E$9:$E$18),O119+1,"STOP")</f>
        <v>#VALUE!</v>
      </c>
      <c r="P120" s="185" t="e">
        <f t="shared" si="7"/>
        <v>#VALUE!</v>
      </c>
      <c r="Q120" s="235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45">
      <c r="A121" s="180">
        <f>'Données projet'!A119</f>
        <v>0</v>
      </c>
      <c r="B121" s="181">
        <f>'Données projet'!D119</f>
        <v>0</v>
      </c>
      <c r="C121" s="191"/>
      <c r="D121" s="179">
        <f t="shared" si="8"/>
        <v>0</v>
      </c>
      <c r="E121" s="193"/>
      <c r="F121" s="232"/>
      <c r="G121" s="205"/>
      <c r="H121" s="190"/>
      <c r="I121" s="191"/>
      <c r="J121" s="4"/>
      <c r="K121" s="173"/>
      <c r="L121" s="4"/>
      <c r="M121" s="4"/>
      <c r="N121" s="4"/>
      <c r="O121" s="194" t="e">
        <f>IF(O120+1&lt;=MIN('Données projet'!$E$9:$E$18),O120+1,"STOP")</f>
        <v>#VALUE!</v>
      </c>
      <c r="P121" s="185" t="e">
        <f t="shared" si="7"/>
        <v>#VALUE!</v>
      </c>
      <c r="Q121" s="235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45">
      <c r="A122" s="180">
        <f>'Données projet'!A120</f>
        <v>0</v>
      </c>
      <c r="B122" s="181">
        <f>'Données projet'!D120</f>
        <v>0</v>
      </c>
      <c r="C122" s="191"/>
      <c r="D122" s="179">
        <f t="shared" si="8"/>
        <v>0</v>
      </c>
      <c r="E122" s="193"/>
      <c r="F122" s="232"/>
      <c r="G122" s="206"/>
      <c r="H122" s="190"/>
      <c r="I122" s="191"/>
      <c r="J122" s="4"/>
      <c r="K122" s="173"/>
      <c r="L122" s="4"/>
      <c r="M122" s="4"/>
      <c r="N122" s="4"/>
      <c r="O122" s="194" t="e">
        <f>IF(O121+1&lt;=MIN('Données projet'!$E$9:$E$18),O121+1,"STOP")</f>
        <v>#VALUE!</v>
      </c>
      <c r="P122" s="185" t="e">
        <f t="shared" si="7"/>
        <v>#VALUE!</v>
      </c>
      <c r="Q122" s="235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45">
      <c r="A123" s="180">
        <f>'Données projet'!A121</f>
        <v>0</v>
      </c>
      <c r="B123" s="181">
        <f>'Données projet'!D121</f>
        <v>0</v>
      </c>
      <c r="C123" s="191"/>
      <c r="D123" s="179">
        <f t="shared" si="8"/>
        <v>0</v>
      </c>
      <c r="E123" s="193"/>
      <c r="F123" s="232"/>
      <c r="G123" s="206"/>
      <c r="H123" s="190"/>
      <c r="I123" s="191"/>
      <c r="J123" s="4"/>
      <c r="K123" s="173"/>
      <c r="L123" s="4"/>
      <c r="M123" s="4"/>
      <c r="N123" s="4"/>
      <c r="O123" s="194" t="e">
        <f>IF(O122+1&lt;=MIN('Données projet'!$E$9:$E$18),O122+1,"STOP")</f>
        <v>#VALUE!</v>
      </c>
      <c r="P123" s="185" t="e">
        <f t="shared" si="7"/>
        <v>#VALUE!</v>
      </c>
      <c r="Q123" s="235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45">
      <c r="A124" s="180">
        <f>'Données projet'!A122</f>
        <v>0</v>
      </c>
      <c r="B124" s="181">
        <f>'Données projet'!D122</f>
        <v>0</v>
      </c>
      <c r="C124" s="191"/>
      <c r="D124" s="179">
        <f t="shared" si="8"/>
        <v>0</v>
      </c>
      <c r="E124" s="193"/>
      <c r="F124" s="232"/>
      <c r="G124" s="206"/>
      <c r="H124" s="190"/>
      <c r="I124" s="191"/>
      <c r="J124" s="4"/>
      <c r="K124" s="173"/>
      <c r="L124" s="4"/>
      <c r="M124" s="4"/>
      <c r="N124" s="4"/>
      <c r="O124" s="194" t="e">
        <f>IF(O123+1&lt;=MIN('Données projet'!$E$9:$E$18),O123+1,"STOP")</f>
        <v>#VALUE!</v>
      </c>
      <c r="P124" s="185" t="e">
        <f t="shared" si="7"/>
        <v>#VALUE!</v>
      </c>
      <c r="Q124" s="235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45">
      <c r="A125" s="180">
        <f>'Données projet'!A123</f>
        <v>0</v>
      </c>
      <c r="B125" s="181">
        <f>'Données projet'!D123</f>
        <v>0</v>
      </c>
      <c r="C125" s="191"/>
      <c r="D125" s="179">
        <f t="shared" si="8"/>
        <v>0</v>
      </c>
      <c r="E125" s="193"/>
      <c r="F125" s="232"/>
      <c r="G125" s="206"/>
      <c r="H125" s="190"/>
      <c r="I125" s="191"/>
      <c r="J125" s="4"/>
      <c r="K125" s="173"/>
      <c r="L125" s="4"/>
      <c r="M125" s="4"/>
      <c r="N125" s="4"/>
      <c r="O125" s="194" t="e">
        <f>IF(O124+1&lt;=MIN('Données projet'!$E$9:$E$18),O124+1,"STOP")</f>
        <v>#VALUE!</v>
      </c>
      <c r="P125" s="185" t="e">
        <f t="shared" si="7"/>
        <v>#VALUE!</v>
      </c>
      <c r="Q125" s="235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45">
      <c r="A126" s="180">
        <f>'Données projet'!A124</f>
        <v>0</v>
      </c>
      <c r="B126" s="181">
        <f>'Données projet'!D124</f>
        <v>0</v>
      </c>
      <c r="C126" s="191"/>
      <c r="D126" s="179">
        <f t="shared" si="8"/>
        <v>0</v>
      </c>
      <c r="E126" s="193"/>
      <c r="F126" s="232"/>
      <c r="G126" s="206"/>
      <c r="H126" s="190"/>
      <c r="I126" s="191"/>
      <c r="J126" s="4"/>
      <c r="K126" s="173"/>
      <c r="L126" s="4"/>
      <c r="M126" s="4"/>
      <c r="N126" s="4"/>
      <c r="O126" s="194" t="e">
        <f>IF(O125+1&lt;=MIN('Données projet'!$E$9:$E$18),O125+1,"STOP")</f>
        <v>#VALUE!</v>
      </c>
      <c r="P126" s="185" t="e">
        <f t="shared" si="7"/>
        <v>#VALUE!</v>
      </c>
      <c r="Q126" s="235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45">
      <c r="A127" s="180">
        <f>'Données projet'!A125</f>
        <v>0</v>
      </c>
      <c r="B127" s="181">
        <f>'Données projet'!D125</f>
        <v>0</v>
      </c>
      <c r="C127" s="191"/>
      <c r="D127" s="179">
        <f t="shared" si="8"/>
        <v>0</v>
      </c>
      <c r="E127" s="193"/>
      <c r="F127" s="232"/>
      <c r="G127" s="206"/>
      <c r="H127" s="190"/>
      <c r="I127" s="191"/>
      <c r="J127" s="4"/>
      <c r="K127" s="173"/>
      <c r="L127" s="4"/>
      <c r="M127" s="4"/>
      <c r="N127" s="4"/>
      <c r="O127" s="194" t="e">
        <f>IF(O126+1&lt;=MIN('Données projet'!$E$9:$E$18),O126+1,"STOP")</f>
        <v>#VALUE!</v>
      </c>
      <c r="P127" s="185" t="e">
        <f t="shared" si="7"/>
        <v>#VALUE!</v>
      </c>
      <c r="Q127" s="235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45">
      <c r="A128" s="180">
        <f>'Données projet'!A126</f>
        <v>0</v>
      </c>
      <c r="B128" s="181">
        <f>'Données projet'!D126</f>
        <v>0</v>
      </c>
      <c r="C128" s="191"/>
      <c r="D128" s="179">
        <f t="shared" si="8"/>
        <v>0</v>
      </c>
      <c r="E128" s="193"/>
      <c r="F128" s="232"/>
      <c r="G128" s="206"/>
      <c r="H128" s="190"/>
      <c r="I128" s="191"/>
      <c r="J128" s="4"/>
      <c r="K128" s="173"/>
      <c r="L128" s="4"/>
      <c r="M128" s="4"/>
      <c r="N128" s="4"/>
      <c r="O128" s="194" t="e">
        <f>IF(O127+1&lt;=MIN('Données projet'!$E$9:$E$18),O127+1,"STOP")</f>
        <v>#VALUE!</v>
      </c>
      <c r="P128" s="185" t="e">
        <f t="shared" si="7"/>
        <v>#VALUE!</v>
      </c>
      <c r="Q128" s="235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45">
      <c r="A129" s="180">
        <f>'Données projet'!A127</f>
        <v>0</v>
      </c>
      <c r="B129" s="181">
        <f>'Données projet'!D127</f>
        <v>0</v>
      </c>
      <c r="C129" s="191"/>
      <c r="D129" s="179">
        <f t="shared" si="8"/>
        <v>0</v>
      </c>
      <c r="E129" s="193"/>
      <c r="F129" s="232"/>
      <c r="G129" s="206"/>
      <c r="H129" s="190"/>
      <c r="I129" s="191"/>
      <c r="J129" s="4"/>
      <c r="K129" s="173"/>
      <c r="L129" s="4"/>
      <c r="M129" s="4"/>
      <c r="N129" s="4"/>
      <c r="O129" s="194" t="e">
        <f>IF(O128+1&lt;=MIN('Données projet'!$E$9:$E$18),O128+1,"STOP")</f>
        <v>#VALUE!</v>
      </c>
      <c r="P129" s="185" t="e">
        <f t="shared" ref="P129:P132" si="9">$P$25/(1+$M$4)^O129</f>
        <v>#VALUE!</v>
      </c>
      <c r="Q129" s="235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45">
      <c r="A130" s="180">
        <f>'Données projet'!A128</f>
        <v>0</v>
      </c>
      <c r="B130" s="181">
        <f>'Données projet'!D128</f>
        <v>0</v>
      </c>
      <c r="C130" s="191"/>
      <c r="D130" s="179">
        <f t="shared" si="8"/>
        <v>0</v>
      </c>
      <c r="E130" s="193"/>
      <c r="F130" s="232"/>
      <c r="G130" s="206"/>
      <c r="H130" s="190"/>
      <c r="I130" s="191"/>
      <c r="J130" s="4"/>
      <c r="K130" s="173"/>
      <c r="L130" s="4"/>
      <c r="M130" s="4"/>
      <c r="N130" s="4"/>
      <c r="O130" s="194" t="e">
        <f>IF(O129+1&lt;=MIN('Données projet'!$E$9:$E$18),O129+1,"STOP")</f>
        <v>#VALUE!</v>
      </c>
      <c r="P130" s="185" t="e">
        <f t="shared" si="9"/>
        <v>#VALUE!</v>
      </c>
      <c r="Q130" s="235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45">
      <c r="A131" s="180">
        <f>'Données projet'!A129</f>
        <v>0</v>
      </c>
      <c r="B131" s="181">
        <f>'Données projet'!D129</f>
        <v>0</v>
      </c>
      <c r="C131" s="191"/>
      <c r="D131" s="179">
        <f t="shared" si="8"/>
        <v>0</v>
      </c>
      <c r="E131" s="193"/>
      <c r="F131" s="232"/>
      <c r="G131" s="206"/>
      <c r="H131" s="190"/>
      <c r="I131" s="191"/>
      <c r="J131" s="4"/>
      <c r="K131" s="173"/>
      <c r="L131" s="4"/>
      <c r="M131" s="4"/>
      <c r="N131" s="4"/>
      <c r="O131" s="194" t="e">
        <f>IF(O130+1&lt;=MIN('Données projet'!$E$9:$E$18),O130+1,"STOP")</f>
        <v>#VALUE!</v>
      </c>
      <c r="P131" s="185" t="e">
        <f t="shared" si="9"/>
        <v>#VALUE!</v>
      </c>
      <c r="Q131" s="235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45">
      <c r="A132" s="180">
        <f>'Données projet'!A130</f>
        <v>0</v>
      </c>
      <c r="B132" s="181">
        <f>'Données projet'!D130</f>
        <v>0</v>
      </c>
      <c r="C132" s="191"/>
      <c r="D132" s="179">
        <f t="shared" si="8"/>
        <v>0</v>
      </c>
      <c r="E132" s="193"/>
      <c r="F132" s="232"/>
      <c r="G132" s="206"/>
      <c r="H132" s="190"/>
      <c r="I132" s="191"/>
      <c r="J132" s="4"/>
      <c r="K132" s="173"/>
      <c r="L132" s="4"/>
      <c r="M132" s="4"/>
      <c r="N132" s="4"/>
      <c r="O132" s="194" t="e">
        <f>IF(O131+1&lt;=MIN('Données projet'!$E$9:$E$18),O131+1,"STOP")</f>
        <v>#VALUE!</v>
      </c>
      <c r="P132" s="185" t="e">
        <f t="shared" si="9"/>
        <v>#VALUE!</v>
      </c>
      <c r="Q132" s="235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45">
      <c r="A133" s="180">
        <f>'Données projet'!A131</f>
        <v>0</v>
      </c>
      <c r="B133" s="181">
        <f>'Données projet'!D131</f>
        <v>0</v>
      </c>
      <c r="C133" s="191"/>
      <c r="D133" s="179">
        <f t="shared" si="8"/>
        <v>0</v>
      </c>
      <c r="E133" s="193"/>
      <c r="F133" s="232"/>
      <c r="G133" s="206"/>
      <c r="H133" s="190"/>
      <c r="I133" s="191"/>
      <c r="J133" s="4"/>
      <c r="K133" s="173"/>
      <c r="Q133" s="235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45">
      <c r="A134" s="180">
        <f>'Données projet'!A132</f>
        <v>0</v>
      </c>
      <c r="B134" s="181">
        <f>'Données projet'!D132</f>
        <v>0</v>
      </c>
      <c r="C134" s="191"/>
      <c r="D134" s="179">
        <f t="shared" si="8"/>
        <v>0</v>
      </c>
      <c r="E134" s="193"/>
      <c r="F134" s="232"/>
      <c r="G134" s="206"/>
      <c r="H134" s="190"/>
      <c r="I134" s="191"/>
      <c r="J134" s="4"/>
      <c r="K134" s="173"/>
      <c r="Q134" s="235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45">
      <c r="A135" s="180">
        <f>'Données projet'!A133</f>
        <v>0</v>
      </c>
      <c r="B135" s="181">
        <f>'Données projet'!D133</f>
        <v>0</v>
      </c>
      <c r="C135" s="191"/>
      <c r="D135" s="179">
        <f t="shared" si="8"/>
        <v>0</v>
      </c>
      <c r="E135" s="193"/>
      <c r="F135" s="232"/>
      <c r="G135" s="206"/>
      <c r="H135" s="190"/>
      <c r="I135" s="191"/>
      <c r="J135" s="4"/>
      <c r="K135" s="173"/>
      <c r="Q135" s="235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45">
      <c r="A136" s="4"/>
      <c r="B136" s="4"/>
      <c r="C136" s="4"/>
      <c r="D136" s="4"/>
      <c r="E136" s="4"/>
      <c r="F136" s="230"/>
      <c r="G136" s="206"/>
      <c r="H136" s="190"/>
      <c r="I136" s="191"/>
      <c r="J136" s="4"/>
      <c r="K136" s="173"/>
      <c r="L136" s="4"/>
      <c r="M136" s="4"/>
      <c r="N136" s="4"/>
      <c r="Q136" s="235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45">
      <c r="A137" s="4"/>
      <c r="B137" s="4"/>
      <c r="C137" s="4"/>
      <c r="D137" s="4"/>
      <c r="E137" s="4"/>
      <c r="F137" s="230"/>
      <c r="G137" s="206"/>
      <c r="H137" s="190"/>
      <c r="I137" s="191"/>
      <c r="J137" s="4"/>
      <c r="K137" s="173"/>
      <c r="L137" s="4"/>
      <c r="M137" s="4"/>
      <c r="N137" s="4"/>
      <c r="Q137" s="235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45">
      <c r="A138" s="46" t="s">
        <v>169</v>
      </c>
      <c r="B138" s="174" t="str">
        <f>IF('Données projet'!B13="","",'Données projet'!B13)</f>
        <v/>
      </c>
      <c r="C138" s="4"/>
      <c r="D138" s="4"/>
      <c r="E138" s="4"/>
      <c r="F138" s="230"/>
      <c r="G138" s="206"/>
      <c r="H138" s="190"/>
      <c r="I138" s="191"/>
      <c r="J138" s="4"/>
      <c r="K138" s="173"/>
      <c r="L138" s="4"/>
      <c r="M138" s="4"/>
      <c r="N138" s="4"/>
      <c r="Q138" s="235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45">
      <c r="A139" s="4"/>
      <c r="B139" s="4"/>
      <c r="C139" s="4"/>
      <c r="D139" s="4"/>
      <c r="E139" s="4"/>
      <c r="F139" s="230"/>
      <c r="G139" s="206"/>
      <c r="H139" s="190"/>
      <c r="I139" s="191"/>
      <c r="J139" s="4"/>
      <c r="K139" s="173"/>
      <c r="L139" s="4"/>
      <c r="M139" s="4"/>
      <c r="N139" s="4"/>
      <c r="Q139" s="235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45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31"/>
      <c r="G140" s="206"/>
      <c r="H140" s="190"/>
      <c r="I140" s="191"/>
      <c r="J140" s="4"/>
      <c r="K140" s="173"/>
      <c r="L140" s="4"/>
      <c r="M140" s="4"/>
      <c r="N140" s="4"/>
      <c r="Q140" s="235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45">
      <c r="A141" s="49">
        <v>0</v>
      </c>
      <c r="B141" s="199" t="s">
        <v>132</v>
      </c>
      <c r="C141" s="198" t="s">
        <v>132</v>
      </c>
      <c r="D141" s="197" t="s">
        <v>132</v>
      </c>
      <c r="E141" s="193"/>
      <c r="F141" s="231"/>
      <c r="G141" s="206"/>
      <c r="H141" s="190"/>
      <c r="I141" s="191"/>
      <c r="J141" s="4"/>
      <c r="K141" s="173"/>
      <c r="L141" s="4"/>
      <c r="M141" s="4"/>
      <c r="N141" s="4"/>
      <c r="Q141" s="235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45">
      <c r="A142" s="49">
        <v>1</v>
      </c>
      <c r="B142" s="199" t="s">
        <v>132</v>
      </c>
      <c r="C142" s="198" t="s">
        <v>132</v>
      </c>
      <c r="D142" s="197" t="s">
        <v>132</v>
      </c>
      <c r="E142" s="193"/>
      <c r="F142" s="231"/>
      <c r="G142" s="23"/>
      <c r="H142" s="190"/>
      <c r="I142" s="191"/>
      <c r="J142" s="4"/>
      <c r="K142" s="173"/>
      <c r="L142" s="4"/>
      <c r="M142" s="4"/>
      <c r="N142" s="4"/>
      <c r="Q142" s="235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45">
      <c r="A143" s="49">
        <v>2</v>
      </c>
      <c r="B143" s="199" t="s">
        <v>132</v>
      </c>
      <c r="C143" s="198" t="s">
        <v>132</v>
      </c>
      <c r="D143" s="197" t="s">
        <v>132</v>
      </c>
      <c r="E143" s="193"/>
      <c r="F143" s="231"/>
      <c r="G143" s="23"/>
      <c r="H143" s="190"/>
      <c r="I143" s="191"/>
      <c r="J143" s="4"/>
      <c r="K143" s="173"/>
      <c r="L143" s="4"/>
      <c r="M143" s="4"/>
      <c r="N143" s="4"/>
      <c r="Q143" s="235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45">
      <c r="A144" s="49">
        <v>3</v>
      </c>
      <c r="B144" s="199" t="s">
        <v>132</v>
      </c>
      <c r="C144" s="198" t="s">
        <v>132</v>
      </c>
      <c r="D144" s="197" t="s">
        <v>132</v>
      </c>
      <c r="E144" s="193"/>
      <c r="F144" s="231"/>
      <c r="G144" s="23"/>
      <c r="H144" s="190"/>
      <c r="I144" s="191"/>
      <c r="J144" s="4"/>
      <c r="K144" s="173"/>
      <c r="L144" s="4"/>
      <c r="M144" s="4"/>
      <c r="N144" s="4"/>
      <c r="Q144" s="235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45">
      <c r="A145" s="49">
        <v>4</v>
      </c>
      <c r="B145" s="199" t="s">
        <v>132</v>
      </c>
      <c r="C145" s="198" t="s">
        <v>132</v>
      </c>
      <c r="D145" s="197" t="s">
        <v>132</v>
      </c>
      <c r="E145" s="193"/>
      <c r="F145" s="231"/>
      <c r="G145" s="23"/>
      <c r="H145" s="190"/>
      <c r="I145" s="191"/>
      <c r="J145" s="4"/>
      <c r="K145" s="173"/>
      <c r="L145" s="4"/>
      <c r="M145" s="4"/>
      <c r="N145" s="4"/>
      <c r="Q145" s="235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45">
      <c r="A146" s="49">
        <v>5</v>
      </c>
      <c r="B146" s="199" t="s">
        <v>132</v>
      </c>
      <c r="C146" s="198" t="s">
        <v>132</v>
      </c>
      <c r="D146" s="197" t="s">
        <v>132</v>
      </c>
      <c r="E146" s="193"/>
      <c r="F146" s="231"/>
      <c r="G146" s="205"/>
      <c r="H146" s="190"/>
      <c r="I146" s="191"/>
      <c r="J146" s="4"/>
      <c r="K146" s="173"/>
      <c r="L146" s="4"/>
      <c r="M146" s="4"/>
      <c r="N146" s="4"/>
      <c r="Q146" s="235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45">
      <c r="A147" s="42">
        <f>'Données projet'!A140</f>
        <v>0</v>
      </c>
      <c r="B147" s="175">
        <f>'Données projet'!D140</f>
        <v>0</v>
      </c>
      <c r="C147" s="191"/>
      <c r="D147" s="182">
        <f>B147*C147</f>
        <v>0</v>
      </c>
      <c r="E147" s="193"/>
      <c r="F147" s="233"/>
      <c r="G147" s="205"/>
      <c r="H147" s="190"/>
      <c r="I147" s="191"/>
      <c r="J147" s="4"/>
      <c r="K147" s="173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45">
      <c r="A148" s="42">
        <f>'Données projet'!A141</f>
        <v>0</v>
      </c>
      <c r="B148" s="175">
        <f>'Données projet'!D141</f>
        <v>0</v>
      </c>
      <c r="C148" s="191"/>
      <c r="D148" s="182">
        <f t="shared" ref="D148:D166" si="10">B148*C148</f>
        <v>0</v>
      </c>
      <c r="E148" s="193"/>
      <c r="F148" s="233"/>
      <c r="G148" s="205"/>
      <c r="H148" s="190"/>
      <c r="I148" s="191"/>
      <c r="J148" s="4"/>
      <c r="K148" s="173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45">
      <c r="A149" s="42">
        <f>'Données projet'!A142</f>
        <v>0</v>
      </c>
      <c r="B149" s="175">
        <f>'Données projet'!D142</f>
        <v>0</v>
      </c>
      <c r="C149" s="191"/>
      <c r="D149" s="182">
        <f t="shared" si="10"/>
        <v>0</v>
      </c>
      <c r="E149" s="193"/>
      <c r="F149" s="233"/>
      <c r="G149" s="205"/>
      <c r="H149" s="190"/>
      <c r="I149" s="191"/>
      <c r="J149" s="4"/>
      <c r="K149" s="173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45">
      <c r="A150" s="42">
        <f>'Données projet'!A143</f>
        <v>0</v>
      </c>
      <c r="B150" s="175">
        <f>'Données projet'!D143</f>
        <v>0</v>
      </c>
      <c r="C150" s="191"/>
      <c r="D150" s="182">
        <f t="shared" si="10"/>
        <v>0</v>
      </c>
      <c r="E150" s="193"/>
      <c r="F150" s="233"/>
      <c r="G150" s="205"/>
      <c r="H150" s="190"/>
      <c r="I150" s="191"/>
      <c r="J150" s="4"/>
      <c r="K150" s="173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45">
      <c r="A151" s="42">
        <f>'Données projet'!A144</f>
        <v>0</v>
      </c>
      <c r="B151" s="175">
        <f>'Données projet'!D144</f>
        <v>0</v>
      </c>
      <c r="C151" s="191"/>
      <c r="D151" s="182">
        <f t="shared" si="10"/>
        <v>0</v>
      </c>
      <c r="E151" s="193"/>
      <c r="F151" s="233"/>
      <c r="G151" s="205"/>
      <c r="H151" s="190"/>
      <c r="I151" s="191"/>
      <c r="J151" s="4"/>
      <c r="K151" s="173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45">
      <c r="A152" s="42">
        <f>'Données projet'!A145</f>
        <v>0</v>
      </c>
      <c r="B152" s="175">
        <f>'Données projet'!D145</f>
        <v>0</v>
      </c>
      <c r="C152" s="191"/>
      <c r="D152" s="182">
        <f t="shared" si="10"/>
        <v>0</v>
      </c>
      <c r="E152" s="193"/>
      <c r="F152" s="233"/>
      <c r="G152" s="205"/>
      <c r="H152" s="190"/>
      <c r="I152" s="191"/>
      <c r="J152" s="4"/>
      <c r="K152" s="173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45">
      <c r="A153" s="42">
        <f>'Données projet'!A146</f>
        <v>0</v>
      </c>
      <c r="B153" s="175">
        <f>'Données projet'!D146</f>
        <v>0</v>
      </c>
      <c r="C153" s="191"/>
      <c r="D153" s="182">
        <f t="shared" si="10"/>
        <v>0</v>
      </c>
      <c r="E153" s="193"/>
      <c r="F153" s="233"/>
      <c r="G153" s="203"/>
      <c r="H153" s="190"/>
      <c r="I153" s="191"/>
      <c r="J153" s="4"/>
      <c r="K153" s="173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45">
      <c r="A154" s="42">
        <f>'Données projet'!A147</f>
        <v>0</v>
      </c>
      <c r="B154" s="175">
        <f>'Données projet'!D147</f>
        <v>0</v>
      </c>
      <c r="C154" s="191"/>
      <c r="D154" s="182">
        <f t="shared" si="10"/>
        <v>0</v>
      </c>
      <c r="E154" s="193"/>
      <c r="F154" s="233"/>
      <c r="G154" s="203"/>
      <c r="H154" s="190"/>
      <c r="I154" s="191"/>
      <c r="J154" s="4"/>
      <c r="K154" s="173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45">
      <c r="A155" s="42">
        <f>'Données projet'!A148</f>
        <v>0</v>
      </c>
      <c r="B155" s="175">
        <f>'Données projet'!D148</f>
        <v>0</v>
      </c>
      <c r="C155" s="191"/>
      <c r="D155" s="182">
        <f t="shared" si="10"/>
        <v>0</v>
      </c>
      <c r="E155" s="193"/>
      <c r="F155" s="233"/>
      <c r="G155" s="203"/>
      <c r="H155" s="190"/>
      <c r="I155" s="191"/>
      <c r="J155" s="4"/>
      <c r="K155" s="173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45">
      <c r="A156" s="42">
        <f>'Données projet'!A149</f>
        <v>0</v>
      </c>
      <c r="B156" s="175">
        <f>'Données projet'!D149</f>
        <v>0</v>
      </c>
      <c r="C156" s="191"/>
      <c r="D156" s="182">
        <f t="shared" si="10"/>
        <v>0</v>
      </c>
      <c r="E156" s="193"/>
      <c r="F156" s="233"/>
      <c r="G156" s="203"/>
      <c r="H156" s="190"/>
      <c r="I156" s="191"/>
      <c r="J156" s="4"/>
      <c r="K156" s="173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45">
      <c r="A157" s="42">
        <f>'Données projet'!A150</f>
        <v>0</v>
      </c>
      <c r="B157" s="175">
        <f>'Données projet'!D150</f>
        <v>0</v>
      </c>
      <c r="C157" s="191"/>
      <c r="D157" s="182">
        <f t="shared" si="10"/>
        <v>0</v>
      </c>
      <c r="E157" s="193"/>
      <c r="F157" s="233"/>
      <c r="G157" s="203"/>
      <c r="H157" s="190"/>
      <c r="I157" s="191"/>
      <c r="J157" s="4"/>
      <c r="K157" s="173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45">
      <c r="A158" s="42">
        <f>'Données projet'!A151</f>
        <v>0</v>
      </c>
      <c r="B158" s="175">
        <f>'Données projet'!D151</f>
        <v>0</v>
      </c>
      <c r="C158" s="191"/>
      <c r="D158" s="182">
        <f t="shared" si="10"/>
        <v>0</v>
      </c>
      <c r="E158" s="193"/>
      <c r="F158" s="233"/>
      <c r="G158" s="203"/>
      <c r="H158" s="190"/>
      <c r="I158" s="191"/>
      <c r="J158" s="4"/>
      <c r="K158" s="173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45">
      <c r="A159" s="42">
        <f>'Données projet'!A152</f>
        <v>0</v>
      </c>
      <c r="B159" s="175">
        <f>'Données projet'!D152</f>
        <v>0</v>
      </c>
      <c r="C159" s="191"/>
      <c r="D159" s="182">
        <f t="shared" si="10"/>
        <v>0</v>
      </c>
      <c r="E159" s="193"/>
      <c r="F159" s="233"/>
      <c r="G159" s="203"/>
      <c r="H159" s="190"/>
      <c r="I159" s="191"/>
      <c r="J159" s="4"/>
      <c r="K159" s="173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45">
      <c r="A160" s="42">
        <f>'Données projet'!A153</f>
        <v>0</v>
      </c>
      <c r="B160" s="175">
        <f>'Données projet'!D153</f>
        <v>0</v>
      </c>
      <c r="C160" s="191"/>
      <c r="D160" s="182">
        <f t="shared" si="10"/>
        <v>0</v>
      </c>
      <c r="E160" s="193"/>
      <c r="F160" s="233"/>
      <c r="G160" s="203"/>
      <c r="H160" s="190"/>
      <c r="I160" s="191"/>
      <c r="J160" s="4"/>
      <c r="K160" s="173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45">
      <c r="A161" s="42">
        <f>'Données projet'!A154</f>
        <v>0</v>
      </c>
      <c r="B161" s="175">
        <f>'Données projet'!D154</f>
        <v>0</v>
      </c>
      <c r="C161" s="191"/>
      <c r="D161" s="182">
        <f t="shared" si="10"/>
        <v>0</v>
      </c>
      <c r="E161" s="193"/>
      <c r="F161" s="233"/>
      <c r="G161" s="203"/>
      <c r="H161" s="190"/>
      <c r="I161" s="191"/>
      <c r="J161" s="4"/>
      <c r="K161" s="173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45">
      <c r="A162" s="42">
        <f>'Données projet'!A155</f>
        <v>0</v>
      </c>
      <c r="B162" s="175">
        <f>'Données projet'!D155</f>
        <v>0</v>
      </c>
      <c r="C162" s="191"/>
      <c r="D162" s="182">
        <f t="shared" si="10"/>
        <v>0</v>
      </c>
      <c r="E162" s="193"/>
      <c r="F162" s="233"/>
      <c r="G162" s="203"/>
      <c r="H162" s="190"/>
      <c r="I162" s="191"/>
      <c r="J162" s="4"/>
      <c r="K162" s="173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45">
      <c r="A163" s="42">
        <f>'Données projet'!A156</f>
        <v>0</v>
      </c>
      <c r="B163" s="175">
        <f>'Données projet'!D156</f>
        <v>0</v>
      </c>
      <c r="C163" s="191"/>
      <c r="D163" s="182">
        <f t="shared" si="10"/>
        <v>0</v>
      </c>
      <c r="E163" s="193"/>
      <c r="F163" s="233"/>
      <c r="G163" s="203"/>
      <c r="H163" s="190"/>
      <c r="I163" s="191"/>
      <c r="J163" s="4"/>
      <c r="K163" s="173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45">
      <c r="A164" s="42">
        <f>'Données projet'!A157</f>
        <v>0</v>
      </c>
      <c r="B164" s="175">
        <f>'Données projet'!D157</f>
        <v>0</v>
      </c>
      <c r="C164" s="191"/>
      <c r="D164" s="182">
        <f t="shared" si="10"/>
        <v>0</v>
      </c>
      <c r="E164" s="193"/>
      <c r="F164" s="233"/>
      <c r="G164" s="203"/>
      <c r="H164" s="190"/>
      <c r="I164" s="191"/>
      <c r="J164" s="4"/>
      <c r="K164" s="173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45">
      <c r="A165" s="42">
        <f>'Données projet'!A158</f>
        <v>0</v>
      </c>
      <c r="B165" s="175">
        <f>'Données projet'!D158</f>
        <v>0</v>
      </c>
      <c r="C165" s="191"/>
      <c r="D165" s="182">
        <f t="shared" si="10"/>
        <v>0</v>
      </c>
      <c r="E165" s="193"/>
      <c r="F165" s="233"/>
      <c r="G165" s="203"/>
      <c r="H165" s="190"/>
      <c r="I165" s="191"/>
      <c r="J165" s="4"/>
      <c r="K165" s="173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45">
      <c r="A166" s="42">
        <f>'Données projet'!A159</f>
        <v>0</v>
      </c>
      <c r="B166" s="175">
        <f>'Données projet'!D159</f>
        <v>0</v>
      </c>
      <c r="C166" s="191"/>
      <c r="D166" s="182">
        <f t="shared" si="10"/>
        <v>0</v>
      </c>
      <c r="E166" s="193"/>
      <c r="F166" s="233"/>
      <c r="G166" s="203"/>
      <c r="H166" s="190"/>
      <c r="I166" s="191"/>
      <c r="J166" s="4"/>
      <c r="K166" s="173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45">
      <c r="A167" s="4"/>
      <c r="B167" s="4"/>
      <c r="C167" s="4"/>
      <c r="D167" s="4"/>
      <c r="E167" s="4"/>
      <c r="F167" s="230"/>
      <c r="G167" s="203"/>
      <c r="H167" s="190"/>
      <c r="I167" s="191"/>
      <c r="J167" s="4"/>
      <c r="K167" s="173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45">
      <c r="A168" s="4"/>
      <c r="B168" s="4"/>
      <c r="C168" s="4"/>
      <c r="D168" s="4"/>
      <c r="E168" s="4"/>
      <c r="F168" s="230"/>
      <c r="G168" s="203"/>
      <c r="H168" s="190"/>
      <c r="I168" s="191"/>
      <c r="J168" s="4"/>
      <c r="K168" s="173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45">
      <c r="A169" s="46" t="s">
        <v>170</v>
      </c>
      <c r="B169" s="174" t="str">
        <f>IF('Données projet'!B14="","",'Données projet'!B14)</f>
        <v/>
      </c>
      <c r="C169" s="4"/>
      <c r="D169" s="4"/>
      <c r="E169" s="4"/>
      <c r="F169" s="230"/>
      <c r="G169" s="203"/>
      <c r="H169" s="190"/>
      <c r="I169" s="191"/>
      <c r="J169" s="4"/>
      <c r="K169" s="173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45">
      <c r="A170" s="4"/>
      <c r="B170" s="4"/>
      <c r="C170" s="4"/>
      <c r="D170" s="4"/>
      <c r="E170" s="4"/>
      <c r="F170" s="230"/>
      <c r="G170" s="203"/>
      <c r="H170" s="190"/>
      <c r="I170" s="191"/>
      <c r="J170" s="4"/>
      <c r="K170" s="173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45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31"/>
      <c r="G171" s="203"/>
      <c r="H171" s="190"/>
      <c r="I171" s="191"/>
      <c r="J171" s="4"/>
      <c r="K171" s="173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45">
      <c r="A172" s="49">
        <v>0</v>
      </c>
      <c r="B172" s="199" t="s">
        <v>132</v>
      </c>
      <c r="C172" s="198" t="s">
        <v>132</v>
      </c>
      <c r="D172" s="197" t="s">
        <v>132</v>
      </c>
      <c r="E172" s="193"/>
      <c r="F172" s="231"/>
      <c r="G172" s="203"/>
      <c r="H172" s="190"/>
      <c r="I172" s="191"/>
      <c r="J172" s="4"/>
      <c r="K172" s="173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45">
      <c r="A173" s="49">
        <v>1</v>
      </c>
      <c r="B173" s="199" t="s">
        <v>132</v>
      </c>
      <c r="C173" s="198" t="s">
        <v>132</v>
      </c>
      <c r="D173" s="197" t="s">
        <v>132</v>
      </c>
      <c r="E173" s="193"/>
      <c r="F173" s="231"/>
      <c r="G173" s="23"/>
      <c r="H173" s="190"/>
      <c r="I173" s="191"/>
      <c r="J173" s="4"/>
      <c r="K173" s="173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45">
      <c r="A174" s="49">
        <v>2</v>
      </c>
      <c r="B174" s="199" t="s">
        <v>132</v>
      </c>
      <c r="C174" s="198" t="s">
        <v>132</v>
      </c>
      <c r="D174" s="197" t="s">
        <v>132</v>
      </c>
      <c r="E174" s="193"/>
      <c r="F174" s="231"/>
      <c r="G174" s="23"/>
      <c r="H174" s="190"/>
      <c r="I174" s="191"/>
      <c r="J174" s="4"/>
      <c r="K174" s="173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45">
      <c r="A175" s="49">
        <v>3</v>
      </c>
      <c r="B175" s="199" t="s">
        <v>132</v>
      </c>
      <c r="C175" s="198" t="s">
        <v>132</v>
      </c>
      <c r="D175" s="197" t="s">
        <v>132</v>
      </c>
      <c r="E175" s="193"/>
      <c r="F175" s="231"/>
      <c r="G175" s="23"/>
      <c r="H175" s="190"/>
      <c r="I175" s="191"/>
      <c r="J175" s="4"/>
      <c r="K175" s="173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45">
      <c r="A176" s="49">
        <v>4</v>
      </c>
      <c r="B176" s="199" t="s">
        <v>132</v>
      </c>
      <c r="C176" s="198" t="s">
        <v>132</v>
      </c>
      <c r="D176" s="197" t="s">
        <v>132</v>
      </c>
      <c r="E176" s="193"/>
      <c r="F176" s="231"/>
      <c r="G176" s="23"/>
      <c r="H176" s="190"/>
      <c r="I176" s="191"/>
      <c r="J176" s="4"/>
      <c r="K176" s="173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45">
      <c r="A177" s="49">
        <v>5</v>
      </c>
      <c r="B177" s="199" t="s">
        <v>132</v>
      </c>
      <c r="C177" s="198" t="s">
        <v>132</v>
      </c>
      <c r="D177" s="197" t="s">
        <v>132</v>
      </c>
      <c r="E177" s="193"/>
      <c r="F177" s="231"/>
      <c r="G177" s="205"/>
      <c r="H177" s="190"/>
      <c r="I177" s="191"/>
      <c r="J177" s="4"/>
      <c r="K177" s="173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45">
      <c r="A178" s="180">
        <f>'Données projet'!A166</f>
        <v>0</v>
      </c>
      <c r="B178" s="181">
        <f>'Données projet'!D166</f>
        <v>0</v>
      </c>
      <c r="C178" s="193"/>
      <c r="D178" s="179">
        <f>B178*C178</f>
        <v>0</v>
      </c>
      <c r="E178" s="193"/>
      <c r="F178" s="232"/>
      <c r="G178" s="205"/>
      <c r="H178" s="190"/>
      <c r="I178" s="191"/>
      <c r="J178" s="4"/>
      <c r="K178" s="173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45">
      <c r="A179" s="180">
        <f>'Données projet'!A167</f>
        <v>0</v>
      </c>
      <c r="B179" s="181">
        <f>'Données projet'!D167</f>
        <v>0</v>
      </c>
      <c r="C179" s="193"/>
      <c r="D179" s="179">
        <f t="shared" ref="D179:D197" si="11">B179*C179</f>
        <v>0</v>
      </c>
      <c r="E179" s="193"/>
      <c r="F179" s="232"/>
      <c r="G179" s="205"/>
      <c r="H179" s="190"/>
      <c r="I179" s="191"/>
      <c r="J179" s="4"/>
      <c r="K179" s="173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45">
      <c r="A180" s="180">
        <f>'Données projet'!A168</f>
        <v>0</v>
      </c>
      <c r="B180" s="181">
        <f>'Données projet'!D168</f>
        <v>0</v>
      </c>
      <c r="C180" s="193"/>
      <c r="D180" s="179">
        <f t="shared" si="11"/>
        <v>0</v>
      </c>
      <c r="E180" s="193"/>
      <c r="F180" s="232"/>
      <c r="G180" s="205"/>
      <c r="H180" s="190"/>
      <c r="I180" s="191"/>
      <c r="J180" s="4"/>
      <c r="K180" s="173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45">
      <c r="A181" s="180">
        <f>'Données projet'!A169</f>
        <v>0</v>
      </c>
      <c r="B181" s="181">
        <f>'Données projet'!D169</f>
        <v>0</v>
      </c>
      <c r="C181" s="193"/>
      <c r="D181" s="179">
        <f t="shared" si="11"/>
        <v>0</v>
      </c>
      <c r="E181" s="193"/>
      <c r="F181" s="232"/>
      <c r="G181" s="205"/>
      <c r="H181" s="190"/>
      <c r="I181" s="191"/>
      <c r="J181" s="4"/>
      <c r="K181" s="173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45">
      <c r="A182" s="180">
        <f>'Données projet'!A170</f>
        <v>0</v>
      </c>
      <c r="B182" s="181">
        <f>'Données projet'!D170</f>
        <v>0</v>
      </c>
      <c r="C182" s="193"/>
      <c r="D182" s="179">
        <f t="shared" si="11"/>
        <v>0</v>
      </c>
      <c r="E182" s="193"/>
      <c r="F182" s="232"/>
      <c r="G182" s="205"/>
      <c r="H182" s="190"/>
      <c r="I182" s="191"/>
      <c r="J182" s="4"/>
      <c r="K182" s="173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45">
      <c r="A183" s="180">
        <f>'Données projet'!A171</f>
        <v>0</v>
      </c>
      <c r="B183" s="181">
        <f>'Données projet'!D171</f>
        <v>0</v>
      </c>
      <c r="C183" s="193"/>
      <c r="D183" s="179">
        <f t="shared" si="11"/>
        <v>0</v>
      </c>
      <c r="E183" s="193"/>
      <c r="F183" s="232"/>
      <c r="G183" s="205"/>
      <c r="H183" s="190"/>
      <c r="I183" s="191"/>
      <c r="J183" s="4"/>
      <c r="K183" s="173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45">
      <c r="A184" s="180">
        <f>'Données projet'!A172</f>
        <v>0</v>
      </c>
      <c r="B184" s="181">
        <f>'Données projet'!D172</f>
        <v>0</v>
      </c>
      <c r="C184" s="193"/>
      <c r="D184" s="179">
        <f t="shared" si="11"/>
        <v>0</v>
      </c>
      <c r="E184" s="193"/>
      <c r="F184" s="232"/>
      <c r="G184" s="206"/>
      <c r="H184" s="190"/>
      <c r="I184" s="191"/>
      <c r="J184" s="4"/>
      <c r="K184" s="173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45">
      <c r="A185" s="180">
        <f>'Données projet'!A173</f>
        <v>0</v>
      </c>
      <c r="B185" s="181">
        <f>'Données projet'!D173</f>
        <v>0</v>
      </c>
      <c r="C185" s="193"/>
      <c r="D185" s="179">
        <f t="shared" si="11"/>
        <v>0</v>
      </c>
      <c r="E185" s="193"/>
      <c r="F185" s="232"/>
      <c r="G185" s="206"/>
      <c r="H185" s="190"/>
      <c r="I185" s="191"/>
      <c r="J185" s="4"/>
      <c r="K185" s="173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45">
      <c r="A186" s="180">
        <f>'Données projet'!A174</f>
        <v>0</v>
      </c>
      <c r="B186" s="181">
        <f>'Données projet'!D174</f>
        <v>0</v>
      </c>
      <c r="C186" s="193"/>
      <c r="D186" s="179">
        <f t="shared" si="11"/>
        <v>0</v>
      </c>
      <c r="E186" s="193"/>
      <c r="F186" s="232"/>
      <c r="G186" s="206"/>
      <c r="H186" s="190"/>
      <c r="I186" s="191"/>
      <c r="J186" s="4"/>
      <c r="K186" s="173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45">
      <c r="A187" s="180">
        <f>'Données projet'!A175</f>
        <v>0</v>
      </c>
      <c r="B187" s="181">
        <f>'Données projet'!D175</f>
        <v>0</v>
      </c>
      <c r="C187" s="193"/>
      <c r="D187" s="179">
        <f t="shared" si="11"/>
        <v>0</v>
      </c>
      <c r="E187" s="193"/>
      <c r="F187" s="232"/>
      <c r="G187" s="206"/>
      <c r="H187" s="190"/>
      <c r="I187" s="191"/>
      <c r="J187" s="4"/>
      <c r="K187" s="173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45">
      <c r="A188" s="180">
        <f>'Données projet'!A176</f>
        <v>0</v>
      </c>
      <c r="B188" s="181">
        <f>'Données projet'!D176</f>
        <v>0</v>
      </c>
      <c r="C188" s="193"/>
      <c r="D188" s="179">
        <f t="shared" si="11"/>
        <v>0</v>
      </c>
      <c r="E188" s="193"/>
      <c r="F188" s="232"/>
      <c r="G188" s="206"/>
      <c r="H188" s="190"/>
      <c r="I188" s="191"/>
      <c r="J188" s="4"/>
      <c r="K188" s="173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45">
      <c r="A189" s="180">
        <f>'Données projet'!A177</f>
        <v>0</v>
      </c>
      <c r="B189" s="181">
        <f>'Données projet'!D177</f>
        <v>0</v>
      </c>
      <c r="C189" s="193"/>
      <c r="D189" s="179">
        <f t="shared" si="11"/>
        <v>0</v>
      </c>
      <c r="E189" s="193"/>
      <c r="F189" s="232"/>
      <c r="G189" s="206"/>
      <c r="H189" s="190"/>
      <c r="I189" s="191"/>
      <c r="J189" s="4"/>
      <c r="K189" s="173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45">
      <c r="A190" s="180">
        <f>'Données projet'!A178</f>
        <v>0</v>
      </c>
      <c r="B190" s="181">
        <f>'Données projet'!D178</f>
        <v>0</v>
      </c>
      <c r="C190" s="193"/>
      <c r="D190" s="179">
        <f t="shared" si="11"/>
        <v>0</v>
      </c>
      <c r="E190" s="193"/>
      <c r="F190" s="232"/>
      <c r="G190" s="206"/>
      <c r="H190" s="190"/>
      <c r="I190" s="191"/>
      <c r="J190" s="4"/>
      <c r="K190" s="173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45">
      <c r="A191" s="180">
        <f>'Données projet'!A179</f>
        <v>0</v>
      </c>
      <c r="B191" s="181">
        <f>'Données projet'!D179</f>
        <v>0</v>
      </c>
      <c r="C191" s="193"/>
      <c r="D191" s="179">
        <f t="shared" si="11"/>
        <v>0</v>
      </c>
      <c r="E191" s="193"/>
      <c r="F191" s="232"/>
      <c r="G191" s="206"/>
      <c r="H191" s="190"/>
      <c r="I191" s="191"/>
      <c r="J191" s="4"/>
      <c r="K191" s="173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45">
      <c r="A192" s="180">
        <f>'Données projet'!A180</f>
        <v>0</v>
      </c>
      <c r="B192" s="181">
        <f>'Données projet'!D180</f>
        <v>0</v>
      </c>
      <c r="C192" s="193"/>
      <c r="D192" s="179">
        <f t="shared" si="11"/>
        <v>0</v>
      </c>
      <c r="E192" s="193"/>
      <c r="F192" s="232"/>
      <c r="G192" s="206"/>
      <c r="H192" s="190"/>
      <c r="I192" s="191"/>
      <c r="J192" s="4"/>
      <c r="K192" s="173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45">
      <c r="A193" s="180">
        <f>'Données projet'!A181</f>
        <v>0</v>
      </c>
      <c r="B193" s="181">
        <f>'Données projet'!D181</f>
        <v>0</v>
      </c>
      <c r="C193" s="193"/>
      <c r="D193" s="179">
        <f t="shared" si="11"/>
        <v>0</v>
      </c>
      <c r="E193" s="193"/>
      <c r="F193" s="232"/>
      <c r="G193" s="206"/>
      <c r="H193" s="190"/>
      <c r="I193" s="191"/>
      <c r="J193" s="4"/>
      <c r="K193" s="173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45">
      <c r="A194" s="180">
        <f>'Données projet'!A182</f>
        <v>0</v>
      </c>
      <c r="B194" s="181">
        <f>'Données projet'!D182</f>
        <v>0</v>
      </c>
      <c r="C194" s="193"/>
      <c r="D194" s="179">
        <f t="shared" si="11"/>
        <v>0</v>
      </c>
      <c r="E194" s="193"/>
      <c r="F194" s="232"/>
      <c r="G194" s="206"/>
      <c r="H194" s="190"/>
      <c r="I194" s="191"/>
      <c r="J194" s="4"/>
      <c r="K194" s="173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45">
      <c r="A195" s="180">
        <f>'Données projet'!A183</f>
        <v>0</v>
      </c>
      <c r="B195" s="181">
        <f>'Données projet'!D183</f>
        <v>0</v>
      </c>
      <c r="C195" s="193"/>
      <c r="D195" s="179">
        <f t="shared" si="11"/>
        <v>0</v>
      </c>
      <c r="E195" s="193"/>
      <c r="F195" s="232"/>
      <c r="G195" s="206"/>
      <c r="H195" s="190"/>
      <c r="I195" s="191"/>
      <c r="J195" s="4"/>
      <c r="K195" s="173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45">
      <c r="A196" s="180">
        <f>'Données projet'!A184</f>
        <v>0</v>
      </c>
      <c r="B196" s="181">
        <f>'Données projet'!D184</f>
        <v>0</v>
      </c>
      <c r="C196" s="193"/>
      <c r="D196" s="179">
        <f t="shared" si="11"/>
        <v>0</v>
      </c>
      <c r="E196" s="193"/>
      <c r="F196" s="232"/>
      <c r="G196" s="206"/>
      <c r="H196" s="190"/>
      <c r="I196" s="191"/>
      <c r="J196" s="4"/>
      <c r="K196" s="173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45">
      <c r="A197" s="180">
        <f>'Données projet'!A185</f>
        <v>0</v>
      </c>
      <c r="B197" s="181">
        <f>'Données projet'!D185</f>
        <v>0</v>
      </c>
      <c r="C197" s="193"/>
      <c r="D197" s="179">
        <f t="shared" si="11"/>
        <v>0</v>
      </c>
      <c r="E197" s="193"/>
      <c r="F197" s="232"/>
      <c r="G197" s="206"/>
      <c r="H197" s="190"/>
      <c r="I197" s="191"/>
      <c r="J197" s="4"/>
      <c r="K197" s="173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45">
      <c r="A198" s="4"/>
      <c r="B198" s="4"/>
      <c r="C198" s="4"/>
      <c r="D198" s="4"/>
      <c r="E198" s="4"/>
      <c r="F198" s="230"/>
      <c r="G198" s="206"/>
      <c r="H198" s="190"/>
      <c r="I198" s="191"/>
      <c r="J198" s="4"/>
      <c r="K198" s="173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45">
      <c r="A199" s="4"/>
      <c r="B199" s="4"/>
      <c r="C199" s="4"/>
      <c r="D199" s="4"/>
      <c r="E199" s="4"/>
      <c r="F199" s="230"/>
      <c r="G199" s="206"/>
      <c r="H199" s="190"/>
      <c r="I199" s="191"/>
      <c r="J199" s="4"/>
      <c r="K199" s="173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45">
      <c r="A200" s="46" t="s">
        <v>171</v>
      </c>
      <c r="B200" s="174" t="str">
        <f>IF('Données projet'!$B$15="","",'Données projet'!$B$15)</f>
        <v/>
      </c>
      <c r="C200" s="4"/>
      <c r="D200" s="4"/>
      <c r="E200" s="4"/>
      <c r="F200" s="230"/>
      <c r="G200" s="206"/>
      <c r="H200" s="190"/>
      <c r="I200" s="191"/>
      <c r="J200" s="4"/>
      <c r="K200" s="173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45">
      <c r="A201" s="46"/>
      <c r="B201" s="4"/>
      <c r="C201" s="4"/>
      <c r="D201" s="4"/>
      <c r="E201" s="4"/>
      <c r="F201" s="230"/>
      <c r="G201" s="206"/>
      <c r="H201" s="190"/>
      <c r="I201" s="191"/>
      <c r="J201" s="4"/>
      <c r="K201" s="173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45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31"/>
      <c r="G202" s="206"/>
      <c r="H202" s="190"/>
      <c r="I202" s="191"/>
      <c r="J202" s="4"/>
      <c r="K202" s="173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45">
      <c r="A203" s="49">
        <v>0</v>
      </c>
      <c r="B203" s="199" t="s">
        <v>132</v>
      </c>
      <c r="C203" s="198" t="s">
        <v>132</v>
      </c>
      <c r="D203" s="197" t="s">
        <v>132</v>
      </c>
      <c r="E203" s="193"/>
      <c r="F203" s="231"/>
      <c r="G203" s="206"/>
      <c r="H203" s="190"/>
      <c r="I203" s="191"/>
      <c r="J203" s="4"/>
      <c r="K203" s="173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45">
      <c r="A204" s="49">
        <v>1</v>
      </c>
      <c r="B204" s="199" t="s">
        <v>132</v>
      </c>
      <c r="C204" s="198" t="s">
        <v>132</v>
      </c>
      <c r="D204" s="197" t="s">
        <v>132</v>
      </c>
      <c r="E204" s="193"/>
      <c r="F204" s="231"/>
      <c r="G204" s="23"/>
      <c r="H204" s="190"/>
      <c r="I204" s="191"/>
      <c r="J204" s="4"/>
      <c r="K204" s="173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45">
      <c r="A205" s="49">
        <v>2</v>
      </c>
      <c r="B205" s="199" t="s">
        <v>132</v>
      </c>
      <c r="C205" s="198" t="s">
        <v>132</v>
      </c>
      <c r="D205" s="197" t="s">
        <v>132</v>
      </c>
      <c r="E205" s="193"/>
      <c r="F205" s="231"/>
      <c r="G205" s="23"/>
      <c r="H205" s="190"/>
      <c r="I205" s="191"/>
      <c r="J205" s="4"/>
      <c r="K205" s="173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45">
      <c r="A206" s="49">
        <v>3</v>
      </c>
      <c r="B206" s="199" t="s">
        <v>132</v>
      </c>
      <c r="C206" s="198" t="s">
        <v>132</v>
      </c>
      <c r="D206" s="197" t="s">
        <v>132</v>
      </c>
      <c r="E206" s="193"/>
      <c r="F206" s="231"/>
      <c r="G206" s="23"/>
      <c r="H206" s="190"/>
      <c r="I206" s="191"/>
      <c r="J206" s="4"/>
      <c r="K206" s="173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45">
      <c r="A207" s="49">
        <v>4</v>
      </c>
      <c r="B207" s="199" t="s">
        <v>132</v>
      </c>
      <c r="C207" s="198" t="s">
        <v>132</v>
      </c>
      <c r="D207" s="197" t="s">
        <v>132</v>
      </c>
      <c r="E207" s="193"/>
      <c r="F207" s="231"/>
      <c r="G207" s="23"/>
      <c r="H207" s="190"/>
      <c r="I207" s="191"/>
      <c r="J207" s="4"/>
      <c r="K207" s="173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45">
      <c r="A208" s="49">
        <v>5</v>
      </c>
      <c r="B208" s="199" t="s">
        <v>132</v>
      </c>
      <c r="C208" s="198" t="s">
        <v>132</v>
      </c>
      <c r="D208" s="197" t="s">
        <v>132</v>
      </c>
      <c r="E208" s="193"/>
      <c r="F208" s="231"/>
      <c r="G208" s="205"/>
      <c r="H208" s="190"/>
      <c r="I208" s="191"/>
      <c r="J208" s="4"/>
      <c r="K208" s="173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45">
      <c r="A209" s="180">
        <f>'Données projet'!A192</f>
        <v>0</v>
      </c>
      <c r="B209" s="181">
        <f>'Données projet'!D192</f>
        <v>0</v>
      </c>
      <c r="C209" s="193"/>
      <c r="D209" s="179">
        <f>B209*C209</f>
        <v>0</v>
      </c>
      <c r="E209" s="193"/>
      <c r="F209" s="232"/>
      <c r="G209" s="205"/>
      <c r="H209" s="190"/>
      <c r="I209" s="191"/>
      <c r="J209" s="4"/>
      <c r="K209" s="173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45">
      <c r="A210" s="180">
        <f>'Données projet'!A193</f>
        <v>0</v>
      </c>
      <c r="B210" s="181">
        <f>'Données projet'!D193</f>
        <v>0</v>
      </c>
      <c r="C210" s="193"/>
      <c r="D210" s="179">
        <f t="shared" ref="D210:D228" si="12">B210*C210</f>
        <v>0</v>
      </c>
      <c r="E210" s="193"/>
      <c r="F210" s="232"/>
      <c r="G210" s="205"/>
      <c r="H210" s="190"/>
      <c r="I210" s="191"/>
      <c r="J210" s="4"/>
      <c r="K210" s="173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45">
      <c r="A211" s="180">
        <f>'Données projet'!A194</f>
        <v>0</v>
      </c>
      <c r="B211" s="181">
        <f>'Données projet'!D194</f>
        <v>0</v>
      </c>
      <c r="C211" s="193"/>
      <c r="D211" s="179">
        <f t="shared" si="12"/>
        <v>0</v>
      </c>
      <c r="E211" s="193"/>
      <c r="F211" s="232"/>
      <c r="G211" s="205"/>
      <c r="H211" s="190"/>
      <c r="I211" s="191"/>
      <c r="J211" s="4"/>
      <c r="K211" s="173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45">
      <c r="A212" s="180">
        <f>'Données projet'!A195</f>
        <v>0</v>
      </c>
      <c r="B212" s="181">
        <f>'Données projet'!D195</f>
        <v>0</v>
      </c>
      <c r="C212" s="193"/>
      <c r="D212" s="179">
        <f t="shared" si="12"/>
        <v>0</v>
      </c>
      <c r="E212" s="193"/>
      <c r="F212" s="232"/>
      <c r="G212" s="205"/>
      <c r="H212" s="190"/>
      <c r="I212" s="191"/>
      <c r="J212" s="4"/>
      <c r="K212" s="173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45">
      <c r="A213" s="180">
        <f>'Données projet'!A196</f>
        <v>0</v>
      </c>
      <c r="B213" s="181">
        <f>'Données projet'!D196</f>
        <v>0</v>
      </c>
      <c r="C213" s="193"/>
      <c r="D213" s="179">
        <f t="shared" si="12"/>
        <v>0</v>
      </c>
      <c r="E213" s="193"/>
      <c r="F213" s="232"/>
      <c r="G213" s="205"/>
      <c r="H213" s="190"/>
      <c r="I213" s="191"/>
      <c r="J213" s="4"/>
      <c r="K213" s="173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45">
      <c r="A214" s="180">
        <f>'Données projet'!A197</f>
        <v>0</v>
      </c>
      <c r="B214" s="181">
        <f>'Données projet'!D197</f>
        <v>0</v>
      </c>
      <c r="C214" s="193"/>
      <c r="D214" s="179">
        <f t="shared" si="12"/>
        <v>0</v>
      </c>
      <c r="E214" s="193"/>
      <c r="F214" s="232"/>
      <c r="G214" s="205"/>
      <c r="H214" s="190"/>
      <c r="I214" s="191"/>
      <c r="J214" s="4"/>
      <c r="K214" s="173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45">
      <c r="A215" s="180">
        <f>'Données projet'!A198</f>
        <v>0</v>
      </c>
      <c r="B215" s="181">
        <f>'Données projet'!D198</f>
        <v>0</v>
      </c>
      <c r="C215" s="193"/>
      <c r="D215" s="179">
        <f t="shared" si="12"/>
        <v>0</v>
      </c>
      <c r="E215" s="193"/>
      <c r="F215" s="232"/>
      <c r="G215" s="206"/>
      <c r="H215" s="190"/>
      <c r="I215" s="191"/>
      <c r="J215" s="4"/>
      <c r="K215" s="173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45">
      <c r="A216" s="180">
        <f>'Données projet'!A199</f>
        <v>0</v>
      </c>
      <c r="B216" s="181">
        <f>'Données projet'!D199</f>
        <v>0</v>
      </c>
      <c r="C216" s="193"/>
      <c r="D216" s="179">
        <f t="shared" si="12"/>
        <v>0</v>
      </c>
      <c r="E216" s="193"/>
      <c r="F216" s="232"/>
      <c r="G216" s="206"/>
      <c r="H216" s="190"/>
      <c r="I216" s="191"/>
      <c r="J216" s="4"/>
      <c r="K216" s="173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45">
      <c r="A217" s="180">
        <f>'Données projet'!A200</f>
        <v>0</v>
      </c>
      <c r="B217" s="181">
        <f>'Données projet'!D200</f>
        <v>0</v>
      </c>
      <c r="C217" s="193"/>
      <c r="D217" s="179">
        <f t="shared" si="12"/>
        <v>0</v>
      </c>
      <c r="E217" s="193"/>
      <c r="F217" s="232"/>
      <c r="G217" s="206"/>
      <c r="H217" s="190"/>
      <c r="I217" s="191"/>
      <c r="J217" s="4"/>
      <c r="K217" s="173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45">
      <c r="A218" s="180">
        <f>'Données projet'!A201</f>
        <v>0</v>
      </c>
      <c r="B218" s="181">
        <f>'Données projet'!D201</f>
        <v>0</v>
      </c>
      <c r="C218" s="193"/>
      <c r="D218" s="179">
        <f t="shared" si="12"/>
        <v>0</v>
      </c>
      <c r="E218" s="193"/>
      <c r="F218" s="232"/>
      <c r="G218" s="206"/>
      <c r="H218" s="190"/>
      <c r="I218" s="191"/>
      <c r="J218" s="4"/>
      <c r="K218" s="173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45">
      <c r="A219" s="180">
        <f>'Données projet'!A202</f>
        <v>0</v>
      </c>
      <c r="B219" s="181">
        <f>'Données projet'!D202</f>
        <v>0</v>
      </c>
      <c r="C219" s="193"/>
      <c r="D219" s="179">
        <f t="shared" si="12"/>
        <v>0</v>
      </c>
      <c r="E219" s="193"/>
      <c r="F219" s="232"/>
      <c r="G219" s="206"/>
      <c r="H219" s="190"/>
      <c r="I219" s="191"/>
      <c r="J219" s="4"/>
      <c r="K219" s="173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45">
      <c r="A220" s="180">
        <f>'Données projet'!A203</f>
        <v>0</v>
      </c>
      <c r="B220" s="181">
        <f>'Données projet'!D203</f>
        <v>0</v>
      </c>
      <c r="C220" s="193"/>
      <c r="D220" s="179">
        <f t="shared" si="12"/>
        <v>0</v>
      </c>
      <c r="E220" s="193"/>
      <c r="F220" s="232"/>
      <c r="G220" s="206"/>
      <c r="H220" s="4"/>
      <c r="I220" s="4"/>
      <c r="J220" s="4"/>
      <c r="K220" s="173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45">
      <c r="A221" s="180">
        <f>'Données projet'!A204</f>
        <v>0</v>
      </c>
      <c r="B221" s="181">
        <f>'Données projet'!D204</f>
        <v>0</v>
      </c>
      <c r="C221" s="193"/>
      <c r="D221" s="179">
        <f t="shared" si="12"/>
        <v>0</v>
      </c>
      <c r="E221" s="193"/>
      <c r="F221" s="232"/>
      <c r="G221" s="206"/>
      <c r="H221" s="4"/>
      <c r="I221" s="4"/>
      <c r="J221" s="4"/>
      <c r="K221" s="173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45">
      <c r="A222" s="180">
        <f>'Données projet'!A205</f>
        <v>0</v>
      </c>
      <c r="B222" s="181">
        <f>'Données projet'!D205</f>
        <v>0</v>
      </c>
      <c r="C222" s="193"/>
      <c r="D222" s="179">
        <f t="shared" si="12"/>
        <v>0</v>
      </c>
      <c r="E222" s="193"/>
      <c r="F222" s="232"/>
      <c r="G222" s="206"/>
      <c r="H222" s="4"/>
      <c r="I222" s="4"/>
      <c r="J222" s="4"/>
      <c r="K222" s="173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45">
      <c r="A223" s="180">
        <f>'Données projet'!A206</f>
        <v>0</v>
      </c>
      <c r="B223" s="181">
        <f>'Données projet'!D206</f>
        <v>0</v>
      </c>
      <c r="C223" s="193"/>
      <c r="D223" s="179">
        <f t="shared" si="12"/>
        <v>0</v>
      </c>
      <c r="E223" s="193"/>
      <c r="F223" s="232"/>
      <c r="G223" s="206"/>
      <c r="H223" s="4"/>
      <c r="I223" s="4"/>
      <c r="J223" s="4"/>
      <c r="K223" s="173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45">
      <c r="A224" s="180">
        <f>'Données projet'!A207</f>
        <v>0</v>
      </c>
      <c r="B224" s="181">
        <f>'Données projet'!D207</f>
        <v>0</v>
      </c>
      <c r="C224" s="193"/>
      <c r="D224" s="179">
        <f t="shared" si="12"/>
        <v>0</v>
      </c>
      <c r="E224" s="193"/>
      <c r="F224" s="232"/>
      <c r="G224" s="206"/>
      <c r="H224" s="4"/>
      <c r="I224" s="4"/>
      <c r="J224" s="4"/>
      <c r="K224" s="173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45">
      <c r="A225" s="180">
        <f>'Données projet'!A208</f>
        <v>0</v>
      </c>
      <c r="B225" s="181">
        <f>'Données projet'!D208</f>
        <v>0</v>
      </c>
      <c r="C225" s="193"/>
      <c r="D225" s="179">
        <f t="shared" si="12"/>
        <v>0</v>
      </c>
      <c r="E225" s="193"/>
      <c r="F225" s="232"/>
      <c r="G225" s="206"/>
      <c r="H225" s="4"/>
      <c r="I225" s="4"/>
      <c r="J225" s="4"/>
      <c r="K225" s="173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45">
      <c r="A226" s="180">
        <f>'Données projet'!A209</f>
        <v>0</v>
      </c>
      <c r="B226" s="181">
        <f>'Données projet'!D209</f>
        <v>0</v>
      </c>
      <c r="C226" s="193"/>
      <c r="D226" s="179">
        <f t="shared" si="12"/>
        <v>0</v>
      </c>
      <c r="E226" s="193"/>
      <c r="F226" s="232"/>
      <c r="G226" s="206"/>
      <c r="H226" s="4"/>
      <c r="I226" s="4"/>
      <c r="J226" s="4"/>
      <c r="K226" s="173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45">
      <c r="A227" s="180">
        <f>'Données projet'!A210</f>
        <v>0</v>
      </c>
      <c r="B227" s="181">
        <f>'Données projet'!D210</f>
        <v>0</v>
      </c>
      <c r="C227" s="193"/>
      <c r="D227" s="179">
        <f t="shared" si="12"/>
        <v>0</v>
      </c>
      <c r="E227" s="193"/>
      <c r="F227" s="232"/>
      <c r="G227" s="206"/>
      <c r="H227" s="4"/>
      <c r="I227" s="4"/>
      <c r="J227" s="4"/>
      <c r="K227" s="173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45">
      <c r="A228" s="180">
        <f>'Données projet'!A211</f>
        <v>0</v>
      </c>
      <c r="B228" s="181">
        <f>'Données projet'!D211</f>
        <v>0</v>
      </c>
      <c r="C228" s="193"/>
      <c r="D228" s="179">
        <f t="shared" si="12"/>
        <v>0</v>
      </c>
      <c r="E228" s="193"/>
      <c r="F228" s="232"/>
      <c r="G228" s="206"/>
      <c r="H228" s="4"/>
      <c r="I228" s="4"/>
      <c r="J228" s="4"/>
      <c r="K228" s="173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45">
      <c r="A229" s="4"/>
      <c r="B229" s="4"/>
      <c r="C229" s="4"/>
      <c r="D229" s="4"/>
      <c r="E229" s="4"/>
      <c r="F229" s="230"/>
      <c r="G229" s="206"/>
      <c r="H229" s="4"/>
      <c r="I229" s="4"/>
      <c r="J229" s="4"/>
      <c r="K229" s="173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45">
      <c r="A230" s="4"/>
      <c r="B230" s="4"/>
      <c r="C230" s="4"/>
      <c r="D230" s="4"/>
      <c r="E230" s="4"/>
      <c r="F230" s="230"/>
      <c r="G230" s="206"/>
      <c r="H230" s="4"/>
      <c r="I230" s="4"/>
      <c r="J230" s="4"/>
      <c r="K230" s="173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45">
      <c r="A231" s="46" t="s">
        <v>172</v>
      </c>
      <c r="B231" s="174" t="str">
        <f>IF('Données projet'!$B$16="","",'Données projet'!$B$16)</f>
        <v/>
      </c>
      <c r="C231" s="4"/>
      <c r="D231" s="4"/>
      <c r="E231" s="4"/>
      <c r="F231" s="230"/>
      <c r="G231" s="206"/>
      <c r="H231" s="4"/>
      <c r="I231" s="4"/>
      <c r="J231" s="4"/>
      <c r="K231" s="173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45">
      <c r="A232" s="46"/>
      <c r="B232" s="4"/>
      <c r="C232" s="4"/>
      <c r="D232" s="4"/>
      <c r="E232" s="4"/>
      <c r="F232" s="230"/>
      <c r="G232" s="206"/>
      <c r="H232" s="4"/>
      <c r="I232" s="4"/>
      <c r="J232" s="4"/>
      <c r="K232" s="173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45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31"/>
      <c r="G233" s="206"/>
      <c r="H233" s="4"/>
      <c r="I233" s="4"/>
      <c r="J233" s="4"/>
      <c r="K233" s="173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45">
      <c r="A234" s="49">
        <v>0</v>
      </c>
      <c r="B234" s="199" t="s">
        <v>132</v>
      </c>
      <c r="C234" s="198" t="s">
        <v>132</v>
      </c>
      <c r="D234" s="197" t="s">
        <v>132</v>
      </c>
      <c r="E234" s="193"/>
      <c r="F234" s="231"/>
      <c r="G234" s="206"/>
      <c r="H234" s="4"/>
      <c r="I234" s="4"/>
      <c r="J234" s="4"/>
      <c r="K234" s="173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45">
      <c r="A235" s="49">
        <v>1</v>
      </c>
      <c r="B235" s="199" t="s">
        <v>132</v>
      </c>
      <c r="C235" s="198" t="s">
        <v>132</v>
      </c>
      <c r="D235" s="197" t="s">
        <v>132</v>
      </c>
      <c r="E235" s="193"/>
      <c r="F235" s="231"/>
      <c r="G235" s="23"/>
      <c r="H235" s="4"/>
      <c r="I235" s="4"/>
      <c r="J235" s="4"/>
      <c r="K235" s="173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45">
      <c r="A236" s="49">
        <v>2</v>
      </c>
      <c r="B236" s="199" t="s">
        <v>132</v>
      </c>
      <c r="C236" s="198" t="s">
        <v>132</v>
      </c>
      <c r="D236" s="197" t="s">
        <v>132</v>
      </c>
      <c r="E236" s="193"/>
      <c r="F236" s="231"/>
      <c r="G236" s="23"/>
      <c r="H236" s="4"/>
      <c r="I236" s="4"/>
      <c r="J236" s="4"/>
      <c r="K236" s="173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45">
      <c r="A237" s="49">
        <v>3</v>
      </c>
      <c r="B237" s="199" t="s">
        <v>132</v>
      </c>
      <c r="C237" s="198" t="s">
        <v>132</v>
      </c>
      <c r="D237" s="197" t="s">
        <v>132</v>
      </c>
      <c r="E237" s="193"/>
      <c r="F237" s="231"/>
      <c r="G237" s="23"/>
      <c r="H237" s="4"/>
      <c r="I237" s="4"/>
      <c r="J237" s="4"/>
      <c r="K237" s="173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45">
      <c r="A238" s="49">
        <v>4</v>
      </c>
      <c r="B238" s="199" t="s">
        <v>132</v>
      </c>
      <c r="C238" s="198" t="s">
        <v>132</v>
      </c>
      <c r="D238" s="197" t="s">
        <v>132</v>
      </c>
      <c r="E238" s="193"/>
      <c r="F238" s="231"/>
      <c r="G238" s="23"/>
      <c r="H238" s="4"/>
      <c r="I238" s="4"/>
      <c r="J238" s="4"/>
      <c r="K238" s="173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45">
      <c r="A239" s="49">
        <v>5</v>
      </c>
      <c r="B239" s="199" t="s">
        <v>132</v>
      </c>
      <c r="C239" s="198" t="s">
        <v>132</v>
      </c>
      <c r="D239" s="197" t="s">
        <v>132</v>
      </c>
      <c r="E239" s="193"/>
      <c r="F239" s="231"/>
      <c r="G239" s="205"/>
      <c r="H239" s="4"/>
      <c r="I239" s="4"/>
      <c r="J239" s="4"/>
      <c r="K239" s="173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45">
      <c r="A240" s="180">
        <f>'Données projet'!A218</f>
        <v>0</v>
      </c>
      <c r="B240" s="181">
        <f>'Données projet'!D218</f>
        <v>0</v>
      </c>
      <c r="C240" s="193"/>
      <c r="D240" s="179">
        <f>B240*C240</f>
        <v>0</v>
      </c>
      <c r="E240" s="193"/>
      <c r="F240" s="232"/>
      <c r="G240" s="205"/>
      <c r="H240" s="4"/>
      <c r="I240" s="4"/>
      <c r="J240" s="4"/>
      <c r="K240" s="173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45">
      <c r="A241" s="180">
        <f>'Données projet'!A219</f>
        <v>0</v>
      </c>
      <c r="B241" s="181">
        <f>'Données projet'!D219</f>
        <v>0</v>
      </c>
      <c r="C241" s="193"/>
      <c r="D241" s="179">
        <f t="shared" ref="D241:D259" si="13">B241*C241</f>
        <v>0</v>
      </c>
      <c r="E241" s="193"/>
      <c r="F241" s="232"/>
      <c r="G241" s="205"/>
      <c r="H241" s="4"/>
      <c r="I241" s="4"/>
      <c r="J241" s="4"/>
      <c r="K241" s="173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45">
      <c r="A242" s="180">
        <f>'Données projet'!A220</f>
        <v>0</v>
      </c>
      <c r="B242" s="181">
        <f>'Données projet'!D220</f>
        <v>0</v>
      </c>
      <c r="C242" s="193"/>
      <c r="D242" s="179">
        <f t="shared" si="13"/>
        <v>0</v>
      </c>
      <c r="E242" s="193"/>
      <c r="F242" s="232"/>
      <c r="G242" s="205"/>
      <c r="H242" s="4"/>
      <c r="I242" s="4"/>
      <c r="J242" s="4"/>
      <c r="K242" s="173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45">
      <c r="A243" s="180">
        <f>'Données projet'!A221</f>
        <v>0</v>
      </c>
      <c r="B243" s="181">
        <f>'Données projet'!D221</f>
        <v>0</v>
      </c>
      <c r="C243" s="193"/>
      <c r="D243" s="179">
        <f t="shared" si="13"/>
        <v>0</v>
      </c>
      <c r="E243" s="193"/>
      <c r="F243" s="232"/>
      <c r="G243" s="205"/>
      <c r="H243" s="4"/>
      <c r="I243" s="4"/>
      <c r="J243" s="4"/>
      <c r="K243" s="173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45">
      <c r="A244" s="180">
        <f>'Données projet'!A222</f>
        <v>0</v>
      </c>
      <c r="B244" s="181">
        <f>'Données projet'!D222</f>
        <v>0</v>
      </c>
      <c r="C244" s="193"/>
      <c r="D244" s="179">
        <f t="shared" si="13"/>
        <v>0</v>
      </c>
      <c r="E244" s="193"/>
      <c r="F244" s="232"/>
      <c r="G244" s="205"/>
      <c r="H244" s="4"/>
      <c r="I244" s="4"/>
      <c r="J244" s="4"/>
      <c r="K244" s="173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45">
      <c r="A245" s="180">
        <f>'Données projet'!A223</f>
        <v>0</v>
      </c>
      <c r="B245" s="181">
        <f>'Données projet'!D223</f>
        <v>0</v>
      </c>
      <c r="C245" s="193"/>
      <c r="D245" s="179">
        <f t="shared" si="13"/>
        <v>0</v>
      </c>
      <c r="E245" s="193"/>
      <c r="F245" s="232"/>
      <c r="G245" s="205"/>
      <c r="H245" s="4"/>
      <c r="I245" s="4"/>
      <c r="J245" s="4"/>
      <c r="K245" s="173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45">
      <c r="A246" s="180">
        <f>'Données projet'!A224</f>
        <v>0</v>
      </c>
      <c r="B246" s="181">
        <f>'Données projet'!D224</f>
        <v>0</v>
      </c>
      <c r="C246" s="193"/>
      <c r="D246" s="179">
        <f t="shared" si="13"/>
        <v>0</v>
      </c>
      <c r="E246" s="193"/>
      <c r="F246" s="232"/>
      <c r="G246" s="206"/>
      <c r="H246" s="4"/>
      <c r="I246" s="4"/>
      <c r="J246" s="4"/>
      <c r="K246" s="173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45">
      <c r="A247" s="180">
        <f>'Données projet'!A225</f>
        <v>0</v>
      </c>
      <c r="B247" s="181">
        <f>'Données projet'!D225</f>
        <v>0</v>
      </c>
      <c r="C247" s="193"/>
      <c r="D247" s="179">
        <f t="shared" si="13"/>
        <v>0</v>
      </c>
      <c r="E247" s="193"/>
      <c r="F247" s="232"/>
      <c r="G247" s="206"/>
      <c r="H247" s="4"/>
      <c r="I247" s="4"/>
      <c r="J247" s="4"/>
      <c r="K247" s="173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45">
      <c r="A248" s="180">
        <f>'Données projet'!A226</f>
        <v>0</v>
      </c>
      <c r="B248" s="181">
        <f>'Données projet'!D226</f>
        <v>0</v>
      </c>
      <c r="C248" s="193"/>
      <c r="D248" s="179">
        <f t="shared" si="13"/>
        <v>0</v>
      </c>
      <c r="E248" s="193"/>
      <c r="F248" s="232"/>
      <c r="G248" s="206"/>
      <c r="H248" s="4"/>
      <c r="I248" s="4"/>
      <c r="J248" s="4"/>
      <c r="K248" s="173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45">
      <c r="A249" s="180">
        <f>'Données projet'!A227</f>
        <v>0</v>
      </c>
      <c r="B249" s="181">
        <f>'Données projet'!D227</f>
        <v>0</v>
      </c>
      <c r="C249" s="193"/>
      <c r="D249" s="179">
        <f t="shared" si="13"/>
        <v>0</v>
      </c>
      <c r="E249" s="193"/>
      <c r="F249" s="232"/>
      <c r="G249" s="206"/>
      <c r="H249" s="4"/>
      <c r="I249" s="4"/>
      <c r="J249" s="4"/>
      <c r="K249" s="173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45">
      <c r="A250" s="180">
        <f>'Données projet'!A228</f>
        <v>0</v>
      </c>
      <c r="B250" s="181">
        <f>'Données projet'!D228</f>
        <v>0</v>
      </c>
      <c r="C250" s="193"/>
      <c r="D250" s="179">
        <f t="shared" si="13"/>
        <v>0</v>
      </c>
      <c r="E250" s="193"/>
      <c r="F250" s="232"/>
      <c r="G250" s="206"/>
      <c r="H250" s="4"/>
      <c r="I250" s="4"/>
      <c r="J250" s="4"/>
      <c r="K250" s="173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45">
      <c r="A251" s="180">
        <f>'Données projet'!A229</f>
        <v>0</v>
      </c>
      <c r="B251" s="181">
        <f>'Données projet'!D229</f>
        <v>0</v>
      </c>
      <c r="C251" s="193"/>
      <c r="D251" s="179">
        <f t="shared" si="13"/>
        <v>0</v>
      </c>
      <c r="E251" s="193"/>
      <c r="F251" s="232"/>
      <c r="G251" s="206"/>
      <c r="H251" s="4"/>
      <c r="I251" s="4"/>
      <c r="J251" s="4"/>
      <c r="K251" s="173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45">
      <c r="A252" s="180">
        <f>'Données projet'!A230</f>
        <v>0</v>
      </c>
      <c r="B252" s="181">
        <f>'Données projet'!D230</f>
        <v>0</v>
      </c>
      <c r="C252" s="193"/>
      <c r="D252" s="179">
        <f t="shared" si="13"/>
        <v>0</v>
      </c>
      <c r="E252" s="193"/>
      <c r="F252" s="232"/>
      <c r="G252" s="206"/>
      <c r="H252" s="4"/>
      <c r="I252" s="4"/>
      <c r="J252" s="4"/>
      <c r="K252" s="173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45">
      <c r="A253" s="180">
        <f>'Données projet'!A231</f>
        <v>0</v>
      </c>
      <c r="B253" s="181">
        <f>'Données projet'!D231</f>
        <v>0</v>
      </c>
      <c r="C253" s="193"/>
      <c r="D253" s="179">
        <f t="shared" si="13"/>
        <v>0</v>
      </c>
      <c r="E253" s="193"/>
      <c r="F253" s="232"/>
      <c r="G253" s="206"/>
      <c r="H253" s="4"/>
      <c r="I253" s="4"/>
      <c r="J253" s="4"/>
      <c r="K253" s="173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45">
      <c r="A254" s="180">
        <f>'Données projet'!A232</f>
        <v>0</v>
      </c>
      <c r="B254" s="181">
        <f>'Données projet'!D232</f>
        <v>0</v>
      </c>
      <c r="C254" s="193"/>
      <c r="D254" s="179">
        <f t="shared" si="13"/>
        <v>0</v>
      </c>
      <c r="E254" s="193"/>
      <c r="F254" s="232"/>
      <c r="G254" s="206"/>
      <c r="H254" s="4"/>
      <c r="I254" s="4"/>
      <c r="J254" s="4"/>
      <c r="K254" s="173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45">
      <c r="A255" s="180">
        <f>'Données projet'!A233</f>
        <v>0</v>
      </c>
      <c r="B255" s="181">
        <f>'Données projet'!D233</f>
        <v>0</v>
      </c>
      <c r="C255" s="193"/>
      <c r="D255" s="179">
        <f t="shared" si="13"/>
        <v>0</v>
      </c>
      <c r="E255" s="193"/>
      <c r="F255" s="232"/>
      <c r="G255" s="206"/>
      <c r="H255" s="4"/>
      <c r="I255" s="4"/>
      <c r="J255" s="4"/>
      <c r="K255" s="173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45">
      <c r="A256" s="180">
        <f>'Données projet'!A234</f>
        <v>0</v>
      </c>
      <c r="B256" s="181">
        <f>'Données projet'!D234</f>
        <v>0</v>
      </c>
      <c r="C256" s="193"/>
      <c r="D256" s="179">
        <f t="shared" si="13"/>
        <v>0</v>
      </c>
      <c r="E256" s="193"/>
      <c r="F256" s="232"/>
      <c r="G256" s="206"/>
      <c r="H256" s="4"/>
      <c r="I256" s="4"/>
      <c r="J256" s="4"/>
      <c r="K256" s="173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45">
      <c r="A257" s="180">
        <f>'Données projet'!A235</f>
        <v>0</v>
      </c>
      <c r="B257" s="181">
        <f>'Données projet'!D235</f>
        <v>0</v>
      </c>
      <c r="C257" s="193"/>
      <c r="D257" s="179">
        <f t="shared" si="13"/>
        <v>0</v>
      </c>
      <c r="E257" s="193"/>
      <c r="F257" s="232"/>
      <c r="G257" s="206"/>
      <c r="H257" s="4"/>
      <c r="I257" s="4"/>
      <c r="J257" s="4"/>
      <c r="K257" s="173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45">
      <c r="A258" s="180">
        <f>'Données projet'!A236</f>
        <v>0</v>
      </c>
      <c r="B258" s="181">
        <f>'Données projet'!D236</f>
        <v>0</v>
      </c>
      <c r="C258" s="193"/>
      <c r="D258" s="179">
        <f t="shared" si="13"/>
        <v>0</v>
      </c>
      <c r="E258" s="193"/>
      <c r="F258" s="232"/>
      <c r="G258" s="206"/>
      <c r="H258" s="4"/>
      <c r="I258" s="4"/>
      <c r="J258" s="4"/>
      <c r="K258" s="173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45">
      <c r="A259" s="180">
        <f>'Données projet'!A237</f>
        <v>0</v>
      </c>
      <c r="B259" s="181">
        <f>'Données projet'!D237</f>
        <v>0</v>
      </c>
      <c r="C259" s="193"/>
      <c r="D259" s="179">
        <f t="shared" si="13"/>
        <v>0</v>
      </c>
      <c r="E259" s="193"/>
      <c r="F259" s="232"/>
      <c r="G259" s="206"/>
      <c r="H259" s="4"/>
      <c r="I259" s="4"/>
      <c r="J259" s="4"/>
      <c r="K259" s="173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45">
      <c r="A260" s="4"/>
      <c r="B260" s="4"/>
      <c r="C260" s="4"/>
      <c r="D260" s="4"/>
      <c r="E260" s="4"/>
      <c r="F260" s="230"/>
      <c r="G260" s="206"/>
      <c r="H260" s="4"/>
      <c r="I260" s="4"/>
      <c r="J260" s="4"/>
      <c r="K260" s="173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45">
      <c r="A261" s="4"/>
      <c r="B261" s="4"/>
      <c r="C261" s="4"/>
      <c r="D261" s="4"/>
      <c r="E261" s="4"/>
      <c r="F261" s="230"/>
      <c r="G261" s="206"/>
      <c r="H261" s="4"/>
      <c r="I261" s="4"/>
      <c r="J261" s="4"/>
      <c r="K261" s="173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45">
      <c r="A262" s="46" t="s">
        <v>173</v>
      </c>
      <c r="B262" s="174" t="str">
        <f>IF('Données projet'!$B$17="","",'Données projet'!$B$17)</f>
        <v/>
      </c>
      <c r="C262" s="4"/>
      <c r="D262" s="4"/>
      <c r="E262" s="4"/>
      <c r="F262" s="230"/>
      <c r="G262" s="206"/>
      <c r="H262" s="4"/>
      <c r="I262" s="4"/>
      <c r="J262" s="4"/>
      <c r="K262" s="173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45">
      <c r="A263" s="46"/>
      <c r="B263" s="4"/>
      <c r="C263" s="4"/>
      <c r="D263" s="4"/>
      <c r="E263" s="4"/>
      <c r="F263" s="230"/>
      <c r="G263" s="206"/>
      <c r="H263" s="4"/>
      <c r="I263" s="4"/>
      <c r="J263" s="4"/>
      <c r="K263" s="173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45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31"/>
      <c r="G264" s="206"/>
      <c r="H264" s="4"/>
      <c r="I264" s="4"/>
      <c r="J264" s="4"/>
      <c r="K264" s="173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45">
      <c r="A265" s="49">
        <v>0</v>
      </c>
      <c r="B265" s="199" t="s">
        <v>132</v>
      </c>
      <c r="C265" s="198" t="s">
        <v>132</v>
      </c>
      <c r="D265" s="197" t="s">
        <v>132</v>
      </c>
      <c r="E265" s="193"/>
      <c r="F265" s="231"/>
      <c r="G265" s="206"/>
      <c r="H265" s="4"/>
      <c r="I265" s="4"/>
      <c r="J265" s="4"/>
      <c r="K265" s="173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45">
      <c r="A266" s="49">
        <v>1</v>
      </c>
      <c r="B266" s="199" t="s">
        <v>132</v>
      </c>
      <c r="C266" s="198" t="s">
        <v>132</v>
      </c>
      <c r="D266" s="197" t="s">
        <v>132</v>
      </c>
      <c r="E266" s="193"/>
      <c r="F266" s="231"/>
      <c r="G266" s="23"/>
      <c r="H266" s="4"/>
      <c r="I266" s="4"/>
      <c r="J266" s="4"/>
      <c r="K266" s="173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45">
      <c r="A267" s="49">
        <v>2</v>
      </c>
      <c r="B267" s="199" t="s">
        <v>132</v>
      </c>
      <c r="C267" s="198" t="s">
        <v>132</v>
      </c>
      <c r="D267" s="197" t="s">
        <v>132</v>
      </c>
      <c r="E267" s="193"/>
      <c r="F267" s="231"/>
      <c r="G267" s="23"/>
      <c r="H267" s="4"/>
      <c r="I267" s="4"/>
      <c r="J267" s="4"/>
      <c r="K267" s="173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45">
      <c r="A268" s="49">
        <v>3</v>
      </c>
      <c r="B268" s="199" t="s">
        <v>132</v>
      </c>
      <c r="C268" s="198" t="s">
        <v>132</v>
      </c>
      <c r="D268" s="197" t="s">
        <v>132</v>
      </c>
      <c r="E268" s="193"/>
      <c r="F268" s="231"/>
      <c r="G268" s="23"/>
      <c r="H268" s="4"/>
      <c r="I268" s="4"/>
      <c r="J268" s="4"/>
      <c r="K268" s="173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45">
      <c r="A269" s="49">
        <v>4</v>
      </c>
      <c r="B269" s="199" t="s">
        <v>132</v>
      </c>
      <c r="C269" s="198" t="s">
        <v>132</v>
      </c>
      <c r="D269" s="197" t="s">
        <v>132</v>
      </c>
      <c r="E269" s="193"/>
      <c r="F269" s="231"/>
      <c r="G269" s="23"/>
      <c r="H269" s="4"/>
      <c r="I269" s="4"/>
      <c r="J269" s="4"/>
      <c r="K269" s="173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45">
      <c r="A270" s="49">
        <v>5</v>
      </c>
      <c r="B270" s="199" t="s">
        <v>132</v>
      </c>
      <c r="C270" s="198" t="s">
        <v>132</v>
      </c>
      <c r="D270" s="197" t="s">
        <v>132</v>
      </c>
      <c r="E270" s="193"/>
      <c r="F270" s="231"/>
      <c r="G270" s="205"/>
      <c r="H270" s="4"/>
      <c r="I270" s="4"/>
      <c r="J270" s="4"/>
      <c r="K270" s="173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45">
      <c r="A271" s="180">
        <f>'Données projet'!A244</f>
        <v>0</v>
      </c>
      <c r="B271" s="181">
        <f>'Données projet'!D244</f>
        <v>0</v>
      </c>
      <c r="C271" s="193"/>
      <c r="D271" s="179">
        <f>B271*C271</f>
        <v>0</v>
      </c>
      <c r="E271" s="193"/>
      <c r="F271" s="232"/>
      <c r="G271" s="205"/>
      <c r="H271" s="4"/>
      <c r="I271" s="4"/>
      <c r="J271" s="4"/>
      <c r="K271" s="173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45">
      <c r="A272" s="180">
        <f>'Données projet'!A245</f>
        <v>0</v>
      </c>
      <c r="B272" s="181">
        <f>'Données projet'!D245</f>
        <v>0</v>
      </c>
      <c r="C272" s="193"/>
      <c r="D272" s="179">
        <f t="shared" ref="D272:D290" si="14">B272*C272</f>
        <v>0</v>
      </c>
      <c r="E272" s="193"/>
      <c r="F272" s="232"/>
      <c r="G272" s="205"/>
      <c r="H272" s="4"/>
      <c r="I272" s="4"/>
      <c r="J272" s="4"/>
      <c r="K272" s="173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45">
      <c r="A273" s="180">
        <f>'Données projet'!A246</f>
        <v>0</v>
      </c>
      <c r="B273" s="181">
        <f>'Données projet'!D246</f>
        <v>0</v>
      </c>
      <c r="C273" s="193"/>
      <c r="D273" s="179">
        <f t="shared" si="14"/>
        <v>0</v>
      </c>
      <c r="E273" s="193"/>
      <c r="F273" s="232"/>
      <c r="G273" s="205"/>
      <c r="H273" s="4"/>
      <c r="I273" s="4"/>
      <c r="J273" s="4"/>
      <c r="K273" s="173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45">
      <c r="A274" s="180">
        <f>'Données projet'!A247</f>
        <v>0</v>
      </c>
      <c r="B274" s="181">
        <f>'Données projet'!D247</f>
        <v>0</v>
      </c>
      <c r="C274" s="193"/>
      <c r="D274" s="179">
        <f t="shared" si="14"/>
        <v>0</v>
      </c>
      <c r="E274" s="193"/>
      <c r="F274" s="232"/>
      <c r="G274" s="205"/>
      <c r="H274" s="4"/>
      <c r="I274" s="4"/>
      <c r="J274" s="4"/>
      <c r="K274" s="173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45">
      <c r="A275" s="180">
        <f>'Données projet'!A248</f>
        <v>0</v>
      </c>
      <c r="B275" s="181">
        <f>'Données projet'!D248</f>
        <v>0</v>
      </c>
      <c r="C275" s="193"/>
      <c r="D275" s="179">
        <f t="shared" si="14"/>
        <v>0</v>
      </c>
      <c r="E275" s="193"/>
      <c r="F275" s="232"/>
      <c r="G275" s="205"/>
      <c r="H275" s="4"/>
      <c r="I275" s="4"/>
      <c r="J275" s="4"/>
      <c r="K275" s="173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45">
      <c r="A276" s="180">
        <f>'Données projet'!A249</f>
        <v>0</v>
      </c>
      <c r="B276" s="181">
        <f>'Données projet'!D249</f>
        <v>0</v>
      </c>
      <c r="C276" s="193"/>
      <c r="D276" s="179">
        <f t="shared" si="14"/>
        <v>0</v>
      </c>
      <c r="E276" s="193"/>
      <c r="F276" s="232"/>
      <c r="G276" s="205"/>
      <c r="H276" s="4"/>
      <c r="I276" s="4"/>
      <c r="J276" s="4"/>
      <c r="K276" s="173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45">
      <c r="A277" s="180">
        <f>'Données projet'!A250</f>
        <v>0</v>
      </c>
      <c r="B277" s="181">
        <f>'Données projet'!D250</f>
        <v>0</v>
      </c>
      <c r="C277" s="193"/>
      <c r="D277" s="179">
        <f t="shared" si="14"/>
        <v>0</v>
      </c>
      <c r="E277" s="193"/>
      <c r="F277" s="232"/>
      <c r="G277" s="206"/>
      <c r="H277" s="4"/>
      <c r="I277" s="4"/>
      <c r="J277" s="4"/>
      <c r="K277" s="173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45">
      <c r="A278" s="180">
        <f>'Données projet'!A251</f>
        <v>0</v>
      </c>
      <c r="B278" s="181">
        <f>'Données projet'!D251</f>
        <v>0</v>
      </c>
      <c r="C278" s="193"/>
      <c r="D278" s="179">
        <f t="shared" si="14"/>
        <v>0</v>
      </c>
      <c r="E278" s="193"/>
      <c r="F278" s="232"/>
      <c r="G278" s="206"/>
      <c r="H278" s="4"/>
      <c r="I278" s="4"/>
      <c r="J278" s="4"/>
      <c r="K278" s="173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45">
      <c r="A279" s="180">
        <f>'Données projet'!A252</f>
        <v>0</v>
      </c>
      <c r="B279" s="181">
        <f>'Données projet'!D252</f>
        <v>0</v>
      </c>
      <c r="C279" s="193"/>
      <c r="D279" s="179">
        <f t="shared" si="14"/>
        <v>0</v>
      </c>
      <c r="E279" s="193"/>
      <c r="F279" s="232"/>
      <c r="G279" s="206"/>
      <c r="H279" s="4"/>
      <c r="I279" s="4"/>
      <c r="J279" s="4"/>
      <c r="K279" s="173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45">
      <c r="A280" s="180">
        <f>'Données projet'!A253</f>
        <v>0</v>
      </c>
      <c r="B280" s="181">
        <f>'Données projet'!D253</f>
        <v>0</v>
      </c>
      <c r="C280" s="193"/>
      <c r="D280" s="179">
        <f t="shared" si="14"/>
        <v>0</v>
      </c>
      <c r="E280" s="193"/>
      <c r="F280" s="232"/>
      <c r="G280" s="206"/>
      <c r="H280" s="4"/>
      <c r="I280" s="4"/>
      <c r="J280" s="4"/>
      <c r="K280" s="173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45">
      <c r="A281" s="180">
        <f>'Données projet'!A254</f>
        <v>0</v>
      </c>
      <c r="B281" s="181">
        <f>'Données projet'!D254</f>
        <v>0</v>
      </c>
      <c r="C281" s="193"/>
      <c r="D281" s="179">
        <f t="shared" si="14"/>
        <v>0</v>
      </c>
      <c r="E281" s="193"/>
      <c r="F281" s="232"/>
      <c r="G281" s="206"/>
      <c r="H281" s="4"/>
      <c r="I281" s="4"/>
      <c r="J281" s="4"/>
      <c r="K281" s="173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45">
      <c r="A282" s="180">
        <f>'Données projet'!A255</f>
        <v>0</v>
      </c>
      <c r="B282" s="181">
        <f>'Données projet'!D255</f>
        <v>0</v>
      </c>
      <c r="C282" s="193"/>
      <c r="D282" s="179">
        <f t="shared" si="14"/>
        <v>0</v>
      </c>
      <c r="E282" s="193"/>
      <c r="F282" s="232"/>
      <c r="G282" s="206"/>
      <c r="H282" s="4"/>
      <c r="I282" s="4"/>
      <c r="J282" s="4"/>
      <c r="K282" s="173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45">
      <c r="A283" s="180">
        <f>'Données projet'!A256</f>
        <v>0</v>
      </c>
      <c r="B283" s="181">
        <f>'Données projet'!D256</f>
        <v>0</v>
      </c>
      <c r="C283" s="193"/>
      <c r="D283" s="179">
        <f t="shared" si="14"/>
        <v>0</v>
      </c>
      <c r="E283" s="193"/>
      <c r="F283" s="232"/>
      <c r="G283" s="206"/>
      <c r="H283" s="4"/>
      <c r="I283" s="4"/>
      <c r="J283" s="4"/>
      <c r="K283" s="173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45">
      <c r="A284" s="180">
        <f>'Données projet'!A257</f>
        <v>0</v>
      </c>
      <c r="B284" s="181">
        <f>'Données projet'!D257</f>
        <v>0</v>
      </c>
      <c r="C284" s="193"/>
      <c r="D284" s="179">
        <f t="shared" si="14"/>
        <v>0</v>
      </c>
      <c r="E284" s="193"/>
      <c r="F284" s="232"/>
      <c r="G284" s="206"/>
      <c r="H284" s="4"/>
      <c r="I284" s="4"/>
      <c r="J284" s="4"/>
      <c r="K284" s="173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45">
      <c r="A285" s="180">
        <f>'Données projet'!A258</f>
        <v>0</v>
      </c>
      <c r="B285" s="181">
        <f>'Données projet'!D258</f>
        <v>0</v>
      </c>
      <c r="C285" s="193"/>
      <c r="D285" s="179">
        <f t="shared" si="14"/>
        <v>0</v>
      </c>
      <c r="E285" s="193"/>
      <c r="F285" s="232"/>
      <c r="G285" s="206"/>
      <c r="H285" s="4"/>
      <c r="I285" s="4"/>
      <c r="J285" s="4"/>
      <c r="K285" s="173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45">
      <c r="A286" s="180">
        <f>'Données projet'!A259</f>
        <v>0</v>
      </c>
      <c r="B286" s="181">
        <f>'Données projet'!D259</f>
        <v>0</v>
      </c>
      <c r="C286" s="193"/>
      <c r="D286" s="179">
        <f t="shared" si="14"/>
        <v>0</v>
      </c>
      <c r="E286" s="193"/>
      <c r="F286" s="232"/>
      <c r="G286" s="206"/>
      <c r="H286" s="4"/>
      <c r="I286" s="4"/>
      <c r="J286" s="4"/>
      <c r="K286" s="173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45">
      <c r="A287" s="180">
        <f>'Données projet'!A260</f>
        <v>0</v>
      </c>
      <c r="B287" s="181">
        <f>'Données projet'!D260</f>
        <v>0</v>
      </c>
      <c r="C287" s="193"/>
      <c r="D287" s="179">
        <f t="shared" si="14"/>
        <v>0</v>
      </c>
      <c r="E287" s="193"/>
      <c r="F287" s="232"/>
      <c r="G287" s="206"/>
      <c r="H287" s="4"/>
      <c r="I287" s="4"/>
      <c r="J287" s="4"/>
      <c r="K287" s="173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45">
      <c r="A288" s="180">
        <f>'Données projet'!A261</f>
        <v>0</v>
      </c>
      <c r="B288" s="181">
        <f>'Données projet'!D261</f>
        <v>0</v>
      </c>
      <c r="C288" s="193"/>
      <c r="D288" s="179">
        <f t="shared" si="14"/>
        <v>0</v>
      </c>
      <c r="E288" s="193"/>
      <c r="F288" s="232"/>
      <c r="G288" s="206"/>
      <c r="H288" s="4"/>
      <c r="I288" s="4"/>
      <c r="J288" s="4"/>
      <c r="K288" s="173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45">
      <c r="A289" s="180">
        <f>'Données projet'!A262</f>
        <v>0</v>
      </c>
      <c r="B289" s="181">
        <f>'Données projet'!D262</f>
        <v>0</v>
      </c>
      <c r="C289" s="193"/>
      <c r="D289" s="179">
        <f t="shared" si="14"/>
        <v>0</v>
      </c>
      <c r="E289" s="193"/>
      <c r="F289" s="232"/>
      <c r="G289" s="206"/>
      <c r="H289" s="4"/>
      <c r="I289" s="4"/>
      <c r="J289" s="4"/>
      <c r="K289" s="173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45">
      <c r="A290" s="180">
        <f>'Données projet'!A263</f>
        <v>0</v>
      </c>
      <c r="B290" s="181">
        <f>'Données projet'!D263</f>
        <v>0</v>
      </c>
      <c r="C290" s="193"/>
      <c r="D290" s="179">
        <f t="shared" si="14"/>
        <v>0</v>
      </c>
      <c r="E290" s="193"/>
      <c r="F290" s="232"/>
      <c r="G290" s="206"/>
      <c r="H290" s="4"/>
      <c r="I290" s="4"/>
      <c r="J290" s="4"/>
      <c r="K290" s="173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45">
      <c r="A291" s="4"/>
      <c r="B291" s="4"/>
      <c r="C291" s="4"/>
      <c r="D291" s="4"/>
      <c r="E291" s="4"/>
      <c r="F291" s="230"/>
      <c r="G291" s="206"/>
      <c r="H291" s="4"/>
      <c r="I291" s="4"/>
      <c r="J291" s="4"/>
      <c r="K291" s="173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45">
      <c r="A292" s="4"/>
      <c r="B292" s="4"/>
      <c r="C292" s="4"/>
      <c r="D292" s="4"/>
      <c r="E292" s="4"/>
      <c r="F292" s="230"/>
      <c r="G292" s="206"/>
      <c r="H292" s="4"/>
      <c r="I292" s="4"/>
      <c r="J292" s="4"/>
      <c r="K292" s="173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45">
      <c r="A293" s="46" t="s">
        <v>174</v>
      </c>
      <c r="B293" s="174" t="str">
        <f>IF('Données projet'!$B$18="","",'Données projet'!$B$18)</f>
        <v/>
      </c>
      <c r="C293" s="4"/>
      <c r="D293" s="4"/>
      <c r="E293" s="4"/>
      <c r="F293" s="230"/>
      <c r="G293" s="206"/>
      <c r="H293" s="4"/>
      <c r="I293" s="4"/>
      <c r="J293" s="4"/>
      <c r="K293" s="173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45">
      <c r="A294" s="46"/>
      <c r="B294" s="4"/>
      <c r="C294" s="4"/>
      <c r="D294" s="4"/>
      <c r="E294" s="4"/>
      <c r="F294" s="230"/>
      <c r="G294" s="206"/>
      <c r="H294" s="4"/>
      <c r="I294" s="4"/>
      <c r="J294" s="4"/>
      <c r="K294" s="173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45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31"/>
      <c r="G295" s="206"/>
      <c r="H295" s="4"/>
      <c r="I295" s="4"/>
      <c r="J295" s="4"/>
      <c r="K295" s="173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45">
      <c r="A296" s="49">
        <v>0</v>
      </c>
      <c r="B296" s="199" t="s">
        <v>132</v>
      </c>
      <c r="C296" s="198" t="s">
        <v>132</v>
      </c>
      <c r="D296" s="197" t="s">
        <v>132</v>
      </c>
      <c r="E296" s="193"/>
      <c r="F296" s="231"/>
      <c r="G296" s="206"/>
      <c r="H296" s="4"/>
      <c r="I296" s="4"/>
      <c r="J296" s="4"/>
      <c r="K296" s="173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45">
      <c r="A297" s="49">
        <v>1</v>
      </c>
      <c r="B297" s="199" t="s">
        <v>132</v>
      </c>
      <c r="C297" s="198" t="s">
        <v>132</v>
      </c>
      <c r="D297" s="197" t="s">
        <v>132</v>
      </c>
      <c r="E297" s="193"/>
      <c r="F297" s="231"/>
      <c r="G297" s="23"/>
      <c r="H297" s="4"/>
      <c r="I297" s="4"/>
      <c r="J297" s="4"/>
      <c r="K297" s="173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45">
      <c r="A298" s="49">
        <v>2</v>
      </c>
      <c r="B298" s="199" t="s">
        <v>132</v>
      </c>
      <c r="C298" s="198" t="s">
        <v>132</v>
      </c>
      <c r="D298" s="197" t="s">
        <v>132</v>
      </c>
      <c r="E298" s="193"/>
      <c r="F298" s="231"/>
      <c r="G298" s="23"/>
      <c r="H298" s="4"/>
      <c r="I298" s="4"/>
      <c r="J298" s="4"/>
      <c r="K298" s="173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45">
      <c r="A299" s="49">
        <v>3</v>
      </c>
      <c r="B299" s="199" t="s">
        <v>132</v>
      </c>
      <c r="C299" s="198" t="s">
        <v>132</v>
      </c>
      <c r="D299" s="197" t="s">
        <v>132</v>
      </c>
      <c r="E299" s="193"/>
      <c r="F299" s="231"/>
      <c r="G299" s="23"/>
      <c r="H299" s="4"/>
      <c r="I299" s="4"/>
      <c r="J299" s="4"/>
      <c r="K299" s="173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45">
      <c r="A300" s="49">
        <v>4</v>
      </c>
      <c r="B300" s="199" t="s">
        <v>132</v>
      </c>
      <c r="C300" s="198" t="s">
        <v>132</v>
      </c>
      <c r="D300" s="197" t="s">
        <v>132</v>
      </c>
      <c r="E300" s="193"/>
      <c r="F300" s="231"/>
      <c r="G300" s="23"/>
      <c r="H300" s="4"/>
      <c r="I300" s="4"/>
      <c r="J300" s="4"/>
      <c r="K300" s="173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45">
      <c r="A301" s="49">
        <v>5</v>
      </c>
      <c r="B301" s="199" t="s">
        <v>132</v>
      </c>
      <c r="C301" s="198" t="s">
        <v>132</v>
      </c>
      <c r="D301" s="197" t="s">
        <v>132</v>
      </c>
      <c r="E301" s="193"/>
      <c r="F301" s="231"/>
      <c r="G301" s="205"/>
      <c r="H301" s="4"/>
      <c r="I301" s="4"/>
      <c r="J301" s="4"/>
      <c r="K301" s="173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45">
      <c r="A302" s="180">
        <f>'Données projet'!A270</f>
        <v>0</v>
      </c>
      <c r="B302" s="181">
        <f>'Données projet'!D270</f>
        <v>0</v>
      </c>
      <c r="C302" s="191"/>
      <c r="D302" s="182">
        <f>B302*C302</f>
        <v>0</v>
      </c>
      <c r="E302" s="193"/>
      <c r="F302" s="233"/>
      <c r="G302" s="205"/>
      <c r="H302" s="4"/>
      <c r="I302" s="4"/>
      <c r="J302" s="4"/>
      <c r="K302" s="173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45">
      <c r="A303" s="180">
        <f>'Données projet'!A271</f>
        <v>0</v>
      </c>
      <c r="B303" s="181">
        <f>'Données projet'!D271</f>
        <v>0</v>
      </c>
      <c r="C303" s="191"/>
      <c r="D303" s="182">
        <f t="shared" ref="D303:D321" si="15">B303*C303</f>
        <v>0</v>
      </c>
      <c r="E303" s="193"/>
      <c r="F303" s="233"/>
      <c r="G303" s="205"/>
      <c r="H303" s="4"/>
      <c r="I303" s="4"/>
      <c r="J303" s="4"/>
      <c r="K303" s="173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45">
      <c r="A304" s="180">
        <f>'Données projet'!A272</f>
        <v>0</v>
      </c>
      <c r="B304" s="181">
        <f>'Données projet'!D272</f>
        <v>0</v>
      </c>
      <c r="C304" s="191"/>
      <c r="D304" s="182">
        <f t="shared" si="15"/>
        <v>0</v>
      </c>
      <c r="E304" s="193"/>
      <c r="F304" s="233"/>
      <c r="G304" s="205"/>
      <c r="H304" s="4"/>
      <c r="I304" s="4"/>
      <c r="J304" s="4"/>
      <c r="K304" s="173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45">
      <c r="A305" s="180">
        <f>'Données projet'!A273</f>
        <v>0</v>
      </c>
      <c r="B305" s="181">
        <f>'Données projet'!D273</f>
        <v>0</v>
      </c>
      <c r="C305" s="191"/>
      <c r="D305" s="182">
        <f t="shared" si="15"/>
        <v>0</v>
      </c>
      <c r="E305" s="193"/>
      <c r="F305" s="233"/>
      <c r="G305" s="205"/>
      <c r="H305" s="4"/>
      <c r="I305" s="4"/>
      <c r="J305" s="4"/>
      <c r="K305" s="173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45">
      <c r="A306" s="180">
        <f>'Données projet'!A274</f>
        <v>0</v>
      </c>
      <c r="B306" s="181">
        <f>'Données projet'!D274</f>
        <v>0</v>
      </c>
      <c r="C306" s="191"/>
      <c r="D306" s="182">
        <f t="shared" si="15"/>
        <v>0</v>
      </c>
      <c r="E306" s="193"/>
      <c r="F306" s="233"/>
      <c r="G306" s="205"/>
      <c r="H306" s="4"/>
      <c r="I306" s="4"/>
      <c r="J306" s="4"/>
      <c r="K306" s="173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45">
      <c r="A307" s="180">
        <f>'Données projet'!A275</f>
        <v>0</v>
      </c>
      <c r="B307" s="181">
        <f>'Données projet'!D275</f>
        <v>0</v>
      </c>
      <c r="C307" s="191"/>
      <c r="D307" s="182">
        <f t="shared" si="15"/>
        <v>0</v>
      </c>
      <c r="E307" s="193"/>
      <c r="F307" s="233"/>
      <c r="G307" s="205"/>
      <c r="H307" s="4"/>
      <c r="I307" s="4"/>
      <c r="J307" s="4"/>
      <c r="K307" s="173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45">
      <c r="A308" s="180">
        <f>'Données projet'!A276</f>
        <v>0</v>
      </c>
      <c r="B308" s="181">
        <f>'Données projet'!D276</f>
        <v>0</v>
      </c>
      <c r="C308" s="191"/>
      <c r="D308" s="182">
        <f t="shared" si="15"/>
        <v>0</v>
      </c>
      <c r="E308" s="193"/>
      <c r="F308" s="233"/>
      <c r="G308" s="203"/>
      <c r="H308" s="4"/>
      <c r="I308" s="4"/>
      <c r="J308" s="4"/>
      <c r="K308" s="173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45">
      <c r="A309" s="180">
        <f>'Données projet'!A277</f>
        <v>0</v>
      </c>
      <c r="B309" s="181">
        <f>'Données projet'!D277</f>
        <v>0</v>
      </c>
      <c r="C309" s="191"/>
      <c r="D309" s="182">
        <f t="shared" si="15"/>
        <v>0</v>
      </c>
      <c r="E309" s="193"/>
      <c r="F309" s="233"/>
      <c r="G309" s="203"/>
      <c r="H309" s="4"/>
      <c r="I309" s="4"/>
      <c r="J309" s="4"/>
      <c r="K309" s="173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45">
      <c r="A310" s="180">
        <f>'Données projet'!A278</f>
        <v>0</v>
      </c>
      <c r="B310" s="181">
        <f>'Données projet'!D278</f>
        <v>0</v>
      </c>
      <c r="C310" s="191"/>
      <c r="D310" s="182">
        <f t="shared" si="15"/>
        <v>0</v>
      </c>
      <c r="E310" s="193"/>
      <c r="F310" s="233"/>
      <c r="G310" s="203"/>
      <c r="H310" s="4"/>
      <c r="I310" s="4"/>
      <c r="J310" s="4"/>
      <c r="K310" s="173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45">
      <c r="A311" s="180">
        <f>'Données projet'!A279</f>
        <v>0</v>
      </c>
      <c r="B311" s="181">
        <f>'Données projet'!D279</f>
        <v>0</v>
      </c>
      <c r="C311" s="191"/>
      <c r="D311" s="182">
        <f t="shared" si="15"/>
        <v>0</v>
      </c>
      <c r="E311" s="193"/>
      <c r="F311" s="233"/>
      <c r="G311" s="203"/>
      <c r="H311" s="4"/>
      <c r="I311" s="4"/>
      <c r="J311" s="4"/>
      <c r="K311" s="173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45">
      <c r="A312" s="180">
        <f>'Données projet'!A280</f>
        <v>0</v>
      </c>
      <c r="B312" s="181">
        <f>'Données projet'!D280</f>
        <v>0</v>
      </c>
      <c r="C312" s="191"/>
      <c r="D312" s="182">
        <f t="shared" si="15"/>
        <v>0</v>
      </c>
      <c r="E312" s="193"/>
      <c r="F312" s="233"/>
      <c r="G312" s="203"/>
      <c r="H312" s="4"/>
      <c r="I312" s="4"/>
      <c r="J312" s="4"/>
      <c r="K312" s="173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45">
      <c r="A313" s="180">
        <f>'Données projet'!A281</f>
        <v>0</v>
      </c>
      <c r="B313" s="181">
        <f>'Données projet'!D281</f>
        <v>0</v>
      </c>
      <c r="C313" s="191"/>
      <c r="D313" s="182">
        <f t="shared" si="15"/>
        <v>0</v>
      </c>
      <c r="E313" s="193"/>
      <c r="F313" s="233"/>
      <c r="G313" s="203"/>
      <c r="H313" s="4"/>
      <c r="I313" s="4"/>
      <c r="J313" s="4"/>
      <c r="K313" s="173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45">
      <c r="A314" s="180">
        <f>'Données projet'!A282</f>
        <v>0</v>
      </c>
      <c r="B314" s="181">
        <f>'Données projet'!D282</f>
        <v>0</v>
      </c>
      <c r="C314" s="191"/>
      <c r="D314" s="182">
        <f t="shared" si="15"/>
        <v>0</v>
      </c>
      <c r="E314" s="193"/>
      <c r="F314" s="233"/>
      <c r="G314" s="203"/>
      <c r="H314" s="4"/>
      <c r="I314" s="4"/>
      <c r="J314" s="4"/>
      <c r="K314" s="173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45">
      <c r="A315" s="180">
        <f>'Données projet'!A283</f>
        <v>0</v>
      </c>
      <c r="B315" s="181">
        <f>'Données projet'!D283</f>
        <v>0</v>
      </c>
      <c r="C315" s="191"/>
      <c r="D315" s="182">
        <f t="shared" si="15"/>
        <v>0</v>
      </c>
      <c r="E315" s="193"/>
      <c r="F315" s="233"/>
      <c r="G315" s="203"/>
      <c r="H315" s="4"/>
      <c r="I315" s="4"/>
      <c r="J315" s="4"/>
      <c r="K315" s="173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45">
      <c r="A316" s="180">
        <f>'Données projet'!A284</f>
        <v>0</v>
      </c>
      <c r="B316" s="181">
        <f>'Données projet'!D284</f>
        <v>0</v>
      </c>
      <c r="C316" s="191"/>
      <c r="D316" s="182">
        <f t="shared" si="15"/>
        <v>0</v>
      </c>
      <c r="E316" s="193"/>
      <c r="F316" s="233"/>
      <c r="G316" s="203"/>
      <c r="H316" s="4"/>
      <c r="I316" s="4"/>
      <c r="J316" s="4"/>
      <c r="K316" s="173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45">
      <c r="A317" s="180">
        <f>'Données projet'!A285</f>
        <v>0</v>
      </c>
      <c r="B317" s="181">
        <f>'Données projet'!D285</f>
        <v>0</v>
      </c>
      <c r="C317" s="191"/>
      <c r="D317" s="182">
        <f t="shared" si="15"/>
        <v>0</v>
      </c>
      <c r="E317" s="193"/>
      <c r="F317" s="233"/>
      <c r="G317" s="203"/>
      <c r="H317" s="4"/>
      <c r="I317" s="4"/>
      <c r="J317" s="4"/>
      <c r="K317" s="173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45">
      <c r="A318" s="180">
        <f>'Données projet'!A286</f>
        <v>0</v>
      </c>
      <c r="B318" s="181">
        <f>'Données projet'!D286</f>
        <v>0</v>
      </c>
      <c r="C318" s="191"/>
      <c r="D318" s="182">
        <f t="shared" si="15"/>
        <v>0</v>
      </c>
      <c r="E318" s="193"/>
      <c r="F318" s="233"/>
      <c r="G318" s="203"/>
      <c r="H318" s="4"/>
      <c r="I318" s="4"/>
      <c r="J318" s="4"/>
      <c r="K318" s="173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45">
      <c r="A319" s="180">
        <f>'Données projet'!A287</f>
        <v>0</v>
      </c>
      <c r="B319" s="181">
        <f>'Données projet'!D287</f>
        <v>0</v>
      </c>
      <c r="C319" s="191"/>
      <c r="D319" s="182">
        <f t="shared" si="15"/>
        <v>0</v>
      </c>
      <c r="E319" s="193"/>
      <c r="F319" s="233"/>
      <c r="G319" s="203"/>
      <c r="H319" s="4"/>
      <c r="I319" s="4"/>
      <c r="J319" s="4"/>
      <c r="K319" s="173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45">
      <c r="A320" s="180">
        <f>'Données projet'!A288</f>
        <v>0</v>
      </c>
      <c r="B320" s="181">
        <f>'Données projet'!D288</f>
        <v>0</v>
      </c>
      <c r="C320" s="191"/>
      <c r="D320" s="182">
        <f t="shared" si="15"/>
        <v>0</v>
      </c>
      <c r="E320" s="193"/>
      <c r="F320" s="233"/>
      <c r="G320" s="203"/>
      <c r="H320" s="4"/>
      <c r="I320" s="4"/>
      <c r="J320" s="4"/>
      <c r="K320" s="173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45">
      <c r="A321" s="180">
        <f>'Données projet'!A289</f>
        <v>0</v>
      </c>
      <c r="B321" s="181">
        <f>'Données projet'!D289</f>
        <v>0</v>
      </c>
      <c r="C321" s="196"/>
      <c r="D321" s="182">
        <f t="shared" si="15"/>
        <v>0</v>
      </c>
      <c r="E321" s="193"/>
      <c r="F321" s="233"/>
      <c r="G321" s="203"/>
      <c r="H321" s="4"/>
      <c r="I321" s="4"/>
      <c r="J321" s="4"/>
      <c r="K321" s="173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45">
      <c r="G322" s="203"/>
      <c r="H322" s="4"/>
      <c r="I322" s="4"/>
      <c r="J322" s="4"/>
      <c r="K322" s="173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45">
      <c r="G323" s="203"/>
      <c r="H323" s="4"/>
      <c r="I323" s="4"/>
      <c r="J323" s="4"/>
      <c r="K323" s="173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45">
      <c r="G324" s="203"/>
      <c r="H324" s="4"/>
      <c r="I324" s="4"/>
      <c r="J324" s="4"/>
      <c r="K324" s="173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45">
      <c r="G325" s="203"/>
      <c r="H325" s="4"/>
      <c r="I325" s="4"/>
      <c r="J325" s="4"/>
      <c r="K325" s="173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45">
      <c r="G326" s="203"/>
      <c r="H326" s="4"/>
      <c r="I326" s="4"/>
      <c r="J326" s="4"/>
      <c r="K326" s="173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45">
      <c r="G327" s="203"/>
      <c r="H327" s="4"/>
      <c r="I327" s="4"/>
      <c r="J327" s="4"/>
      <c r="K327" s="173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45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45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45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45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45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45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45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45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45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45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45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45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45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45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45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45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45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45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45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45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45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45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45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45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45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45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45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45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45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45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45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45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45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45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45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45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45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45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45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45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45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45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45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45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45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45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45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45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45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45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45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45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45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45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45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45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45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45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45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45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45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45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45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45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45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45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45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45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4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4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4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4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4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4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4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4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4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4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4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4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4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4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4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4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4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4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4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4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4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4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4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4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4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4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4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4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4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4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4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4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4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4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4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4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4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4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4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4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4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4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4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4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4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4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45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45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45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45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45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45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45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45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45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45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45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45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45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45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45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45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45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45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45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45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45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45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45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45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45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45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45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45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45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45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45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45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45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45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45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45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45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45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45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45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45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45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45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45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45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45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45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45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45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45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45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45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45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45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45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45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45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45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45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45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45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45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45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45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45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45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45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45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45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45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45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45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45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45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45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45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45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45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45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45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45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45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45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45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45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45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45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45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45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45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45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45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45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45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45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45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45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45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45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45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45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45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45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45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45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45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45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45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45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45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45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36884909D472E4887D0D71289C24DC5" ma:contentTypeVersion="16" ma:contentTypeDescription="Create a new document." ma:contentTypeScope="" ma:versionID="b650ad57ab3a7623fd3df204a7303bfb">
  <xsd:schema xmlns:xsd="http://www.w3.org/2001/XMLSchema" xmlns:xs="http://www.w3.org/2001/XMLSchema" xmlns:p="http://schemas.microsoft.com/office/2006/metadata/properties" xmlns:ns2="0b31a522-a3bf-48c4-bec5-a17f159ba481" xmlns:ns3="e2382d34-9bb8-44b7-b653-fe70b92f328c" targetNamespace="http://schemas.microsoft.com/office/2006/metadata/properties" ma:root="true" ma:fieldsID="87e2e07588c417d1119dc0de3bcdcb0c" ns2:_="" ns3:_="">
    <xsd:import namespace="0b31a522-a3bf-48c4-bec5-a17f159ba481"/>
    <xsd:import namespace="e2382d34-9bb8-44b7-b653-fe70b92f328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SharedWithUsers" minOccurs="0"/>
                <xsd:element ref="ns3:SharedWithDetails" minOccurs="0"/>
                <xsd:element ref="ns2:_Flow_SignoffStatu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b31a522-a3bf-48c4-bec5-a17f159ba48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d1090b2c-5079-4c1b-ae3e-0f22ffb9196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description="" ma:indexed="true" ma:internalName="MediaServiceLocation" ma:readOnly="true">
      <xsd:simpleType>
        <xsd:restriction base="dms:Text"/>
      </xsd:simpleType>
    </xsd:element>
    <xsd:element name="_Flow_SignoffStatus" ma:index="21" nillable="true" ma:displayName="Sign-off status" ma:internalName="Sign_x002d_off_x0020_status">
      <xsd:simpleType>
        <xsd:restriction base="dms:Text"/>
      </xsd:simple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382d34-9bb8-44b7-b653-fe70b92f328c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ea42f30-ac50-40fe-8b72-1112505a2dd8}" ma:internalName="TaxCatchAll" ma:showField="CatchAllData" ma:web="e2382d34-9bb8-44b7-b653-fe70b92f328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2382d34-9bb8-44b7-b653-fe70b92f328c" xsi:nil="true"/>
    <lcf76f155ced4ddcb4097134ff3c332f xmlns="0b31a522-a3bf-48c4-bec5-a17f159ba481">
      <Terms xmlns="http://schemas.microsoft.com/office/infopath/2007/PartnerControls"/>
    </lcf76f155ced4ddcb4097134ff3c332f>
    <_Flow_SignoffStatus xmlns="0b31a522-a3bf-48c4-bec5-a17f159ba481" xsi:nil="true"/>
  </documentManagement>
</p:properties>
</file>

<file path=customXml/itemProps1.xml><?xml version="1.0" encoding="utf-8"?>
<ds:datastoreItem xmlns:ds="http://schemas.openxmlformats.org/officeDocument/2006/customXml" ds:itemID="{858E4D4B-C2FC-4D16-A4FF-8569903B44F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b31a522-a3bf-48c4-bec5-a17f159ba481"/>
    <ds:schemaRef ds:uri="e2382d34-9bb8-44b7-b653-fe70b92f328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7375F83-DE23-4706-80ED-4A8DA07E8E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A6861AC-80B4-4803-8030-7424409AD984}">
  <ds:schemaRefs>
    <ds:schemaRef ds:uri="http://schemas.microsoft.com/office/2006/metadata/properties"/>
    <ds:schemaRef ds:uri="http://schemas.microsoft.com/office/infopath/2007/PartnerControls"/>
    <ds:schemaRef ds:uri="e2382d34-9bb8-44b7-b653-fe70b92f328c"/>
    <ds:schemaRef ds:uri="0b31a522-a3bf-48c4-bec5-a17f159ba481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Lucas ELLENS</cp:lastModifiedBy>
  <dcterms:created xsi:type="dcterms:W3CDTF">2021-02-01T08:22:39Z</dcterms:created>
  <dcterms:modified xsi:type="dcterms:W3CDTF">2024-05-31T08:18:43Z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0x010100A36884909D472E4887D0D71289C24DC5</vt:lpwstr>
  </property>
  <property fmtid="{D5CDD505-2E9C-101B-9397-08002B2CF9AE}" pid="3" name="Order">
    <vt:r8>2102600</vt:r8>
  </property>
  <property fmtid="{D5CDD505-2E9C-101B-9397-08002B2CF9AE}" pid="4" name="MediaServiceImageTags">
    <vt:lpwstr/>
  </property>
</Properties>
</file>